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19035" windowHeight="11010" tabRatio="854"/>
  </bookViews>
  <sheets>
    <sheet name="CONTROL" sheetId="1" r:id="rId1"/>
    <sheet name="RAP-SOLID FUEL PRICES" sheetId="2" r:id="rId2"/>
    <sheet name="RAP-LIGHT OIL" sheetId="3" r:id="rId3"/>
    <sheet name="RAP-HEAVY OIL&amp;WTI" sheetId="4" r:id="rId4"/>
    <sheet name="RAP-NATURAL GAS PRICES" sheetId="5" r:id="rId5"/>
    <sheet name="RAP TEMPLATE-GAS AVAILABILITY" sheetId="6" r:id="rId6"/>
  </sheets>
  <externalReferences>
    <externalReference r:id="rId7"/>
    <externalReference r:id="rId8"/>
    <externalReference r:id="rId9"/>
    <externalReference r:id="rId10"/>
  </externalReferences>
  <definedNames>
    <definedName name="__123Graph_A" hidden="1">'[1]FPL MOST LIKELY GAS BACKUP 1'!#REF!</definedName>
    <definedName name="__123Graph_B" hidden="1">'[1]FPL MOST LIKELY GAS BACKUP 1'!#REF!</definedName>
    <definedName name="__123Graph_X" hidden="1">'[1]FPL MOST LIKELY GAS BACKUP 1'!#REF!</definedName>
    <definedName name="_1">#REF!</definedName>
    <definedName name="_1A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394GAS">#REF!</definedName>
    <definedName name="_9394OIL">#REF!</definedName>
    <definedName name="_C1">#REF!</definedName>
    <definedName name="_GIP1">#REF!</definedName>
    <definedName name="_SYP1">#REF!</definedName>
    <definedName name="C_">#REF!</definedName>
    <definedName name="CC1_">#REF!</definedName>
    <definedName name="COMPET">#REF!</definedName>
    <definedName name="CopyXC">#REF!</definedName>
    <definedName name="DatabaseNameCopy">#REF!</definedName>
    <definedName name="DatabaseNameDG">#REF!</definedName>
    <definedName name="DateColumn">[2]_Setup_!#REF!</definedName>
    <definedName name="DestColRowXC">#REF!</definedName>
    <definedName name="DestDBname">#REF!</definedName>
    <definedName name="DestHdrRowColXC">#REF!</definedName>
    <definedName name="DestLayoutXC">#REF!</definedName>
    <definedName name="DestRowColXC">#REF!</definedName>
    <definedName name="DestStudyName">#REF!</definedName>
    <definedName name="DestStudyNameCopy">#REF!</definedName>
    <definedName name="DestUserName">#REF!</definedName>
    <definedName name="DestWorksheetXC">#REF!</definedName>
    <definedName name="EffectiveDate">[2]_Setup_!#REF!</definedName>
    <definedName name="FIRM">#REF!</definedName>
    <definedName name="FIRM1">#REF!</definedName>
    <definedName name="GAS">#REF!</definedName>
    <definedName name="GASAVAIL">#REF!</definedName>
    <definedName name="GIP">#REF!</definedName>
    <definedName name="HeaderXC">#REF!</definedName>
    <definedName name="I5_">#REF!</definedName>
    <definedName name="I6_">#REF!</definedName>
    <definedName name="I7_">#REF!</definedName>
    <definedName name="ImportListDG">#REF!</definedName>
    <definedName name="INDEXDATA">'[3]Index-Data'!$A$2:$CG$68</definedName>
    <definedName name="INFLAT">#REF!</definedName>
    <definedName name="LayoutXC">#REF!</definedName>
    <definedName name="Messages">[4]_UnregulatedCurves_!#REF!</definedName>
    <definedName name="MessagesDG">#REF!</definedName>
    <definedName name="MessagesDW">[4]_UnregulatedCurves_!#REF!</definedName>
    <definedName name="MONTH">#REF!</definedName>
    <definedName name="MONTH1">#REF!</definedName>
    <definedName name="MONTHID">'[3]Misc-Data'!$A$2:$F$85</definedName>
    <definedName name="MONTHS2">#REF!</definedName>
    <definedName name="MONTHS3">#REF!</definedName>
    <definedName name="MONTHS4">#REF!</definedName>
    <definedName name="MONTHS5">#REF!</definedName>
    <definedName name="MONTHS6">#REF!</definedName>
    <definedName name="MONTHS7">#REF!</definedName>
    <definedName name="OIPBBL">#REF!</definedName>
    <definedName name="OIPBBL1">#REF!</definedName>
    <definedName name="PasswordCopy">#REF!</definedName>
    <definedName name="PasswordDG">#REF!</definedName>
    <definedName name="PHASEII">#REF!</definedName>
    <definedName name="PHASEII1">#REF!</definedName>
    <definedName name="PHASEIII">#REF!</definedName>
    <definedName name="PHASEIII1">#REF!</definedName>
    <definedName name="pipedes">'[3]Misc-Data'!$D$2:$F$69</definedName>
    <definedName name="_xlnm.Print_Area" localSheetId="5">'RAP TEMPLATE-GAS AVAILABILITY'!$A$12:$T$651</definedName>
    <definedName name="_xlnm.Print_Area" localSheetId="3">'RAP-HEAVY OIL&amp;WTI'!$A$12:$J$650</definedName>
    <definedName name="_xlnm.Print_Area" localSheetId="2">'RAP-LIGHT OIL'!$A$12:$K$651</definedName>
    <definedName name="_xlnm.Print_Area" localSheetId="4">'RAP-NATURAL GAS PRICES'!$A$13:$AC$651</definedName>
    <definedName name="_xlnm.Print_Area" localSheetId="1">'RAP-SOLID FUEL PRICES'!$A$14:$O$652</definedName>
    <definedName name="_xlnm.Print_Titles" localSheetId="5">'RAP TEMPLATE-GAS AVAILABILITY'!$1:$11</definedName>
    <definedName name="_xlnm.Print_Titles" localSheetId="3">'RAP-HEAVY OIL&amp;WTI'!$1:$11</definedName>
    <definedName name="_xlnm.Print_Titles" localSheetId="2">'RAP-LIGHT OIL'!$1:$11</definedName>
    <definedName name="_xlnm.Print_Titles" localSheetId="4">'RAP-NATURAL GAS PRICES'!$1:$12</definedName>
    <definedName name="_xlnm.Print_Titles" localSheetId="1">'RAP-SOLID FUEL PRICES'!$1:$13</definedName>
    <definedName name="RESULTS">#REF!</definedName>
    <definedName name="RESULTS1">#REF!</definedName>
    <definedName name="RESULTS2">#REF!</definedName>
    <definedName name="RESULTS3">#REF!</definedName>
    <definedName name="RESULTS4">#REF!</definedName>
    <definedName name="RESULTSA">#REF!</definedName>
    <definedName name="RowStart">[2]_Setup_!#REF!</definedName>
    <definedName name="SelectListCopy">#REF!</definedName>
    <definedName name="SFOR">#REF!</definedName>
    <definedName name="SFOR1">#REF!</definedName>
    <definedName name="SourceDBname">#REF!</definedName>
    <definedName name="SourceStudyName">#REF!</definedName>
    <definedName name="SourceStudyNameCopy">#REF!</definedName>
    <definedName name="SourceUserName">#REF!</definedName>
    <definedName name="SrcColRowXC">#REF!</definedName>
    <definedName name="SrcFileXC">#REF!</definedName>
    <definedName name="SrcStartRowColXC">#REF!</definedName>
    <definedName name="SrcWorksheetXC">#REF!</definedName>
    <definedName name="StatusCopy">#REF!</definedName>
    <definedName name="StatusDG">#REF!</definedName>
    <definedName name="StatusXC">#REF!</definedName>
    <definedName name="StudyNameDG">#REF!</definedName>
    <definedName name="SYP">#REF!</definedName>
    <definedName name="SYSGAS">#REF!</definedName>
    <definedName name="TITLES">#REF!</definedName>
    <definedName name="TOBBL">#REF!</definedName>
    <definedName name="TotalRowColXC">#REF!</definedName>
    <definedName name="TransferListDG">#REF!</definedName>
    <definedName name="TTG">#REF!</definedName>
    <definedName name="UserNameCopy">#REF!</definedName>
    <definedName name="UserNameDG">#REF!</definedName>
    <definedName name="VOLUMES">#REF!</definedName>
    <definedName name="VOLUMES1">#REF!</definedName>
    <definedName name="YEAR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5" i="6" l="1"/>
  <c r="D15" i="6"/>
  <c r="E15" i="6"/>
  <c r="F15" i="6"/>
  <c r="L15" i="6"/>
  <c r="N15" i="6"/>
  <c r="P15" i="6"/>
  <c r="R15" i="6"/>
  <c r="Q15" i="6" s="1"/>
  <c r="S15" i="6" s="1"/>
  <c r="T15" i="6"/>
  <c r="C16" i="6"/>
  <c r="D16" i="6"/>
  <c r="E16" i="6"/>
  <c r="F16" i="6"/>
  <c r="L16" i="6"/>
  <c r="N16" i="6"/>
  <c r="P16" i="6"/>
  <c r="R16" i="6"/>
  <c r="Q16" i="6" s="1"/>
  <c r="S16" i="6" s="1"/>
  <c r="T16" i="6"/>
  <c r="C17" i="6"/>
  <c r="D17" i="6"/>
  <c r="E17" i="6"/>
  <c r="F17" i="6"/>
  <c r="L17" i="6"/>
  <c r="N17" i="6"/>
  <c r="P17" i="6"/>
  <c r="S17" i="6" s="1"/>
  <c r="R17" i="6"/>
  <c r="Q17" i="6" s="1"/>
  <c r="T17" i="6"/>
  <c r="C18" i="6"/>
  <c r="D18" i="6"/>
  <c r="L18" i="6" s="1"/>
  <c r="E18" i="6"/>
  <c r="F18" i="6"/>
  <c r="N18" i="6"/>
  <c r="P18" i="6"/>
  <c r="Q18" i="6"/>
  <c r="R18" i="6"/>
  <c r="S18" i="6"/>
  <c r="T18" i="6"/>
  <c r="C19" i="6"/>
  <c r="D19" i="6"/>
  <c r="E19" i="6"/>
  <c r="F19" i="6"/>
  <c r="L19" i="6"/>
  <c r="N19" i="6"/>
  <c r="P19" i="6"/>
  <c r="R19" i="6"/>
  <c r="Q19" i="6" s="1"/>
  <c r="T19" i="6"/>
  <c r="C20" i="6"/>
  <c r="D20" i="6"/>
  <c r="L20" i="6" s="1"/>
  <c r="E20" i="6"/>
  <c r="F20" i="6"/>
  <c r="N20" i="6"/>
  <c r="P20" i="6"/>
  <c r="Q20" i="6"/>
  <c r="R20" i="6"/>
  <c r="S20" i="6"/>
  <c r="T20" i="6"/>
  <c r="C21" i="6"/>
  <c r="D21" i="6"/>
  <c r="E21" i="6"/>
  <c r="F21" i="6"/>
  <c r="L21" i="6"/>
  <c r="N21" i="6"/>
  <c r="P21" i="6"/>
  <c r="S21" i="6" s="1"/>
  <c r="R21" i="6"/>
  <c r="Q21" i="6" s="1"/>
  <c r="T21" i="6"/>
  <c r="C22" i="6"/>
  <c r="D22" i="6"/>
  <c r="E22" i="6"/>
  <c r="F22" i="6"/>
  <c r="L22" i="6" s="1"/>
  <c r="N22" i="6"/>
  <c r="Q22" i="6"/>
  <c r="R22" i="6"/>
  <c r="S22" i="6"/>
  <c r="T22" i="6"/>
  <c r="C23" i="6"/>
  <c r="D23" i="6"/>
  <c r="E23" i="6"/>
  <c r="F23" i="6"/>
  <c r="L23" i="6"/>
  <c r="N23" i="6"/>
  <c r="Q23" i="6"/>
  <c r="R23" i="6"/>
  <c r="S23" i="6"/>
  <c r="T23" i="6"/>
  <c r="C24" i="6"/>
  <c r="D24" i="6"/>
  <c r="E24" i="6"/>
  <c r="F24" i="6"/>
  <c r="L24" i="6"/>
  <c r="N24" i="6"/>
  <c r="Q24" i="6"/>
  <c r="R24" i="6"/>
  <c r="S24" i="6"/>
  <c r="T24" i="6"/>
  <c r="C25" i="6"/>
  <c r="D25" i="6"/>
  <c r="E25" i="6"/>
  <c r="F25" i="6"/>
  <c r="L25" i="6"/>
  <c r="N25" i="6"/>
  <c r="Q25" i="6"/>
  <c r="R25" i="6"/>
  <c r="S25" i="6"/>
  <c r="T25" i="6"/>
  <c r="C26" i="6"/>
  <c r="D26" i="6"/>
  <c r="E26" i="6"/>
  <c r="F26" i="6"/>
  <c r="L26" i="6"/>
  <c r="N26" i="6"/>
  <c r="Q26" i="6"/>
  <c r="R26" i="6"/>
  <c r="S26" i="6"/>
  <c r="T26" i="6"/>
  <c r="C27" i="6"/>
  <c r="D27" i="6"/>
  <c r="E27" i="6"/>
  <c r="F27" i="6"/>
  <c r="L27" i="6"/>
  <c r="N27" i="6"/>
  <c r="P27" i="6"/>
  <c r="S27" i="6" s="1"/>
  <c r="R27" i="6"/>
  <c r="Q27" i="6" s="1"/>
  <c r="T27" i="6"/>
  <c r="C28" i="6"/>
  <c r="D28" i="6"/>
  <c r="L28" i="6" s="1"/>
  <c r="E28" i="6"/>
  <c r="F28" i="6"/>
  <c r="N28" i="6"/>
  <c r="P28" i="6"/>
  <c r="Q28" i="6"/>
  <c r="R28" i="6"/>
  <c r="S28" i="6"/>
  <c r="T28" i="6"/>
  <c r="C29" i="6"/>
  <c r="D29" i="6"/>
  <c r="E29" i="6"/>
  <c r="F29" i="6"/>
  <c r="L29" i="6"/>
  <c r="N29" i="6"/>
  <c r="P29" i="6"/>
  <c r="R29" i="6"/>
  <c r="Q29" i="6" s="1"/>
  <c r="T29" i="6"/>
  <c r="C30" i="6"/>
  <c r="D30" i="6"/>
  <c r="L30" i="6" s="1"/>
  <c r="E30" i="6"/>
  <c r="F30" i="6"/>
  <c r="N30" i="6"/>
  <c r="P30" i="6"/>
  <c r="Q30" i="6"/>
  <c r="R30" i="6"/>
  <c r="S30" i="6"/>
  <c r="T30" i="6"/>
  <c r="C31" i="6"/>
  <c r="D31" i="6"/>
  <c r="E31" i="6"/>
  <c r="F31" i="6"/>
  <c r="L31" i="6"/>
  <c r="N31" i="6"/>
  <c r="P31" i="6"/>
  <c r="S31" i="6" s="1"/>
  <c r="R31" i="6"/>
  <c r="Q31" i="6" s="1"/>
  <c r="T31" i="6"/>
  <c r="C32" i="6"/>
  <c r="D32" i="6"/>
  <c r="L32" i="6" s="1"/>
  <c r="E32" i="6"/>
  <c r="F32" i="6"/>
  <c r="N32" i="6"/>
  <c r="P32" i="6"/>
  <c r="Q32" i="6"/>
  <c r="R32" i="6"/>
  <c r="S32" i="6"/>
  <c r="T32" i="6"/>
  <c r="C33" i="6"/>
  <c r="D33" i="6"/>
  <c r="E33" i="6"/>
  <c r="F33" i="6"/>
  <c r="L33" i="6"/>
  <c r="N33" i="6"/>
  <c r="P33" i="6"/>
  <c r="R33" i="6"/>
  <c r="Q33" i="6" s="1"/>
  <c r="T33" i="6"/>
  <c r="C34" i="6"/>
  <c r="D34" i="6"/>
  <c r="L34" i="6" s="1"/>
  <c r="E34" i="6"/>
  <c r="F34" i="6"/>
  <c r="N34" i="6"/>
  <c r="R34" i="6"/>
  <c r="Q34" i="6" s="1"/>
  <c r="S34" i="6" s="1"/>
  <c r="T34" i="6"/>
  <c r="C35" i="6"/>
  <c r="D35" i="6"/>
  <c r="L35" i="6" s="1"/>
  <c r="E35" i="6"/>
  <c r="F35" i="6"/>
  <c r="N35" i="6"/>
  <c r="R35" i="6"/>
  <c r="Q35" i="6" s="1"/>
  <c r="S35" i="6" s="1"/>
  <c r="T35" i="6"/>
  <c r="C36" i="6"/>
  <c r="D36" i="6"/>
  <c r="L36" i="6" s="1"/>
  <c r="E36" i="6"/>
  <c r="F36" i="6"/>
  <c r="N36" i="6"/>
  <c r="R36" i="6"/>
  <c r="Q36" i="6" s="1"/>
  <c r="S36" i="6" s="1"/>
  <c r="T36" i="6"/>
  <c r="C37" i="6"/>
  <c r="D37" i="6"/>
  <c r="L37" i="6" s="1"/>
  <c r="E37" i="6"/>
  <c r="F37" i="6"/>
  <c r="N37" i="6"/>
  <c r="R37" i="6"/>
  <c r="Q37" i="6" s="1"/>
  <c r="S37" i="6" s="1"/>
  <c r="T37" i="6"/>
  <c r="C38" i="6"/>
  <c r="D38" i="6"/>
  <c r="L38" i="6" s="1"/>
  <c r="E38" i="6"/>
  <c r="F38" i="6"/>
  <c r="N38" i="6"/>
  <c r="R38" i="6"/>
  <c r="Q38" i="6" s="1"/>
  <c r="S38" i="6" s="1"/>
  <c r="T38" i="6"/>
  <c r="C39" i="6"/>
  <c r="D39" i="6"/>
  <c r="E39" i="6"/>
  <c r="F39" i="6"/>
  <c r="H39" i="6"/>
  <c r="L39" i="6"/>
  <c r="N39" i="6"/>
  <c r="P39" i="6"/>
  <c r="S39" i="6" s="1"/>
  <c r="R39" i="6"/>
  <c r="Q39" i="6" s="1"/>
  <c r="T39" i="6"/>
  <c r="C40" i="6"/>
  <c r="D40" i="6"/>
  <c r="E40" i="6"/>
  <c r="F40" i="6"/>
  <c r="H40" i="6"/>
  <c r="L40" i="6"/>
  <c r="N40" i="6"/>
  <c r="P40" i="6"/>
  <c r="S40" i="6" s="1"/>
  <c r="R40" i="6"/>
  <c r="Q40" i="6" s="1"/>
  <c r="T40" i="6"/>
  <c r="C41" i="6"/>
  <c r="D41" i="6"/>
  <c r="E41" i="6"/>
  <c r="F41" i="6"/>
  <c r="H41" i="6"/>
  <c r="L41" i="6"/>
  <c r="N41" i="6"/>
  <c r="P41" i="6"/>
  <c r="S41" i="6" s="1"/>
  <c r="R41" i="6"/>
  <c r="Q41" i="6" s="1"/>
  <c r="T41" i="6"/>
  <c r="C42" i="6"/>
  <c r="D42" i="6"/>
  <c r="E42" i="6"/>
  <c r="F42" i="6"/>
  <c r="H42" i="6"/>
  <c r="L42" i="6"/>
  <c r="N42" i="6"/>
  <c r="P42" i="6"/>
  <c r="S42" i="6" s="1"/>
  <c r="R42" i="6"/>
  <c r="Q42" i="6" s="1"/>
  <c r="T42" i="6"/>
  <c r="C43" i="6"/>
  <c r="D43" i="6"/>
  <c r="E43" i="6"/>
  <c r="F43" i="6"/>
  <c r="H43" i="6"/>
  <c r="L43" i="6"/>
  <c r="N43" i="6"/>
  <c r="P43" i="6"/>
  <c r="S43" i="6" s="1"/>
  <c r="R43" i="6"/>
  <c r="Q43" i="6" s="1"/>
  <c r="T43" i="6"/>
  <c r="C44" i="6"/>
  <c r="D44" i="6"/>
  <c r="E44" i="6"/>
  <c r="F44" i="6"/>
  <c r="H44" i="6"/>
  <c r="L44" i="6"/>
  <c r="N44" i="6"/>
  <c r="P44" i="6"/>
  <c r="S44" i="6" s="1"/>
  <c r="R44" i="6"/>
  <c r="Q44" i="6" s="1"/>
  <c r="T44" i="6"/>
  <c r="C45" i="6"/>
  <c r="D45" i="6"/>
  <c r="E45" i="6"/>
  <c r="F45" i="6"/>
  <c r="H45" i="6"/>
  <c r="L45" i="6"/>
  <c r="N45" i="6"/>
  <c r="P45" i="6"/>
  <c r="S45" i="6" s="1"/>
  <c r="R45" i="6"/>
  <c r="Q45" i="6" s="1"/>
  <c r="T45" i="6"/>
  <c r="C46" i="6"/>
  <c r="D46" i="6"/>
  <c r="L46" i="6" s="1"/>
  <c r="E46" i="6"/>
  <c r="F46" i="6"/>
  <c r="N46" i="6"/>
  <c r="R46" i="6"/>
  <c r="Q46" i="6" s="1"/>
  <c r="S46" i="6" s="1"/>
  <c r="T46" i="6"/>
  <c r="C47" i="6"/>
  <c r="D47" i="6"/>
  <c r="L47" i="6" s="1"/>
  <c r="E47" i="6"/>
  <c r="F47" i="6"/>
  <c r="N47" i="6"/>
  <c r="R47" i="6"/>
  <c r="Q47" i="6" s="1"/>
  <c r="S47" i="6" s="1"/>
  <c r="T47" i="6"/>
  <c r="C48" i="6"/>
  <c r="D48" i="6"/>
  <c r="L48" i="6" s="1"/>
  <c r="E48" i="6"/>
  <c r="F48" i="6"/>
  <c r="N48" i="6"/>
  <c r="R48" i="6"/>
  <c r="Q48" i="6" s="1"/>
  <c r="S48" i="6" s="1"/>
  <c r="T48" i="6"/>
  <c r="C49" i="6"/>
  <c r="D49" i="6"/>
  <c r="L49" i="6" s="1"/>
  <c r="E49" i="6"/>
  <c r="F49" i="6"/>
  <c r="N49" i="6"/>
  <c r="R49" i="6"/>
  <c r="Q49" i="6" s="1"/>
  <c r="S49" i="6" s="1"/>
  <c r="T49" i="6"/>
  <c r="C50" i="6"/>
  <c r="D50" i="6"/>
  <c r="L50" i="6" s="1"/>
  <c r="E50" i="6"/>
  <c r="F50" i="6"/>
  <c r="N50" i="6"/>
  <c r="R50" i="6"/>
  <c r="Q50" i="6" s="1"/>
  <c r="S50" i="6" s="1"/>
  <c r="T50" i="6"/>
  <c r="C51" i="6"/>
  <c r="D51" i="6"/>
  <c r="E51" i="6"/>
  <c r="F51" i="6"/>
  <c r="H51" i="6"/>
  <c r="L51" i="6"/>
  <c r="N51" i="6"/>
  <c r="Q51" i="6"/>
  <c r="R51" i="6"/>
  <c r="S51" i="6"/>
  <c r="T51" i="6"/>
  <c r="C52" i="6"/>
  <c r="D52" i="6"/>
  <c r="E52" i="6"/>
  <c r="F52" i="6"/>
  <c r="H52" i="6"/>
  <c r="I52" i="6"/>
  <c r="L52" i="6"/>
  <c r="N52" i="6"/>
  <c r="Q52" i="6"/>
  <c r="R52" i="6"/>
  <c r="S52" i="6"/>
  <c r="T52" i="6"/>
  <c r="C53" i="6"/>
  <c r="D53" i="6"/>
  <c r="E53" i="6"/>
  <c r="F53" i="6"/>
  <c r="H53" i="6"/>
  <c r="I53" i="6"/>
  <c r="L53" i="6"/>
  <c r="N53" i="6"/>
  <c r="Q53" i="6"/>
  <c r="R53" i="6"/>
  <c r="S53" i="6"/>
  <c r="T53" i="6"/>
  <c r="C54" i="6"/>
  <c r="D54" i="6"/>
  <c r="E54" i="6"/>
  <c r="F54" i="6"/>
  <c r="H54" i="6"/>
  <c r="I54" i="6"/>
  <c r="L54" i="6"/>
  <c r="N54" i="6"/>
  <c r="Q54" i="6"/>
  <c r="R54" i="6"/>
  <c r="S54" i="6"/>
  <c r="T54" i="6"/>
  <c r="C55" i="6"/>
  <c r="D55" i="6"/>
  <c r="E55" i="6"/>
  <c r="F55" i="6"/>
  <c r="H55" i="6"/>
  <c r="I55" i="6"/>
  <c r="L55" i="6"/>
  <c r="N55" i="6"/>
  <c r="Q55" i="6"/>
  <c r="R55" i="6"/>
  <c r="S55" i="6"/>
  <c r="T55" i="6"/>
  <c r="C56" i="6"/>
  <c r="D56" i="6"/>
  <c r="E56" i="6"/>
  <c r="F56" i="6"/>
  <c r="H56" i="6"/>
  <c r="I56" i="6"/>
  <c r="L56" i="6"/>
  <c r="N56" i="6"/>
  <c r="Q56" i="6"/>
  <c r="R56" i="6"/>
  <c r="S56" i="6"/>
  <c r="T56" i="6"/>
  <c r="C57" i="6"/>
  <c r="D57" i="6"/>
  <c r="E57" i="6"/>
  <c r="F57" i="6"/>
  <c r="H57" i="6"/>
  <c r="I57" i="6"/>
  <c r="L57" i="6"/>
  <c r="N57" i="6"/>
  <c r="Q57" i="6"/>
  <c r="R57" i="6"/>
  <c r="S57" i="6"/>
  <c r="T57" i="6"/>
  <c r="C58" i="6"/>
  <c r="L58" i="6" s="1"/>
  <c r="D58" i="6"/>
  <c r="E58" i="6"/>
  <c r="F58" i="6"/>
  <c r="I58" i="6"/>
  <c r="N58" i="6"/>
  <c r="R58" i="6"/>
  <c r="Q58" i="6" s="1"/>
  <c r="S58" i="6" s="1"/>
  <c r="T58" i="6"/>
  <c r="C59" i="6"/>
  <c r="D59" i="6"/>
  <c r="E59" i="6"/>
  <c r="F59" i="6"/>
  <c r="I59" i="6"/>
  <c r="L59" i="6"/>
  <c r="N59" i="6"/>
  <c r="Q59" i="6"/>
  <c r="R59" i="6"/>
  <c r="S59" i="6"/>
  <c r="T59" i="6"/>
  <c r="C60" i="6"/>
  <c r="L60" i="6" s="1"/>
  <c r="D60" i="6"/>
  <c r="E60" i="6"/>
  <c r="F60" i="6"/>
  <c r="I60" i="6"/>
  <c r="N60" i="6"/>
  <c r="R60" i="6"/>
  <c r="Q60" i="6" s="1"/>
  <c r="S60" i="6" s="1"/>
  <c r="T60" i="6"/>
  <c r="C61" i="6"/>
  <c r="D61" i="6"/>
  <c r="E61" i="6"/>
  <c r="F61" i="6"/>
  <c r="I61" i="6"/>
  <c r="L61" i="6"/>
  <c r="N61" i="6"/>
  <c r="Q61" i="6"/>
  <c r="R61" i="6"/>
  <c r="S61" i="6"/>
  <c r="T61" i="6"/>
  <c r="C62" i="6"/>
  <c r="L62" i="6" s="1"/>
  <c r="D62" i="6"/>
  <c r="E62" i="6"/>
  <c r="F62" i="6"/>
  <c r="I62" i="6"/>
  <c r="N62" i="6"/>
  <c r="R62" i="6"/>
  <c r="Q62" i="6" s="1"/>
  <c r="S62" i="6" s="1"/>
  <c r="T62" i="6"/>
  <c r="C63" i="6"/>
  <c r="D63" i="6"/>
  <c r="L63" i="6" s="1"/>
  <c r="E63" i="6"/>
  <c r="F63" i="6"/>
  <c r="H63" i="6"/>
  <c r="I63" i="6"/>
  <c r="N63" i="6"/>
  <c r="R63" i="6"/>
  <c r="Q63" i="6" s="1"/>
  <c r="S63" i="6" s="1"/>
  <c r="T63" i="6"/>
  <c r="C64" i="6"/>
  <c r="D64" i="6"/>
  <c r="L64" i="6" s="1"/>
  <c r="E64" i="6"/>
  <c r="F64" i="6"/>
  <c r="H64" i="6"/>
  <c r="I64" i="6"/>
  <c r="N64" i="6"/>
  <c r="R64" i="6"/>
  <c r="Q64" i="6" s="1"/>
  <c r="S64" i="6" s="1"/>
  <c r="T64" i="6"/>
  <c r="C65" i="6"/>
  <c r="D65" i="6"/>
  <c r="E65" i="6"/>
  <c r="F65" i="6"/>
  <c r="H65" i="6"/>
  <c r="I65" i="6"/>
  <c r="N65" i="6"/>
  <c r="R65" i="6"/>
  <c r="Q65" i="6" s="1"/>
  <c r="S65" i="6" s="1"/>
  <c r="T65" i="6"/>
  <c r="C66" i="6"/>
  <c r="D66" i="6"/>
  <c r="E66" i="6"/>
  <c r="F66" i="6"/>
  <c r="H66" i="6"/>
  <c r="I66" i="6"/>
  <c r="N66" i="6"/>
  <c r="R66" i="6"/>
  <c r="Q66" i="6" s="1"/>
  <c r="S66" i="6" s="1"/>
  <c r="T66" i="6"/>
  <c r="C67" i="6"/>
  <c r="D67" i="6"/>
  <c r="E67" i="6"/>
  <c r="F67" i="6"/>
  <c r="H67" i="6"/>
  <c r="I67" i="6"/>
  <c r="N67" i="6"/>
  <c r="R67" i="6"/>
  <c r="Q67" i="6" s="1"/>
  <c r="S67" i="6" s="1"/>
  <c r="T67" i="6"/>
  <c r="C68" i="6"/>
  <c r="D68" i="6"/>
  <c r="E68" i="6"/>
  <c r="F68" i="6"/>
  <c r="H68" i="6"/>
  <c r="I68" i="6"/>
  <c r="N68" i="6"/>
  <c r="R68" i="6"/>
  <c r="Q68" i="6" s="1"/>
  <c r="S68" i="6" s="1"/>
  <c r="T68" i="6"/>
  <c r="C69" i="6"/>
  <c r="D69" i="6"/>
  <c r="E69" i="6"/>
  <c r="F69" i="6"/>
  <c r="H69" i="6"/>
  <c r="I69" i="6"/>
  <c r="N69" i="6"/>
  <c r="Q69" i="6"/>
  <c r="R69" i="6"/>
  <c r="S69" i="6"/>
  <c r="T69" i="6"/>
  <c r="C70" i="6"/>
  <c r="L70" i="6" s="1"/>
  <c r="D70" i="6"/>
  <c r="E70" i="6"/>
  <c r="F70" i="6"/>
  <c r="I70" i="6"/>
  <c r="N70" i="6"/>
  <c r="R70" i="6"/>
  <c r="Q70" i="6" s="1"/>
  <c r="S70" i="6" s="1"/>
  <c r="T70" i="6"/>
  <c r="C71" i="6"/>
  <c r="D71" i="6"/>
  <c r="E71" i="6"/>
  <c r="F71" i="6"/>
  <c r="I71" i="6"/>
  <c r="L71" i="6"/>
  <c r="N71" i="6"/>
  <c r="Q71" i="6"/>
  <c r="R71" i="6"/>
  <c r="S71" i="6"/>
  <c r="T71" i="6"/>
  <c r="C72" i="6"/>
  <c r="L72" i="6" s="1"/>
  <c r="D72" i="6"/>
  <c r="E72" i="6"/>
  <c r="F72" i="6"/>
  <c r="I72" i="6"/>
  <c r="N72" i="6"/>
  <c r="R72" i="6"/>
  <c r="Q72" i="6" s="1"/>
  <c r="S72" i="6" s="1"/>
  <c r="T72" i="6"/>
  <c r="C73" i="6"/>
  <c r="D73" i="6"/>
  <c r="E73" i="6"/>
  <c r="F73" i="6"/>
  <c r="I73" i="6"/>
  <c r="L73" i="6"/>
  <c r="N73" i="6"/>
  <c r="Q73" i="6"/>
  <c r="R73" i="6"/>
  <c r="S73" i="6"/>
  <c r="T73" i="6"/>
  <c r="C74" i="6"/>
  <c r="L74" i="6" s="1"/>
  <c r="D74" i="6"/>
  <c r="E74" i="6"/>
  <c r="F74" i="6"/>
  <c r="I74" i="6"/>
  <c r="N74" i="6"/>
  <c r="R74" i="6"/>
  <c r="Q74" i="6" s="1"/>
  <c r="S74" i="6" s="1"/>
  <c r="T74" i="6"/>
  <c r="C75" i="6"/>
  <c r="D75" i="6"/>
  <c r="L75" i="6" s="1"/>
  <c r="E75" i="6"/>
  <c r="F75" i="6"/>
  <c r="H75" i="6"/>
  <c r="I75" i="6"/>
  <c r="N75" i="6"/>
  <c r="R75" i="6"/>
  <c r="Q75" i="6" s="1"/>
  <c r="S75" i="6" s="1"/>
  <c r="T75" i="6"/>
  <c r="C76" i="6"/>
  <c r="D76" i="6"/>
  <c r="L76" i="6" s="1"/>
  <c r="E76" i="6"/>
  <c r="F76" i="6"/>
  <c r="H76" i="6"/>
  <c r="I76" i="6"/>
  <c r="N76" i="6"/>
  <c r="R76" i="6"/>
  <c r="Q76" i="6" s="1"/>
  <c r="S76" i="6" s="1"/>
  <c r="T76" i="6"/>
  <c r="C77" i="6"/>
  <c r="D77" i="6"/>
  <c r="L77" i="6" s="1"/>
  <c r="E77" i="6"/>
  <c r="F77" i="6"/>
  <c r="H77" i="6"/>
  <c r="I77" i="6"/>
  <c r="N77" i="6"/>
  <c r="R77" i="6"/>
  <c r="Q77" i="6" s="1"/>
  <c r="S77" i="6" s="1"/>
  <c r="T77" i="6"/>
  <c r="C78" i="6"/>
  <c r="D78" i="6"/>
  <c r="L78" i="6" s="1"/>
  <c r="E78" i="6"/>
  <c r="F78" i="6"/>
  <c r="H78" i="6"/>
  <c r="I78" i="6"/>
  <c r="N78" i="6"/>
  <c r="R78" i="6"/>
  <c r="Q78" i="6" s="1"/>
  <c r="S78" i="6" s="1"/>
  <c r="T78" i="6"/>
  <c r="C79" i="6"/>
  <c r="D79" i="6"/>
  <c r="L79" i="6" s="1"/>
  <c r="E79" i="6"/>
  <c r="F79" i="6"/>
  <c r="H79" i="6"/>
  <c r="I79" i="6"/>
  <c r="N79" i="6"/>
  <c r="R79" i="6"/>
  <c r="Q79" i="6" s="1"/>
  <c r="S79" i="6" s="1"/>
  <c r="T79" i="6"/>
  <c r="C80" i="6"/>
  <c r="D80" i="6"/>
  <c r="L80" i="6" s="1"/>
  <c r="E80" i="6"/>
  <c r="F80" i="6"/>
  <c r="H80" i="6"/>
  <c r="I80" i="6"/>
  <c r="N80" i="6"/>
  <c r="R80" i="6"/>
  <c r="Q80" i="6" s="1"/>
  <c r="S80" i="6" s="1"/>
  <c r="T80" i="6"/>
  <c r="C81" i="6"/>
  <c r="D81" i="6"/>
  <c r="L81" i="6" s="1"/>
  <c r="E81" i="6"/>
  <c r="F81" i="6"/>
  <c r="H81" i="6"/>
  <c r="I81" i="6"/>
  <c r="N81" i="6"/>
  <c r="R81" i="6"/>
  <c r="Q81" i="6" s="1"/>
  <c r="S81" i="6" s="1"/>
  <c r="T81" i="6"/>
  <c r="C82" i="6"/>
  <c r="D82" i="6"/>
  <c r="E82" i="6"/>
  <c r="F82" i="6"/>
  <c r="I82" i="6"/>
  <c r="L82" i="6"/>
  <c r="N82" i="6"/>
  <c r="Q82" i="6"/>
  <c r="R82" i="6"/>
  <c r="S82" i="6"/>
  <c r="T82" i="6"/>
  <c r="C83" i="6"/>
  <c r="L83" i="6" s="1"/>
  <c r="D83" i="6"/>
  <c r="E83" i="6"/>
  <c r="F83" i="6"/>
  <c r="I83" i="6"/>
  <c r="N83" i="6"/>
  <c r="R83" i="6"/>
  <c r="Q83" i="6" s="1"/>
  <c r="S83" i="6" s="1"/>
  <c r="T83" i="6"/>
  <c r="C84" i="6"/>
  <c r="D84" i="6"/>
  <c r="E84" i="6"/>
  <c r="F84" i="6"/>
  <c r="I84" i="6"/>
  <c r="L84" i="6"/>
  <c r="N84" i="6"/>
  <c r="Q84" i="6"/>
  <c r="R84" i="6"/>
  <c r="S84" i="6"/>
  <c r="T84" i="6"/>
  <c r="C85" i="6"/>
  <c r="L85" i="6" s="1"/>
  <c r="D85" i="6"/>
  <c r="E85" i="6"/>
  <c r="F85" i="6"/>
  <c r="I85" i="6"/>
  <c r="N85" i="6"/>
  <c r="R85" i="6"/>
  <c r="Q85" i="6" s="1"/>
  <c r="S85" i="6" s="1"/>
  <c r="T85" i="6"/>
  <c r="C86" i="6"/>
  <c r="D86" i="6"/>
  <c r="E86" i="6"/>
  <c r="F86" i="6"/>
  <c r="I86" i="6"/>
  <c r="L86" i="6"/>
  <c r="N86" i="6"/>
  <c r="Q86" i="6"/>
  <c r="R86" i="6"/>
  <c r="S86" i="6"/>
  <c r="T86" i="6"/>
  <c r="C87" i="6"/>
  <c r="D87" i="6"/>
  <c r="E87" i="6"/>
  <c r="F87" i="6"/>
  <c r="H87" i="6"/>
  <c r="I87" i="6"/>
  <c r="L87" i="6"/>
  <c r="N87" i="6"/>
  <c r="Q87" i="6"/>
  <c r="R87" i="6"/>
  <c r="S87" i="6"/>
  <c r="T87" i="6"/>
  <c r="C88" i="6"/>
  <c r="D88" i="6"/>
  <c r="E88" i="6"/>
  <c r="F88" i="6"/>
  <c r="H88" i="6"/>
  <c r="I88" i="6"/>
  <c r="L88" i="6"/>
  <c r="N88" i="6"/>
  <c r="Q88" i="6"/>
  <c r="R88" i="6"/>
  <c r="S88" i="6"/>
  <c r="T88" i="6"/>
  <c r="C89" i="6"/>
  <c r="D89" i="6"/>
  <c r="E89" i="6"/>
  <c r="F89" i="6"/>
  <c r="H89" i="6"/>
  <c r="I89" i="6"/>
  <c r="L89" i="6"/>
  <c r="N89" i="6"/>
  <c r="Q89" i="6"/>
  <c r="R89" i="6"/>
  <c r="S89" i="6"/>
  <c r="T89" i="6"/>
  <c r="C90" i="6"/>
  <c r="D90" i="6"/>
  <c r="E90" i="6"/>
  <c r="F90" i="6"/>
  <c r="H90" i="6"/>
  <c r="I90" i="6"/>
  <c r="L90" i="6"/>
  <c r="N90" i="6"/>
  <c r="Q90" i="6"/>
  <c r="R90" i="6"/>
  <c r="S90" i="6"/>
  <c r="T90" i="6"/>
  <c r="C91" i="6"/>
  <c r="D91" i="6"/>
  <c r="E91" i="6"/>
  <c r="F91" i="6"/>
  <c r="H91" i="6"/>
  <c r="I91" i="6"/>
  <c r="L91" i="6"/>
  <c r="N91" i="6"/>
  <c r="Q91" i="6"/>
  <c r="R91" i="6"/>
  <c r="S91" i="6"/>
  <c r="T91" i="6"/>
  <c r="C92" i="6"/>
  <c r="D92" i="6"/>
  <c r="E92" i="6"/>
  <c r="F92" i="6"/>
  <c r="H92" i="6"/>
  <c r="I92" i="6"/>
  <c r="L92" i="6"/>
  <c r="N92" i="6"/>
  <c r="Q92" i="6"/>
  <c r="R92" i="6"/>
  <c r="S92" i="6"/>
  <c r="T92" i="6"/>
  <c r="C93" i="6"/>
  <c r="D93" i="6"/>
  <c r="E93" i="6"/>
  <c r="F93" i="6"/>
  <c r="H93" i="6"/>
  <c r="I93" i="6"/>
  <c r="L93" i="6"/>
  <c r="N93" i="6"/>
  <c r="Q93" i="6"/>
  <c r="R93" i="6"/>
  <c r="S93" i="6"/>
  <c r="T93" i="6"/>
  <c r="C94" i="6"/>
  <c r="L94" i="6" s="1"/>
  <c r="D94" i="6"/>
  <c r="E94" i="6"/>
  <c r="F94" i="6"/>
  <c r="I94" i="6"/>
  <c r="N94" i="6"/>
  <c r="R94" i="6"/>
  <c r="Q94" i="6" s="1"/>
  <c r="S94" i="6" s="1"/>
  <c r="T94" i="6"/>
  <c r="C95" i="6"/>
  <c r="D95" i="6"/>
  <c r="E95" i="6"/>
  <c r="F95" i="6"/>
  <c r="I95" i="6"/>
  <c r="L95" i="6"/>
  <c r="N95" i="6"/>
  <c r="Q95" i="6"/>
  <c r="R95" i="6"/>
  <c r="S95" i="6"/>
  <c r="T95" i="6"/>
  <c r="C96" i="6"/>
  <c r="L96" i="6" s="1"/>
  <c r="D96" i="6"/>
  <c r="E96" i="6"/>
  <c r="F96" i="6"/>
  <c r="I96" i="6"/>
  <c r="N96" i="6"/>
  <c r="R96" i="6"/>
  <c r="Q96" i="6" s="1"/>
  <c r="S96" i="6" s="1"/>
  <c r="T96" i="6"/>
  <c r="C97" i="6"/>
  <c r="D97" i="6"/>
  <c r="E97" i="6"/>
  <c r="F97" i="6"/>
  <c r="I97" i="6"/>
  <c r="L97" i="6"/>
  <c r="N97" i="6"/>
  <c r="Q97" i="6"/>
  <c r="R97" i="6"/>
  <c r="S97" i="6"/>
  <c r="T97" i="6"/>
  <c r="C98" i="6"/>
  <c r="L98" i="6" s="1"/>
  <c r="D98" i="6"/>
  <c r="E98" i="6"/>
  <c r="F98" i="6"/>
  <c r="I98" i="6"/>
  <c r="N98" i="6"/>
  <c r="R98" i="6"/>
  <c r="Q98" i="6" s="1"/>
  <c r="S98" i="6" s="1"/>
  <c r="T98" i="6"/>
  <c r="C99" i="6"/>
  <c r="D99" i="6"/>
  <c r="L99" i="6" s="1"/>
  <c r="E99" i="6"/>
  <c r="F99" i="6"/>
  <c r="H99" i="6"/>
  <c r="I99" i="6"/>
  <c r="N99" i="6"/>
  <c r="R99" i="6"/>
  <c r="Q99" i="6" s="1"/>
  <c r="S99" i="6" s="1"/>
  <c r="T99" i="6"/>
  <c r="C100" i="6"/>
  <c r="D100" i="6"/>
  <c r="L100" i="6" s="1"/>
  <c r="E100" i="6"/>
  <c r="F100" i="6"/>
  <c r="H100" i="6"/>
  <c r="I100" i="6"/>
  <c r="N100" i="6"/>
  <c r="R100" i="6"/>
  <c r="Q100" i="6" s="1"/>
  <c r="S100" i="6" s="1"/>
  <c r="T100" i="6"/>
  <c r="C101" i="6"/>
  <c r="D101" i="6"/>
  <c r="L101" i="6" s="1"/>
  <c r="E101" i="6"/>
  <c r="F101" i="6"/>
  <c r="H101" i="6"/>
  <c r="I101" i="6"/>
  <c r="N101" i="6"/>
  <c r="R101" i="6"/>
  <c r="Q101" i="6" s="1"/>
  <c r="S101" i="6" s="1"/>
  <c r="T101" i="6"/>
  <c r="C102" i="6"/>
  <c r="D102" i="6"/>
  <c r="L102" i="6" s="1"/>
  <c r="E102" i="6"/>
  <c r="F102" i="6"/>
  <c r="H102" i="6"/>
  <c r="I102" i="6"/>
  <c r="N102" i="6"/>
  <c r="R102" i="6"/>
  <c r="Q102" i="6" s="1"/>
  <c r="S102" i="6" s="1"/>
  <c r="T102" i="6"/>
  <c r="C103" i="6"/>
  <c r="D103" i="6"/>
  <c r="L103" i="6" s="1"/>
  <c r="E103" i="6"/>
  <c r="F103" i="6"/>
  <c r="H103" i="6"/>
  <c r="I103" i="6"/>
  <c r="N103" i="6"/>
  <c r="R103" i="6"/>
  <c r="Q103" i="6" s="1"/>
  <c r="S103" i="6" s="1"/>
  <c r="T103" i="6"/>
  <c r="C104" i="6"/>
  <c r="D104" i="6"/>
  <c r="L104" i="6" s="1"/>
  <c r="E104" i="6"/>
  <c r="F104" i="6"/>
  <c r="H104" i="6"/>
  <c r="I104" i="6"/>
  <c r="N104" i="6"/>
  <c r="R104" i="6"/>
  <c r="Q104" i="6" s="1"/>
  <c r="S104" i="6" s="1"/>
  <c r="T104" i="6"/>
  <c r="C105" i="6"/>
  <c r="D105" i="6"/>
  <c r="L105" i="6" s="1"/>
  <c r="E105" i="6"/>
  <c r="F105" i="6"/>
  <c r="H105" i="6"/>
  <c r="I105" i="6"/>
  <c r="N105" i="6"/>
  <c r="R105" i="6"/>
  <c r="Q105" i="6" s="1"/>
  <c r="S105" i="6" s="1"/>
  <c r="T105" i="6"/>
  <c r="C106" i="6"/>
  <c r="D106" i="6"/>
  <c r="E106" i="6"/>
  <c r="F106" i="6"/>
  <c r="I106" i="6"/>
  <c r="L106" i="6"/>
  <c r="N106" i="6"/>
  <c r="Q106" i="6"/>
  <c r="R106" i="6"/>
  <c r="S106" i="6"/>
  <c r="T106" i="6"/>
  <c r="C107" i="6"/>
  <c r="L107" i="6" s="1"/>
  <c r="D107" i="6"/>
  <c r="E107" i="6"/>
  <c r="F107" i="6"/>
  <c r="I107" i="6"/>
  <c r="N107" i="6"/>
  <c r="R107" i="6"/>
  <c r="Q107" i="6" s="1"/>
  <c r="S107" i="6" s="1"/>
  <c r="T107" i="6"/>
  <c r="C108" i="6"/>
  <c r="D108" i="6"/>
  <c r="E108" i="6"/>
  <c r="F108" i="6"/>
  <c r="I108" i="6"/>
  <c r="L108" i="6"/>
  <c r="N108" i="6"/>
  <c r="Q108" i="6"/>
  <c r="R108" i="6"/>
  <c r="S108" i="6"/>
  <c r="T108" i="6"/>
  <c r="C109" i="6"/>
  <c r="L109" i="6" s="1"/>
  <c r="D109" i="6"/>
  <c r="E109" i="6"/>
  <c r="F109" i="6"/>
  <c r="I109" i="6"/>
  <c r="N109" i="6"/>
  <c r="R109" i="6"/>
  <c r="Q109" i="6" s="1"/>
  <c r="S109" i="6" s="1"/>
  <c r="T109" i="6"/>
  <c r="C110" i="6"/>
  <c r="D110" i="6"/>
  <c r="E110" i="6"/>
  <c r="F110" i="6"/>
  <c r="I110" i="6"/>
  <c r="L110" i="6"/>
  <c r="N110" i="6"/>
  <c r="Q110" i="6"/>
  <c r="R110" i="6"/>
  <c r="S110" i="6"/>
  <c r="T110" i="6"/>
  <c r="C111" i="6"/>
  <c r="D111" i="6"/>
  <c r="E111" i="6"/>
  <c r="F111" i="6"/>
  <c r="H111" i="6"/>
  <c r="I111" i="6"/>
  <c r="L111" i="6"/>
  <c r="N111" i="6"/>
  <c r="Q111" i="6"/>
  <c r="R111" i="6"/>
  <c r="S111" i="6"/>
  <c r="T111" i="6"/>
  <c r="C112" i="6"/>
  <c r="D112" i="6"/>
  <c r="E112" i="6"/>
  <c r="F112" i="6"/>
  <c r="H112" i="6"/>
  <c r="I112" i="6"/>
  <c r="L112" i="6"/>
  <c r="N112" i="6"/>
  <c r="Q112" i="6"/>
  <c r="R112" i="6"/>
  <c r="S112" i="6"/>
  <c r="T112" i="6"/>
  <c r="C113" i="6"/>
  <c r="D113" i="6"/>
  <c r="E113" i="6"/>
  <c r="F113" i="6"/>
  <c r="H113" i="6"/>
  <c r="I113" i="6"/>
  <c r="L113" i="6"/>
  <c r="N113" i="6"/>
  <c r="Q113" i="6"/>
  <c r="R113" i="6"/>
  <c r="S113" i="6"/>
  <c r="T113" i="6"/>
  <c r="C114" i="6"/>
  <c r="D114" i="6"/>
  <c r="E114" i="6"/>
  <c r="F114" i="6"/>
  <c r="H114" i="6"/>
  <c r="I114" i="6"/>
  <c r="L114" i="6"/>
  <c r="N114" i="6"/>
  <c r="Q114" i="6"/>
  <c r="R114" i="6"/>
  <c r="S114" i="6"/>
  <c r="T114" i="6"/>
  <c r="C115" i="6"/>
  <c r="D115" i="6"/>
  <c r="E115" i="6"/>
  <c r="F115" i="6"/>
  <c r="H115" i="6"/>
  <c r="I115" i="6"/>
  <c r="L115" i="6"/>
  <c r="N115" i="6"/>
  <c r="Q115" i="6"/>
  <c r="R115" i="6"/>
  <c r="S115" i="6"/>
  <c r="T115" i="6"/>
  <c r="C116" i="6"/>
  <c r="D116" i="6"/>
  <c r="E116" i="6"/>
  <c r="F116" i="6"/>
  <c r="H116" i="6"/>
  <c r="I116" i="6"/>
  <c r="L116" i="6"/>
  <c r="N116" i="6"/>
  <c r="Q116" i="6"/>
  <c r="R116" i="6"/>
  <c r="S116" i="6"/>
  <c r="T116" i="6"/>
  <c r="C117" i="6"/>
  <c r="D117" i="6"/>
  <c r="E117" i="6"/>
  <c r="F117" i="6"/>
  <c r="H117" i="6"/>
  <c r="I117" i="6"/>
  <c r="L117" i="6"/>
  <c r="N117" i="6"/>
  <c r="Q117" i="6"/>
  <c r="R117" i="6"/>
  <c r="S117" i="6"/>
  <c r="T117" i="6"/>
  <c r="C118" i="6"/>
  <c r="L118" i="6" s="1"/>
  <c r="D118" i="6"/>
  <c r="E118" i="6"/>
  <c r="F118" i="6"/>
  <c r="I118" i="6"/>
  <c r="N118" i="6"/>
  <c r="R118" i="6"/>
  <c r="Q118" i="6" s="1"/>
  <c r="S118" i="6" s="1"/>
  <c r="T118" i="6"/>
  <c r="C119" i="6"/>
  <c r="D119" i="6"/>
  <c r="E119" i="6"/>
  <c r="F119" i="6"/>
  <c r="I119" i="6"/>
  <c r="L119" i="6"/>
  <c r="N119" i="6"/>
  <c r="Q119" i="6"/>
  <c r="R119" i="6"/>
  <c r="S119" i="6"/>
  <c r="T119" i="6"/>
  <c r="C120" i="6"/>
  <c r="L120" i="6" s="1"/>
  <c r="D120" i="6"/>
  <c r="E120" i="6"/>
  <c r="F120" i="6"/>
  <c r="I120" i="6"/>
  <c r="N120" i="6"/>
  <c r="R120" i="6"/>
  <c r="Q120" i="6" s="1"/>
  <c r="S120" i="6" s="1"/>
  <c r="T120" i="6"/>
  <c r="C121" i="6"/>
  <c r="D121" i="6"/>
  <c r="E121" i="6"/>
  <c r="F121" i="6"/>
  <c r="I121" i="6"/>
  <c r="L121" i="6"/>
  <c r="N121" i="6"/>
  <c r="Q121" i="6"/>
  <c r="R121" i="6"/>
  <c r="S121" i="6"/>
  <c r="T121" i="6"/>
  <c r="C122" i="6"/>
  <c r="D122" i="6"/>
  <c r="E122" i="6"/>
  <c r="F122" i="6"/>
  <c r="I122" i="6"/>
  <c r="N122" i="6"/>
  <c r="R122" i="6"/>
  <c r="Q122" i="6" s="1"/>
  <c r="S122" i="6"/>
  <c r="T122" i="6"/>
  <c r="C123" i="6"/>
  <c r="D123" i="6"/>
  <c r="E123" i="6"/>
  <c r="F123" i="6"/>
  <c r="H123" i="6"/>
  <c r="I123" i="6"/>
  <c r="L123" i="6"/>
  <c r="N123" i="6"/>
  <c r="Q123" i="6"/>
  <c r="R123" i="6"/>
  <c r="S123" i="6"/>
  <c r="T123" i="6"/>
  <c r="C124" i="6"/>
  <c r="D124" i="6"/>
  <c r="E124" i="6"/>
  <c r="F124" i="6"/>
  <c r="H124" i="6"/>
  <c r="I124" i="6"/>
  <c r="L124" i="6"/>
  <c r="N124" i="6"/>
  <c r="Q124" i="6"/>
  <c r="R124" i="6"/>
  <c r="S124" i="6"/>
  <c r="T124" i="6"/>
  <c r="C125" i="6"/>
  <c r="D125" i="6"/>
  <c r="E125" i="6"/>
  <c r="F125" i="6"/>
  <c r="H125" i="6"/>
  <c r="I125" i="6"/>
  <c r="L125" i="6"/>
  <c r="N125" i="6"/>
  <c r="Q125" i="6"/>
  <c r="R125" i="6"/>
  <c r="S125" i="6"/>
  <c r="T125" i="6"/>
  <c r="C126" i="6"/>
  <c r="D126" i="6"/>
  <c r="E126" i="6"/>
  <c r="F126" i="6"/>
  <c r="H126" i="6"/>
  <c r="I126" i="6"/>
  <c r="L126" i="6"/>
  <c r="N126" i="6"/>
  <c r="Q126" i="6"/>
  <c r="R126" i="6"/>
  <c r="S126" i="6"/>
  <c r="T126" i="6"/>
  <c r="C127" i="6"/>
  <c r="D127" i="6"/>
  <c r="E127" i="6"/>
  <c r="F127" i="6"/>
  <c r="H127" i="6"/>
  <c r="I127" i="6"/>
  <c r="L127" i="6"/>
  <c r="N127" i="6"/>
  <c r="Q127" i="6"/>
  <c r="R127" i="6"/>
  <c r="S127" i="6"/>
  <c r="T127" i="6"/>
  <c r="C128" i="6"/>
  <c r="D128" i="6"/>
  <c r="E128" i="6"/>
  <c r="F128" i="6"/>
  <c r="H128" i="6"/>
  <c r="I128" i="6"/>
  <c r="L128" i="6"/>
  <c r="N128" i="6"/>
  <c r="Q128" i="6"/>
  <c r="R128" i="6"/>
  <c r="S128" i="6"/>
  <c r="T128" i="6"/>
  <c r="C129" i="6"/>
  <c r="D129" i="6"/>
  <c r="E129" i="6"/>
  <c r="F129" i="6"/>
  <c r="H129" i="6"/>
  <c r="I129" i="6"/>
  <c r="L129" i="6"/>
  <c r="N129" i="6"/>
  <c r="Q129" i="6"/>
  <c r="R129" i="6"/>
  <c r="S129" i="6"/>
  <c r="T129" i="6"/>
  <c r="C130" i="6"/>
  <c r="D130" i="6"/>
  <c r="E130" i="6"/>
  <c r="F130" i="6"/>
  <c r="I130" i="6"/>
  <c r="N130" i="6"/>
  <c r="R130" i="6"/>
  <c r="Q130" i="6" s="1"/>
  <c r="S130" i="6" s="1"/>
  <c r="T130" i="6"/>
  <c r="C131" i="6"/>
  <c r="D131" i="6"/>
  <c r="E131" i="6"/>
  <c r="F131" i="6"/>
  <c r="I131" i="6"/>
  <c r="L131" i="6"/>
  <c r="N131" i="6"/>
  <c r="Q131" i="6"/>
  <c r="R131" i="6"/>
  <c r="S131" i="6"/>
  <c r="T131" i="6"/>
  <c r="C132" i="6"/>
  <c r="D132" i="6"/>
  <c r="E132" i="6"/>
  <c r="F132" i="6"/>
  <c r="I132" i="6"/>
  <c r="N132" i="6"/>
  <c r="R132" i="6"/>
  <c r="Q132" i="6" s="1"/>
  <c r="S132" i="6" s="1"/>
  <c r="T132" i="6"/>
  <c r="C133" i="6"/>
  <c r="D133" i="6"/>
  <c r="E133" i="6"/>
  <c r="F133" i="6"/>
  <c r="I133" i="6"/>
  <c r="L133" i="6"/>
  <c r="N133" i="6"/>
  <c r="Q133" i="6"/>
  <c r="R133" i="6"/>
  <c r="S133" i="6"/>
  <c r="T133" i="6"/>
  <c r="C134" i="6"/>
  <c r="D134" i="6"/>
  <c r="E134" i="6"/>
  <c r="F134" i="6"/>
  <c r="I134" i="6"/>
  <c r="N134" i="6"/>
  <c r="R134" i="6"/>
  <c r="Q134" i="6" s="1"/>
  <c r="S134" i="6" s="1"/>
  <c r="T134" i="6"/>
  <c r="C135" i="6"/>
  <c r="D135" i="6"/>
  <c r="E135" i="6"/>
  <c r="F135" i="6"/>
  <c r="H135" i="6"/>
  <c r="I135" i="6"/>
  <c r="N135" i="6"/>
  <c r="R135" i="6"/>
  <c r="Q135" i="6" s="1"/>
  <c r="S135" i="6" s="1"/>
  <c r="T135" i="6"/>
  <c r="C136" i="6"/>
  <c r="D136" i="6"/>
  <c r="E136" i="6"/>
  <c r="F136" i="6"/>
  <c r="H136" i="6"/>
  <c r="I136" i="6"/>
  <c r="N136" i="6"/>
  <c r="R136" i="6"/>
  <c r="Q136" i="6" s="1"/>
  <c r="S136" i="6" s="1"/>
  <c r="T136" i="6"/>
  <c r="C137" i="6"/>
  <c r="D137" i="6"/>
  <c r="E137" i="6"/>
  <c r="F137" i="6"/>
  <c r="H137" i="6"/>
  <c r="I137" i="6"/>
  <c r="N137" i="6"/>
  <c r="R137" i="6"/>
  <c r="Q137" i="6" s="1"/>
  <c r="S137" i="6" s="1"/>
  <c r="T137" i="6"/>
  <c r="C138" i="6"/>
  <c r="D138" i="6"/>
  <c r="E138" i="6"/>
  <c r="F138" i="6"/>
  <c r="H138" i="6"/>
  <c r="I138" i="6"/>
  <c r="N138" i="6"/>
  <c r="R138" i="6"/>
  <c r="Q138" i="6" s="1"/>
  <c r="S138" i="6" s="1"/>
  <c r="T138" i="6"/>
  <c r="C139" i="6"/>
  <c r="D139" i="6"/>
  <c r="E139" i="6"/>
  <c r="F139" i="6"/>
  <c r="H139" i="6"/>
  <c r="I139" i="6"/>
  <c r="N139" i="6"/>
  <c r="R139" i="6"/>
  <c r="Q139" i="6" s="1"/>
  <c r="S139" i="6" s="1"/>
  <c r="T139" i="6"/>
  <c r="C140" i="6"/>
  <c r="D140" i="6"/>
  <c r="E140" i="6"/>
  <c r="F140" i="6"/>
  <c r="H140" i="6"/>
  <c r="I140" i="6"/>
  <c r="N140" i="6"/>
  <c r="R140" i="6"/>
  <c r="Q140" i="6" s="1"/>
  <c r="S140" i="6" s="1"/>
  <c r="T140" i="6"/>
  <c r="C141" i="6"/>
  <c r="D141" i="6"/>
  <c r="E141" i="6"/>
  <c r="F141" i="6"/>
  <c r="H141" i="6"/>
  <c r="I141" i="6"/>
  <c r="N141" i="6"/>
  <c r="R141" i="6"/>
  <c r="Q141" i="6" s="1"/>
  <c r="S141" i="6" s="1"/>
  <c r="T141" i="6"/>
  <c r="C142" i="6"/>
  <c r="D142" i="6"/>
  <c r="E142" i="6"/>
  <c r="F142" i="6"/>
  <c r="I142" i="6"/>
  <c r="L142" i="6"/>
  <c r="N142" i="6"/>
  <c r="Q142" i="6"/>
  <c r="R142" i="6"/>
  <c r="S142" i="6"/>
  <c r="T142" i="6"/>
  <c r="C143" i="6"/>
  <c r="D143" i="6"/>
  <c r="E143" i="6"/>
  <c r="F143" i="6"/>
  <c r="I143" i="6"/>
  <c r="N143" i="6"/>
  <c r="R143" i="6"/>
  <c r="Q143" i="6" s="1"/>
  <c r="S143" i="6" s="1"/>
  <c r="T143" i="6"/>
  <c r="C144" i="6"/>
  <c r="D144" i="6"/>
  <c r="E144" i="6"/>
  <c r="F144" i="6"/>
  <c r="I144" i="6"/>
  <c r="L144" i="6"/>
  <c r="N144" i="6"/>
  <c r="Q144" i="6"/>
  <c r="R144" i="6"/>
  <c r="S144" i="6"/>
  <c r="T144" i="6"/>
  <c r="C145" i="6"/>
  <c r="D145" i="6"/>
  <c r="E145" i="6"/>
  <c r="F145" i="6"/>
  <c r="I145" i="6"/>
  <c r="N145" i="6"/>
  <c r="R145" i="6"/>
  <c r="Q145" i="6" s="1"/>
  <c r="S145" i="6" s="1"/>
  <c r="T145" i="6"/>
  <c r="C146" i="6"/>
  <c r="D146" i="6"/>
  <c r="E146" i="6"/>
  <c r="F146" i="6"/>
  <c r="I146" i="6"/>
  <c r="L146" i="6"/>
  <c r="N146" i="6"/>
  <c r="Q146" i="6"/>
  <c r="R146" i="6"/>
  <c r="S146" i="6"/>
  <c r="T146" i="6"/>
  <c r="C147" i="6"/>
  <c r="D147" i="6"/>
  <c r="E147" i="6"/>
  <c r="F147" i="6"/>
  <c r="H147" i="6"/>
  <c r="I147" i="6"/>
  <c r="L147" i="6"/>
  <c r="N147" i="6"/>
  <c r="Q147" i="6"/>
  <c r="R147" i="6"/>
  <c r="S147" i="6"/>
  <c r="T147" i="6"/>
  <c r="C148" i="6"/>
  <c r="D148" i="6"/>
  <c r="E148" i="6"/>
  <c r="F148" i="6"/>
  <c r="H148" i="6"/>
  <c r="I148" i="6"/>
  <c r="L148" i="6"/>
  <c r="N148" i="6"/>
  <c r="Q148" i="6"/>
  <c r="R148" i="6"/>
  <c r="S148" i="6"/>
  <c r="T148" i="6"/>
  <c r="C149" i="6"/>
  <c r="D149" i="6"/>
  <c r="E149" i="6"/>
  <c r="F149" i="6"/>
  <c r="H149" i="6"/>
  <c r="I149" i="6"/>
  <c r="L149" i="6"/>
  <c r="N149" i="6"/>
  <c r="Q149" i="6"/>
  <c r="R149" i="6"/>
  <c r="S149" i="6"/>
  <c r="T149" i="6"/>
  <c r="C150" i="6"/>
  <c r="D150" i="6"/>
  <c r="E150" i="6"/>
  <c r="F150" i="6"/>
  <c r="H150" i="6"/>
  <c r="I150" i="6"/>
  <c r="L150" i="6"/>
  <c r="N150" i="6"/>
  <c r="Q150" i="6"/>
  <c r="R150" i="6"/>
  <c r="S150" i="6"/>
  <c r="T150" i="6"/>
  <c r="C151" i="6"/>
  <c r="D151" i="6"/>
  <c r="E151" i="6"/>
  <c r="F151" i="6"/>
  <c r="H151" i="6"/>
  <c r="I151" i="6"/>
  <c r="L151" i="6"/>
  <c r="N151" i="6"/>
  <c r="Q151" i="6"/>
  <c r="R151" i="6"/>
  <c r="S151" i="6"/>
  <c r="T151" i="6"/>
  <c r="C152" i="6"/>
  <c r="D152" i="6"/>
  <c r="E152" i="6"/>
  <c r="F152" i="6"/>
  <c r="H152" i="6"/>
  <c r="I152" i="6"/>
  <c r="L152" i="6"/>
  <c r="N152" i="6"/>
  <c r="Q152" i="6"/>
  <c r="R152" i="6"/>
  <c r="S152" i="6"/>
  <c r="T152" i="6"/>
  <c r="C153" i="6"/>
  <c r="D153" i="6"/>
  <c r="E153" i="6"/>
  <c r="F153" i="6"/>
  <c r="H153" i="6"/>
  <c r="I153" i="6"/>
  <c r="L153" i="6"/>
  <c r="N153" i="6"/>
  <c r="Q153" i="6"/>
  <c r="R153" i="6"/>
  <c r="S153" i="6"/>
  <c r="T153" i="6"/>
  <c r="C154" i="6"/>
  <c r="D154" i="6"/>
  <c r="E154" i="6"/>
  <c r="F154" i="6"/>
  <c r="I154" i="6"/>
  <c r="N154" i="6"/>
  <c r="R154" i="6"/>
  <c r="Q154" i="6" s="1"/>
  <c r="S154" i="6" s="1"/>
  <c r="T154" i="6"/>
  <c r="C155" i="6"/>
  <c r="D155" i="6"/>
  <c r="E155" i="6"/>
  <c r="F155" i="6"/>
  <c r="I155" i="6"/>
  <c r="L155" i="6"/>
  <c r="N155" i="6"/>
  <c r="Q155" i="6"/>
  <c r="R155" i="6"/>
  <c r="S155" i="6"/>
  <c r="T155" i="6"/>
  <c r="C156" i="6"/>
  <c r="D156" i="6"/>
  <c r="E156" i="6"/>
  <c r="F156" i="6"/>
  <c r="I156" i="6"/>
  <c r="N156" i="6"/>
  <c r="R156" i="6"/>
  <c r="Q156" i="6" s="1"/>
  <c r="S156" i="6" s="1"/>
  <c r="T156" i="6"/>
  <c r="C157" i="6"/>
  <c r="D157" i="6"/>
  <c r="E157" i="6"/>
  <c r="F157" i="6"/>
  <c r="I157" i="6"/>
  <c r="L157" i="6"/>
  <c r="N157" i="6"/>
  <c r="Q157" i="6"/>
  <c r="R157" i="6"/>
  <c r="S157" i="6"/>
  <c r="T157" i="6"/>
  <c r="C158" i="6"/>
  <c r="D158" i="6"/>
  <c r="E158" i="6"/>
  <c r="F158" i="6"/>
  <c r="I158" i="6"/>
  <c r="N158" i="6"/>
  <c r="R158" i="6"/>
  <c r="Q158" i="6" s="1"/>
  <c r="S158" i="6" s="1"/>
  <c r="T158" i="6"/>
  <c r="C159" i="6"/>
  <c r="D159" i="6"/>
  <c r="E159" i="6"/>
  <c r="F159" i="6"/>
  <c r="H159" i="6"/>
  <c r="I159" i="6"/>
  <c r="N159" i="6"/>
  <c r="R159" i="6"/>
  <c r="Q159" i="6" s="1"/>
  <c r="S159" i="6" s="1"/>
  <c r="T159" i="6"/>
  <c r="C160" i="6"/>
  <c r="D160" i="6"/>
  <c r="E160" i="6"/>
  <c r="F160" i="6"/>
  <c r="H160" i="6"/>
  <c r="I160" i="6"/>
  <c r="N160" i="6"/>
  <c r="R160" i="6"/>
  <c r="Q160" i="6" s="1"/>
  <c r="S160" i="6" s="1"/>
  <c r="T160" i="6"/>
  <c r="C161" i="6"/>
  <c r="D161" i="6"/>
  <c r="E161" i="6"/>
  <c r="F161" i="6"/>
  <c r="H161" i="6"/>
  <c r="I161" i="6"/>
  <c r="N161" i="6"/>
  <c r="R161" i="6"/>
  <c r="Q161" i="6" s="1"/>
  <c r="S161" i="6" s="1"/>
  <c r="T161" i="6"/>
  <c r="C162" i="6"/>
  <c r="D162" i="6"/>
  <c r="E162" i="6"/>
  <c r="F162" i="6"/>
  <c r="H162" i="6"/>
  <c r="I162" i="6"/>
  <c r="N162" i="6"/>
  <c r="R162" i="6"/>
  <c r="Q162" i="6" s="1"/>
  <c r="S162" i="6" s="1"/>
  <c r="T162" i="6"/>
  <c r="C163" i="6"/>
  <c r="D163" i="6"/>
  <c r="E163" i="6"/>
  <c r="F163" i="6"/>
  <c r="H163" i="6"/>
  <c r="I163" i="6"/>
  <c r="N163" i="6"/>
  <c r="R163" i="6"/>
  <c r="Q163" i="6" s="1"/>
  <c r="S163" i="6" s="1"/>
  <c r="T163" i="6"/>
  <c r="C164" i="6"/>
  <c r="D164" i="6"/>
  <c r="E164" i="6"/>
  <c r="F164" i="6"/>
  <c r="H164" i="6"/>
  <c r="I164" i="6"/>
  <c r="N164" i="6"/>
  <c r="R164" i="6"/>
  <c r="Q164" i="6" s="1"/>
  <c r="S164" i="6" s="1"/>
  <c r="T164" i="6"/>
  <c r="C165" i="6"/>
  <c r="D165" i="6"/>
  <c r="E165" i="6"/>
  <c r="F165" i="6"/>
  <c r="H165" i="6"/>
  <c r="I165" i="6"/>
  <c r="N165" i="6"/>
  <c r="R165" i="6"/>
  <c r="Q165" i="6" s="1"/>
  <c r="S165" i="6" s="1"/>
  <c r="T165" i="6"/>
  <c r="C166" i="6"/>
  <c r="D166" i="6"/>
  <c r="E166" i="6"/>
  <c r="F166" i="6"/>
  <c r="I166" i="6"/>
  <c r="L166" i="6"/>
  <c r="N166" i="6"/>
  <c r="Q166" i="6"/>
  <c r="R166" i="6"/>
  <c r="S166" i="6"/>
  <c r="T166" i="6"/>
  <c r="C167" i="6"/>
  <c r="D167" i="6"/>
  <c r="E167" i="6"/>
  <c r="F167" i="6"/>
  <c r="I167" i="6"/>
  <c r="N167" i="6"/>
  <c r="R167" i="6"/>
  <c r="Q167" i="6" s="1"/>
  <c r="S167" i="6" s="1"/>
  <c r="T167" i="6"/>
  <c r="C168" i="6"/>
  <c r="D168" i="6"/>
  <c r="E168" i="6"/>
  <c r="F168" i="6"/>
  <c r="I168" i="6"/>
  <c r="L168" i="6"/>
  <c r="N168" i="6"/>
  <c r="Q168" i="6"/>
  <c r="R168" i="6"/>
  <c r="S168" i="6"/>
  <c r="T168" i="6"/>
  <c r="C169" i="6"/>
  <c r="D169" i="6"/>
  <c r="E169" i="6"/>
  <c r="F169" i="6"/>
  <c r="I169" i="6"/>
  <c r="N169" i="6"/>
  <c r="R169" i="6"/>
  <c r="Q169" i="6" s="1"/>
  <c r="S169" i="6" s="1"/>
  <c r="T169" i="6"/>
  <c r="C170" i="6"/>
  <c r="D170" i="6"/>
  <c r="E170" i="6"/>
  <c r="F170" i="6"/>
  <c r="I170" i="6"/>
  <c r="L170" i="6"/>
  <c r="N170" i="6"/>
  <c r="Q170" i="6"/>
  <c r="R170" i="6"/>
  <c r="S170" i="6"/>
  <c r="T170" i="6"/>
  <c r="C171" i="6"/>
  <c r="D171" i="6"/>
  <c r="E171" i="6"/>
  <c r="F171" i="6"/>
  <c r="H171" i="6"/>
  <c r="I171" i="6"/>
  <c r="L171" i="6"/>
  <c r="N171" i="6"/>
  <c r="Q171" i="6"/>
  <c r="R171" i="6"/>
  <c r="S171" i="6"/>
  <c r="T171" i="6"/>
  <c r="C172" i="6"/>
  <c r="D172" i="6"/>
  <c r="E172" i="6"/>
  <c r="F172" i="6"/>
  <c r="H172" i="6"/>
  <c r="I172" i="6"/>
  <c r="L172" i="6"/>
  <c r="N172" i="6"/>
  <c r="Q172" i="6"/>
  <c r="R172" i="6"/>
  <c r="S172" i="6"/>
  <c r="T172" i="6"/>
  <c r="C173" i="6"/>
  <c r="D173" i="6"/>
  <c r="E173" i="6"/>
  <c r="F173" i="6"/>
  <c r="H173" i="6"/>
  <c r="I173" i="6"/>
  <c r="L173" i="6"/>
  <c r="N173" i="6"/>
  <c r="Q173" i="6"/>
  <c r="R173" i="6"/>
  <c r="S173" i="6"/>
  <c r="T173" i="6"/>
  <c r="C174" i="6"/>
  <c r="D174" i="6"/>
  <c r="E174" i="6"/>
  <c r="F174" i="6"/>
  <c r="H174" i="6"/>
  <c r="I174" i="6"/>
  <c r="L174" i="6"/>
  <c r="N174" i="6"/>
  <c r="Q174" i="6"/>
  <c r="R174" i="6"/>
  <c r="S174" i="6"/>
  <c r="T174" i="6"/>
  <c r="C175" i="6"/>
  <c r="D175" i="6"/>
  <c r="E175" i="6"/>
  <c r="F175" i="6"/>
  <c r="H175" i="6"/>
  <c r="I175" i="6"/>
  <c r="L175" i="6"/>
  <c r="N175" i="6"/>
  <c r="Q175" i="6"/>
  <c r="R175" i="6"/>
  <c r="S175" i="6"/>
  <c r="T175" i="6"/>
  <c r="C176" i="6"/>
  <c r="D176" i="6"/>
  <c r="E176" i="6"/>
  <c r="F176" i="6"/>
  <c r="H176" i="6"/>
  <c r="I176" i="6"/>
  <c r="L176" i="6"/>
  <c r="N176" i="6"/>
  <c r="Q176" i="6"/>
  <c r="R176" i="6"/>
  <c r="S176" i="6"/>
  <c r="T176" i="6"/>
  <c r="C177" i="6"/>
  <c r="D177" i="6"/>
  <c r="E177" i="6"/>
  <c r="F177" i="6"/>
  <c r="H177" i="6"/>
  <c r="I177" i="6"/>
  <c r="L177" i="6"/>
  <c r="N177" i="6"/>
  <c r="Q177" i="6"/>
  <c r="R177" i="6"/>
  <c r="S177" i="6"/>
  <c r="T177" i="6"/>
  <c r="C178" i="6"/>
  <c r="D178" i="6"/>
  <c r="E178" i="6"/>
  <c r="F178" i="6"/>
  <c r="I178" i="6"/>
  <c r="N178" i="6"/>
  <c r="R178" i="6"/>
  <c r="Q178" i="6" s="1"/>
  <c r="S178" i="6" s="1"/>
  <c r="T178" i="6"/>
  <c r="C179" i="6"/>
  <c r="D179" i="6"/>
  <c r="E179" i="6"/>
  <c r="F179" i="6"/>
  <c r="I179" i="6"/>
  <c r="L179" i="6"/>
  <c r="N179" i="6"/>
  <c r="Q179" i="6"/>
  <c r="R179" i="6"/>
  <c r="S179" i="6"/>
  <c r="T179" i="6"/>
  <c r="C180" i="6"/>
  <c r="D180" i="6"/>
  <c r="E180" i="6"/>
  <c r="F180" i="6"/>
  <c r="I180" i="6"/>
  <c r="N180" i="6"/>
  <c r="R180" i="6"/>
  <c r="Q180" i="6" s="1"/>
  <c r="S180" i="6" s="1"/>
  <c r="T180" i="6"/>
  <c r="C181" i="6"/>
  <c r="D181" i="6"/>
  <c r="E181" i="6"/>
  <c r="F181" i="6"/>
  <c r="I181" i="6"/>
  <c r="L181" i="6"/>
  <c r="N181" i="6"/>
  <c r="Q181" i="6"/>
  <c r="R181" i="6"/>
  <c r="S181" i="6"/>
  <c r="T181" i="6"/>
  <c r="C182" i="6"/>
  <c r="D182" i="6"/>
  <c r="E182" i="6"/>
  <c r="F182" i="6"/>
  <c r="I182" i="6"/>
  <c r="N182" i="6"/>
  <c r="R182" i="6"/>
  <c r="Q182" i="6" s="1"/>
  <c r="S182" i="6" s="1"/>
  <c r="T182" i="6"/>
  <c r="C183" i="6"/>
  <c r="D183" i="6"/>
  <c r="E183" i="6"/>
  <c r="F183" i="6"/>
  <c r="H183" i="6"/>
  <c r="I183" i="6"/>
  <c r="N183" i="6"/>
  <c r="R183" i="6"/>
  <c r="Q183" i="6" s="1"/>
  <c r="S183" i="6" s="1"/>
  <c r="T183" i="6"/>
  <c r="C184" i="6"/>
  <c r="D184" i="6"/>
  <c r="E184" i="6"/>
  <c r="F184" i="6"/>
  <c r="H184" i="6"/>
  <c r="I184" i="6"/>
  <c r="N184" i="6"/>
  <c r="R184" i="6"/>
  <c r="Q184" i="6" s="1"/>
  <c r="S184" i="6" s="1"/>
  <c r="T184" i="6"/>
  <c r="C185" i="6"/>
  <c r="D185" i="6"/>
  <c r="E185" i="6"/>
  <c r="F185" i="6"/>
  <c r="H185" i="6"/>
  <c r="I185" i="6"/>
  <c r="N185" i="6"/>
  <c r="R185" i="6"/>
  <c r="Q185" i="6" s="1"/>
  <c r="S185" i="6" s="1"/>
  <c r="T185" i="6"/>
  <c r="C186" i="6"/>
  <c r="D186" i="6"/>
  <c r="E186" i="6"/>
  <c r="F186" i="6"/>
  <c r="H186" i="6"/>
  <c r="I186" i="6"/>
  <c r="N186" i="6"/>
  <c r="R186" i="6"/>
  <c r="Q186" i="6" s="1"/>
  <c r="S186" i="6" s="1"/>
  <c r="T186" i="6"/>
  <c r="C187" i="6"/>
  <c r="D187" i="6"/>
  <c r="E187" i="6"/>
  <c r="F187" i="6"/>
  <c r="H187" i="6"/>
  <c r="I187" i="6"/>
  <c r="N187" i="6"/>
  <c r="R187" i="6"/>
  <c r="Q187" i="6" s="1"/>
  <c r="S187" i="6" s="1"/>
  <c r="T187" i="6"/>
  <c r="C188" i="6"/>
  <c r="D188" i="6"/>
  <c r="E188" i="6"/>
  <c r="F188" i="6"/>
  <c r="H188" i="6"/>
  <c r="I188" i="6"/>
  <c r="N188" i="6"/>
  <c r="R188" i="6"/>
  <c r="Q188" i="6" s="1"/>
  <c r="S188" i="6" s="1"/>
  <c r="T188" i="6"/>
  <c r="C189" i="6"/>
  <c r="D189" i="6"/>
  <c r="E189" i="6"/>
  <c r="F189" i="6"/>
  <c r="H189" i="6"/>
  <c r="I189" i="6"/>
  <c r="N189" i="6"/>
  <c r="R189" i="6"/>
  <c r="Q189" i="6" s="1"/>
  <c r="S189" i="6" s="1"/>
  <c r="T189" i="6"/>
  <c r="C190" i="6"/>
  <c r="D190" i="6"/>
  <c r="E190" i="6"/>
  <c r="F190" i="6"/>
  <c r="I190" i="6"/>
  <c r="L190" i="6"/>
  <c r="N190" i="6"/>
  <c r="Q190" i="6"/>
  <c r="R190" i="6"/>
  <c r="S190" i="6"/>
  <c r="T190" i="6"/>
  <c r="C191" i="6"/>
  <c r="D191" i="6"/>
  <c r="E191" i="6"/>
  <c r="F191" i="6"/>
  <c r="I191" i="6"/>
  <c r="N191" i="6"/>
  <c r="R191" i="6"/>
  <c r="Q191" i="6" s="1"/>
  <c r="S191" i="6" s="1"/>
  <c r="T191" i="6"/>
  <c r="C192" i="6"/>
  <c r="D192" i="6"/>
  <c r="E192" i="6"/>
  <c r="F192" i="6"/>
  <c r="I192" i="6"/>
  <c r="L192" i="6"/>
  <c r="N192" i="6"/>
  <c r="Q192" i="6"/>
  <c r="R192" i="6"/>
  <c r="S192" i="6"/>
  <c r="T192" i="6"/>
  <c r="C193" i="6"/>
  <c r="D193" i="6"/>
  <c r="E193" i="6"/>
  <c r="F193" i="6"/>
  <c r="I193" i="6"/>
  <c r="N193" i="6"/>
  <c r="R193" i="6"/>
  <c r="Q193" i="6" s="1"/>
  <c r="S193" i="6" s="1"/>
  <c r="T193" i="6"/>
  <c r="C194" i="6"/>
  <c r="D194" i="6"/>
  <c r="E194" i="6"/>
  <c r="F194" i="6"/>
  <c r="I194" i="6"/>
  <c r="L194" i="6"/>
  <c r="N194" i="6"/>
  <c r="Q194" i="6"/>
  <c r="R194" i="6"/>
  <c r="S194" i="6"/>
  <c r="T194" i="6"/>
  <c r="C195" i="6"/>
  <c r="D195" i="6"/>
  <c r="E195" i="6"/>
  <c r="F195" i="6"/>
  <c r="H195" i="6"/>
  <c r="I195" i="6"/>
  <c r="L195" i="6"/>
  <c r="N195" i="6"/>
  <c r="Q195" i="6"/>
  <c r="R195" i="6"/>
  <c r="S195" i="6"/>
  <c r="T195" i="6"/>
  <c r="C196" i="6"/>
  <c r="D196" i="6"/>
  <c r="E196" i="6"/>
  <c r="F196" i="6"/>
  <c r="H196" i="6"/>
  <c r="I196" i="6"/>
  <c r="L196" i="6"/>
  <c r="N196" i="6"/>
  <c r="Q196" i="6"/>
  <c r="R196" i="6"/>
  <c r="S196" i="6"/>
  <c r="T196" i="6"/>
  <c r="C197" i="6"/>
  <c r="D197" i="6"/>
  <c r="E197" i="6"/>
  <c r="F197" i="6"/>
  <c r="H197" i="6"/>
  <c r="I197" i="6"/>
  <c r="L197" i="6"/>
  <c r="N197" i="6"/>
  <c r="Q197" i="6"/>
  <c r="R197" i="6"/>
  <c r="S197" i="6"/>
  <c r="T197" i="6"/>
  <c r="C198" i="6"/>
  <c r="D198" i="6"/>
  <c r="E198" i="6"/>
  <c r="F198" i="6"/>
  <c r="H198" i="6"/>
  <c r="I198" i="6"/>
  <c r="L198" i="6"/>
  <c r="N198" i="6"/>
  <c r="Q198" i="6"/>
  <c r="R198" i="6"/>
  <c r="S198" i="6"/>
  <c r="T198" i="6"/>
  <c r="C199" i="6"/>
  <c r="D199" i="6"/>
  <c r="E199" i="6"/>
  <c r="F199" i="6"/>
  <c r="H199" i="6"/>
  <c r="I199" i="6"/>
  <c r="L199" i="6"/>
  <c r="N199" i="6"/>
  <c r="Q199" i="6"/>
  <c r="R199" i="6"/>
  <c r="S199" i="6"/>
  <c r="T199" i="6"/>
  <c r="C200" i="6"/>
  <c r="D200" i="6"/>
  <c r="E200" i="6"/>
  <c r="F200" i="6"/>
  <c r="H200" i="6"/>
  <c r="I200" i="6"/>
  <c r="L200" i="6"/>
  <c r="N200" i="6"/>
  <c r="Q200" i="6"/>
  <c r="R200" i="6"/>
  <c r="S200" i="6"/>
  <c r="T200" i="6"/>
  <c r="C201" i="6"/>
  <c r="D201" i="6"/>
  <c r="E201" i="6"/>
  <c r="F201" i="6"/>
  <c r="H201" i="6"/>
  <c r="I201" i="6"/>
  <c r="L201" i="6"/>
  <c r="N201" i="6"/>
  <c r="Q201" i="6"/>
  <c r="R201" i="6"/>
  <c r="S201" i="6"/>
  <c r="T201" i="6"/>
  <c r="C202" i="6"/>
  <c r="D202" i="6"/>
  <c r="E202" i="6"/>
  <c r="F202" i="6"/>
  <c r="I202" i="6"/>
  <c r="N202" i="6"/>
  <c r="R202" i="6"/>
  <c r="Q202" i="6" s="1"/>
  <c r="S202" i="6" s="1"/>
  <c r="T202" i="6"/>
  <c r="C203" i="6"/>
  <c r="D203" i="6"/>
  <c r="E203" i="6"/>
  <c r="F203" i="6"/>
  <c r="I203" i="6"/>
  <c r="L203" i="6"/>
  <c r="N203" i="6"/>
  <c r="Q203" i="6"/>
  <c r="R203" i="6"/>
  <c r="S203" i="6"/>
  <c r="T203" i="6"/>
  <c r="C204" i="6"/>
  <c r="D204" i="6"/>
  <c r="E204" i="6"/>
  <c r="F204" i="6"/>
  <c r="I204" i="6"/>
  <c r="N204" i="6"/>
  <c r="R204" i="6"/>
  <c r="Q204" i="6" s="1"/>
  <c r="S204" i="6" s="1"/>
  <c r="T204" i="6"/>
  <c r="C205" i="6"/>
  <c r="D205" i="6"/>
  <c r="E205" i="6"/>
  <c r="F205" i="6"/>
  <c r="I205" i="6"/>
  <c r="L205" i="6"/>
  <c r="N205" i="6"/>
  <c r="Q205" i="6"/>
  <c r="R205" i="6"/>
  <c r="S205" i="6"/>
  <c r="T205" i="6"/>
  <c r="C206" i="6"/>
  <c r="D206" i="6"/>
  <c r="E206" i="6"/>
  <c r="F206" i="6"/>
  <c r="I206" i="6"/>
  <c r="N206" i="6"/>
  <c r="R206" i="6"/>
  <c r="Q206" i="6" s="1"/>
  <c r="S206" i="6" s="1"/>
  <c r="T206" i="6"/>
  <c r="C207" i="6"/>
  <c r="D207" i="6"/>
  <c r="E207" i="6"/>
  <c r="F207" i="6"/>
  <c r="H207" i="6"/>
  <c r="I207" i="6"/>
  <c r="N207" i="6"/>
  <c r="R207" i="6"/>
  <c r="Q207" i="6" s="1"/>
  <c r="S207" i="6" s="1"/>
  <c r="T207" i="6"/>
  <c r="C208" i="6"/>
  <c r="D208" i="6"/>
  <c r="E208" i="6"/>
  <c r="F208" i="6"/>
  <c r="H208" i="6"/>
  <c r="I208" i="6"/>
  <c r="N208" i="6"/>
  <c r="R208" i="6"/>
  <c r="Q208" i="6" s="1"/>
  <c r="S208" i="6" s="1"/>
  <c r="T208" i="6"/>
  <c r="C209" i="6"/>
  <c r="D209" i="6"/>
  <c r="E209" i="6"/>
  <c r="F209" i="6"/>
  <c r="H209" i="6"/>
  <c r="I209" i="6"/>
  <c r="N209" i="6"/>
  <c r="R209" i="6"/>
  <c r="Q209" i="6" s="1"/>
  <c r="S209" i="6" s="1"/>
  <c r="T209" i="6"/>
  <c r="C210" i="6"/>
  <c r="D210" i="6"/>
  <c r="E210" i="6"/>
  <c r="F210" i="6"/>
  <c r="H210" i="6"/>
  <c r="I210" i="6"/>
  <c r="N210" i="6"/>
  <c r="R210" i="6"/>
  <c r="Q210" i="6" s="1"/>
  <c r="S210" i="6" s="1"/>
  <c r="T210" i="6"/>
  <c r="C211" i="6"/>
  <c r="D211" i="6"/>
  <c r="E211" i="6"/>
  <c r="F211" i="6"/>
  <c r="H211" i="6"/>
  <c r="I211" i="6"/>
  <c r="N211" i="6"/>
  <c r="R211" i="6"/>
  <c r="Q211" i="6" s="1"/>
  <c r="S211" i="6" s="1"/>
  <c r="T211" i="6"/>
  <c r="C212" i="6"/>
  <c r="D212" i="6"/>
  <c r="E212" i="6"/>
  <c r="F212" i="6"/>
  <c r="H212" i="6"/>
  <c r="I212" i="6"/>
  <c r="N212" i="6"/>
  <c r="R212" i="6"/>
  <c r="Q212" i="6" s="1"/>
  <c r="S212" i="6" s="1"/>
  <c r="T212" i="6"/>
  <c r="C213" i="6"/>
  <c r="D213" i="6"/>
  <c r="E213" i="6"/>
  <c r="F213" i="6"/>
  <c r="H213" i="6"/>
  <c r="I213" i="6"/>
  <c r="N213" i="6"/>
  <c r="R213" i="6"/>
  <c r="Q213" i="6" s="1"/>
  <c r="S213" i="6" s="1"/>
  <c r="T213" i="6"/>
  <c r="C214" i="6"/>
  <c r="D214" i="6"/>
  <c r="E214" i="6"/>
  <c r="F214" i="6"/>
  <c r="I214" i="6"/>
  <c r="L214" i="6"/>
  <c r="N214" i="6"/>
  <c r="Q214" i="6"/>
  <c r="R214" i="6"/>
  <c r="S214" i="6"/>
  <c r="T214" i="6"/>
  <c r="C215" i="6"/>
  <c r="D215" i="6"/>
  <c r="E215" i="6"/>
  <c r="F215" i="6"/>
  <c r="I215" i="6"/>
  <c r="N215" i="6"/>
  <c r="R215" i="6"/>
  <c r="Q215" i="6" s="1"/>
  <c r="S215" i="6" s="1"/>
  <c r="T215" i="6"/>
  <c r="C216" i="6"/>
  <c r="D216" i="6"/>
  <c r="E216" i="6"/>
  <c r="F216" i="6"/>
  <c r="I216" i="6"/>
  <c r="L216" i="6"/>
  <c r="N216" i="6"/>
  <c r="Q216" i="6"/>
  <c r="R216" i="6"/>
  <c r="S216" i="6"/>
  <c r="T216" i="6"/>
  <c r="C217" i="6"/>
  <c r="D217" i="6"/>
  <c r="E217" i="6"/>
  <c r="F217" i="6"/>
  <c r="I217" i="6"/>
  <c r="N217" i="6"/>
  <c r="R217" i="6"/>
  <c r="Q217" i="6" s="1"/>
  <c r="S217" i="6" s="1"/>
  <c r="T217" i="6"/>
  <c r="C218" i="6"/>
  <c r="D218" i="6"/>
  <c r="E218" i="6"/>
  <c r="F218" i="6"/>
  <c r="I218" i="6"/>
  <c r="L218" i="6"/>
  <c r="N218" i="6"/>
  <c r="Q218" i="6"/>
  <c r="R218" i="6"/>
  <c r="S218" i="6"/>
  <c r="T218" i="6"/>
  <c r="C219" i="6"/>
  <c r="D219" i="6"/>
  <c r="E219" i="6"/>
  <c r="F219" i="6"/>
  <c r="H219" i="6"/>
  <c r="I219" i="6"/>
  <c r="L219" i="6"/>
  <c r="N219" i="6"/>
  <c r="Q219" i="6"/>
  <c r="R219" i="6"/>
  <c r="S219" i="6"/>
  <c r="T219" i="6"/>
  <c r="C220" i="6"/>
  <c r="D220" i="6"/>
  <c r="E220" i="6"/>
  <c r="F220" i="6"/>
  <c r="H220" i="6"/>
  <c r="I220" i="6"/>
  <c r="L220" i="6"/>
  <c r="N220" i="6"/>
  <c r="Q220" i="6"/>
  <c r="R220" i="6"/>
  <c r="S220" i="6"/>
  <c r="T220" i="6"/>
  <c r="C221" i="6"/>
  <c r="D221" i="6"/>
  <c r="E221" i="6"/>
  <c r="F221" i="6"/>
  <c r="H221" i="6"/>
  <c r="I221" i="6"/>
  <c r="L221" i="6"/>
  <c r="N221" i="6"/>
  <c r="Q221" i="6"/>
  <c r="R221" i="6"/>
  <c r="S221" i="6"/>
  <c r="T221" i="6"/>
  <c r="C222" i="6"/>
  <c r="D222" i="6"/>
  <c r="E222" i="6"/>
  <c r="F222" i="6"/>
  <c r="H222" i="6"/>
  <c r="I222" i="6"/>
  <c r="L222" i="6"/>
  <c r="N222" i="6"/>
  <c r="Q222" i="6"/>
  <c r="R222" i="6"/>
  <c r="S222" i="6"/>
  <c r="T222" i="6"/>
  <c r="C223" i="6"/>
  <c r="D223" i="6"/>
  <c r="E223" i="6"/>
  <c r="F223" i="6"/>
  <c r="H223" i="6"/>
  <c r="I223" i="6"/>
  <c r="L223" i="6"/>
  <c r="N223" i="6"/>
  <c r="Q223" i="6"/>
  <c r="R223" i="6"/>
  <c r="S223" i="6"/>
  <c r="T223" i="6"/>
  <c r="C224" i="6"/>
  <c r="D224" i="6"/>
  <c r="E224" i="6"/>
  <c r="F224" i="6"/>
  <c r="H224" i="6"/>
  <c r="I224" i="6"/>
  <c r="L224" i="6"/>
  <c r="N224" i="6"/>
  <c r="Q224" i="6"/>
  <c r="R224" i="6"/>
  <c r="S224" i="6"/>
  <c r="T224" i="6"/>
  <c r="C225" i="6"/>
  <c r="D225" i="6"/>
  <c r="E225" i="6"/>
  <c r="F225" i="6"/>
  <c r="H225" i="6"/>
  <c r="I225" i="6"/>
  <c r="L225" i="6"/>
  <c r="N225" i="6"/>
  <c r="Q225" i="6"/>
  <c r="R225" i="6"/>
  <c r="S225" i="6"/>
  <c r="T225" i="6"/>
  <c r="C226" i="6"/>
  <c r="D226" i="6"/>
  <c r="E226" i="6"/>
  <c r="F226" i="6"/>
  <c r="I226" i="6"/>
  <c r="N226" i="6"/>
  <c r="R226" i="6"/>
  <c r="Q226" i="6" s="1"/>
  <c r="S226" i="6" s="1"/>
  <c r="T226" i="6"/>
  <c r="C227" i="6"/>
  <c r="D227" i="6"/>
  <c r="E227" i="6"/>
  <c r="F227" i="6"/>
  <c r="I227" i="6"/>
  <c r="L227" i="6"/>
  <c r="N227" i="6"/>
  <c r="Q227" i="6"/>
  <c r="R227" i="6"/>
  <c r="S227" i="6"/>
  <c r="T227" i="6"/>
  <c r="C228" i="6"/>
  <c r="D228" i="6"/>
  <c r="E228" i="6"/>
  <c r="F228" i="6"/>
  <c r="I228" i="6"/>
  <c r="N228" i="6"/>
  <c r="R228" i="6"/>
  <c r="Q228" i="6" s="1"/>
  <c r="S228" i="6" s="1"/>
  <c r="T228" i="6"/>
  <c r="C229" i="6"/>
  <c r="D229" i="6"/>
  <c r="E229" i="6"/>
  <c r="F229" i="6"/>
  <c r="I229" i="6"/>
  <c r="L229" i="6"/>
  <c r="N229" i="6"/>
  <c r="Q229" i="6"/>
  <c r="R229" i="6"/>
  <c r="S229" i="6"/>
  <c r="T229" i="6"/>
  <c r="C230" i="6"/>
  <c r="D230" i="6"/>
  <c r="E230" i="6"/>
  <c r="F230" i="6"/>
  <c r="I230" i="6"/>
  <c r="N230" i="6"/>
  <c r="R230" i="6"/>
  <c r="Q230" i="6" s="1"/>
  <c r="S230" i="6" s="1"/>
  <c r="T230" i="6"/>
  <c r="C231" i="6"/>
  <c r="D231" i="6"/>
  <c r="E231" i="6"/>
  <c r="F231" i="6"/>
  <c r="H231" i="6"/>
  <c r="I231" i="6"/>
  <c r="N231" i="6"/>
  <c r="R231" i="6"/>
  <c r="Q231" i="6" s="1"/>
  <c r="S231" i="6" s="1"/>
  <c r="T231" i="6"/>
  <c r="C232" i="6"/>
  <c r="D232" i="6"/>
  <c r="E232" i="6"/>
  <c r="F232" i="6"/>
  <c r="H232" i="6"/>
  <c r="I232" i="6"/>
  <c r="N232" i="6"/>
  <c r="R232" i="6"/>
  <c r="Q232" i="6" s="1"/>
  <c r="S232" i="6" s="1"/>
  <c r="T232" i="6"/>
  <c r="C233" i="6"/>
  <c r="D233" i="6"/>
  <c r="E233" i="6"/>
  <c r="F233" i="6"/>
  <c r="H233" i="6"/>
  <c r="I233" i="6"/>
  <c r="N233" i="6"/>
  <c r="R233" i="6"/>
  <c r="Q233" i="6" s="1"/>
  <c r="S233" i="6" s="1"/>
  <c r="T233" i="6"/>
  <c r="C234" i="6"/>
  <c r="D234" i="6"/>
  <c r="E234" i="6"/>
  <c r="F234" i="6"/>
  <c r="H234" i="6"/>
  <c r="I234" i="6"/>
  <c r="N234" i="6"/>
  <c r="R234" i="6"/>
  <c r="Q234" i="6" s="1"/>
  <c r="S234" i="6" s="1"/>
  <c r="T234" i="6"/>
  <c r="C235" i="6"/>
  <c r="D235" i="6"/>
  <c r="E235" i="6"/>
  <c r="F235" i="6"/>
  <c r="H235" i="6"/>
  <c r="I235" i="6"/>
  <c r="N235" i="6"/>
  <c r="R235" i="6"/>
  <c r="Q235" i="6" s="1"/>
  <c r="S235" i="6" s="1"/>
  <c r="T235" i="6"/>
  <c r="C236" i="6"/>
  <c r="D236" i="6"/>
  <c r="E236" i="6"/>
  <c r="F236" i="6"/>
  <c r="H236" i="6"/>
  <c r="I236" i="6"/>
  <c r="N236" i="6"/>
  <c r="Q236" i="6"/>
  <c r="R236" i="6"/>
  <c r="S236" i="6"/>
  <c r="T236" i="6"/>
  <c r="C237" i="6"/>
  <c r="D237" i="6"/>
  <c r="E237" i="6"/>
  <c r="F237" i="6"/>
  <c r="H237" i="6"/>
  <c r="I237" i="6"/>
  <c r="L237" i="6"/>
  <c r="N237" i="6"/>
  <c r="Q237" i="6"/>
  <c r="R237" i="6"/>
  <c r="S237" i="6"/>
  <c r="T237" i="6"/>
  <c r="C238" i="6"/>
  <c r="L238" i="6" s="1"/>
  <c r="D238" i="6"/>
  <c r="E238" i="6"/>
  <c r="F238" i="6"/>
  <c r="I238" i="6"/>
  <c r="N238" i="6"/>
  <c r="R238" i="6"/>
  <c r="Q238" i="6" s="1"/>
  <c r="S238" i="6" s="1"/>
  <c r="T238" i="6"/>
  <c r="C239" i="6"/>
  <c r="D239" i="6"/>
  <c r="E239" i="6"/>
  <c r="F239" i="6"/>
  <c r="I239" i="6"/>
  <c r="L239" i="6"/>
  <c r="N239" i="6"/>
  <c r="Q239" i="6"/>
  <c r="R239" i="6"/>
  <c r="S239" i="6"/>
  <c r="T239" i="6"/>
  <c r="C240" i="6"/>
  <c r="L240" i="6" s="1"/>
  <c r="D240" i="6"/>
  <c r="E240" i="6"/>
  <c r="F240" i="6"/>
  <c r="I240" i="6"/>
  <c r="N240" i="6"/>
  <c r="R240" i="6"/>
  <c r="Q240" i="6" s="1"/>
  <c r="T240" i="6"/>
  <c r="C241" i="6"/>
  <c r="D241" i="6"/>
  <c r="E241" i="6"/>
  <c r="F241" i="6"/>
  <c r="I241" i="6"/>
  <c r="L241" i="6"/>
  <c r="N241" i="6"/>
  <c r="Q241" i="6"/>
  <c r="R241" i="6"/>
  <c r="S241" i="6"/>
  <c r="T241" i="6"/>
  <c r="C242" i="6"/>
  <c r="L242" i="6" s="1"/>
  <c r="D242" i="6"/>
  <c r="E242" i="6"/>
  <c r="F242" i="6"/>
  <c r="I242" i="6"/>
  <c r="N242" i="6"/>
  <c r="R242" i="6"/>
  <c r="Q242" i="6" s="1"/>
  <c r="S242" i="6" s="1"/>
  <c r="T242" i="6"/>
  <c r="C243" i="6"/>
  <c r="D243" i="6"/>
  <c r="L243" i="6" s="1"/>
  <c r="E243" i="6"/>
  <c r="F243" i="6"/>
  <c r="H243" i="6"/>
  <c r="I243" i="6"/>
  <c r="N243" i="6"/>
  <c r="R243" i="6"/>
  <c r="Q243" i="6" s="1"/>
  <c r="S243" i="6" s="1"/>
  <c r="T243" i="6"/>
  <c r="C244" i="6"/>
  <c r="D244" i="6"/>
  <c r="L244" i="6" s="1"/>
  <c r="E244" i="6"/>
  <c r="F244" i="6"/>
  <c r="H244" i="6"/>
  <c r="I244" i="6"/>
  <c r="N244" i="6"/>
  <c r="R244" i="6"/>
  <c r="Q244" i="6" s="1"/>
  <c r="S244" i="6" s="1"/>
  <c r="T244" i="6"/>
  <c r="C245" i="6"/>
  <c r="D245" i="6"/>
  <c r="L245" i="6" s="1"/>
  <c r="E245" i="6"/>
  <c r="F245" i="6"/>
  <c r="H245" i="6"/>
  <c r="I245" i="6"/>
  <c r="N245" i="6"/>
  <c r="R245" i="6"/>
  <c r="Q245" i="6" s="1"/>
  <c r="S245" i="6" s="1"/>
  <c r="T245" i="6"/>
  <c r="C246" i="6"/>
  <c r="D246" i="6"/>
  <c r="L246" i="6" s="1"/>
  <c r="E246" i="6"/>
  <c r="F246" i="6"/>
  <c r="H246" i="6"/>
  <c r="I246" i="6"/>
  <c r="N246" i="6"/>
  <c r="R246" i="6"/>
  <c r="Q246" i="6" s="1"/>
  <c r="S246" i="6" s="1"/>
  <c r="T246" i="6"/>
  <c r="C247" i="6"/>
  <c r="D247" i="6"/>
  <c r="L247" i="6" s="1"/>
  <c r="E247" i="6"/>
  <c r="F247" i="6"/>
  <c r="H247" i="6"/>
  <c r="I247" i="6"/>
  <c r="N247" i="6"/>
  <c r="R247" i="6"/>
  <c r="Q247" i="6" s="1"/>
  <c r="S247" i="6" s="1"/>
  <c r="T247" i="6"/>
  <c r="C248" i="6"/>
  <c r="D248" i="6"/>
  <c r="L248" i="6" s="1"/>
  <c r="E248" i="6"/>
  <c r="F248" i="6"/>
  <c r="H248" i="6"/>
  <c r="I248" i="6"/>
  <c r="N248" i="6"/>
  <c r="R248" i="6"/>
  <c r="Q248" i="6" s="1"/>
  <c r="S248" i="6" s="1"/>
  <c r="T248" i="6"/>
  <c r="C249" i="6"/>
  <c r="D249" i="6"/>
  <c r="L249" i="6" s="1"/>
  <c r="E249" i="6"/>
  <c r="F249" i="6"/>
  <c r="H249" i="6"/>
  <c r="I249" i="6"/>
  <c r="N249" i="6"/>
  <c r="R249" i="6"/>
  <c r="Q249" i="6" s="1"/>
  <c r="S249" i="6" s="1"/>
  <c r="T249" i="6"/>
  <c r="C250" i="6"/>
  <c r="D250" i="6"/>
  <c r="E250" i="6"/>
  <c r="F250" i="6"/>
  <c r="I250" i="6"/>
  <c r="L250" i="6"/>
  <c r="N250" i="6"/>
  <c r="Q250" i="6"/>
  <c r="R250" i="6"/>
  <c r="S250" i="6"/>
  <c r="T250" i="6"/>
  <c r="C251" i="6"/>
  <c r="L251" i="6" s="1"/>
  <c r="D251" i="6"/>
  <c r="E251" i="6"/>
  <c r="F251" i="6"/>
  <c r="I251" i="6"/>
  <c r="N251" i="6"/>
  <c r="R251" i="6"/>
  <c r="Q251" i="6" s="1"/>
  <c r="S251" i="6" s="1"/>
  <c r="T251" i="6"/>
  <c r="C252" i="6"/>
  <c r="D252" i="6"/>
  <c r="E252" i="6"/>
  <c r="F252" i="6"/>
  <c r="I252" i="6"/>
  <c r="L252" i="6"/>
  <c r="N252" i="6"/>
  <c r="Q252" i="6"/>
  <c r="R252" i="6"/>
  <c r="S252" i="6"/>
  <c r="T252" i="6"/>
  <c r="C253" i="6"/>
  <c r="L253" i="6" s="1"/>
  <c r="L621" i="6" s="1"/>
  <c r="D253" i="6"/>
  <c r="E253" i="6"/>
  <c r="F253" i="6"/>
  <c r="I253" i="6"/>
  <c r="N253" i="6"/>
  <c r="R253" i="6"/>
  <c r="Q253" i="6" s="1"/>
  <c r="S253" i="6" s="1"/>
  <c r="S621" i="6" s="1"/>
  <c r="T253" i="6"/>
  <c r="C254" i="6"/>
  <c r="D254" i="6"/>
  <c r="E254" i="6"/>
  <c r="F254" i="6"/>
  <c r="I254" i="6"/>
  <c r="L254" i="6"/>
  <c r="N254" i="6"/>
  <c r="Q254" i="6"/>
  <c r="R254" i="6"/>
  <c r="S254" i="6"/>
  <c r="T254" i="6"/>
  <c r="C255" i="6"/>
  <c r="D255" i="6"/>
  <c r="E255" i="6"/>
  <c r="F255" i="6"/>
  <c r="H255" i="6"/>
  <c r="I255" i="6"/>
  <c r="L255" i="6"/>
  <c r="N255" i="6"/>
  <c r="Q255" i="6"/>
  <c r="R255" i="6"/>
  <c r="S255" i="6"/>
  <c r="T255" i="6"/>
  <c r="C256" i="6"/>
  <c r="D256" i="6"/>
  <c r="E256" i="6"/>
  <c r="F256" i="6"/>
  <c r="H256" i="6"/>
  <c r="I256" i="6"/>
  <c r="L256" i="6"/>
  <c r="N256" i="6"/>
  <c r="Q256" i="6"/>
  <c r="R256" i="6"/>
  <c r="S256" i="6"/>
  <c r="T256" i="6"/>
  <c r="C257" i="6"/>
  <c r="D257" i="6"/>
  <c r="E257" i="6"/>
  <c r="F257" i="6"/>
  <c r="H257" i="6"/>
  <c r="I257" i="6"/>
  <c r="L257" i="6"/>
  <c r="N257" i="6"/>
  <c r="Q257" i="6"/>
  <c r="R257" i="6"/>
  <c r="S257" i="6"/>
  <c r="T257" i="6"/>
  <c r="C258" i="6"/>
  <c r="D258" i="6"/>
  <c r="E258" i="6"/>
  <c r="F258" i="6"/>
  <c r="H258" i="6"/>
  <c r="I258" i="6"/>
  <c r="L258" i="6"/>
  <c r="N258" i="6"/>
  <c r="Q258" i="6"/>
  <c r="R258" i="6"/>
  <c r="S258" i="6"/>
  <c r="T258" i="6"/>
  <c r="C259" i="6"/>
  <c r="D259" i="6"/>
  <c r="E259" i="6"/>
  <c r="F259" i="6"/>
  <c r="H259" i="6"/>
  <c r="I259" i="6"/>
  <c r="L259" i="6"/>
  <c r="N259" i="6"/>
  <c r="Q259" i="6"/>
  <c r="R259" i="6"/>
  <c r="S259" i="6"/>
  <c r="T259" i="6"/>
  <c r="C260" i="6"/>
  <c r="D260" i="6"/>
  <c r="E260" i="6"/>
  <c r="F260" i="6"/>
  <c r="H260" i="6"/>
  <c r="I260" i="6"/>
  <c r="L260" i="6"/>
  <c r="N260" i="6"/>
  <c r="Q260" i="6"/>
  <c r="R260" i="6"/>
  <c r="S260" i="6"/>
  <c r="T260" i="6"/>
  <c r="C261" i="6"/>
  <c r="D261" i="6"/>
  <c r="E261" i="6"/>
  <c r="F261" i="6"/>
  <c r="H261" i="6"/>
  <c r="I261" i="6"/>
  <c r="L261" i="6"/>
  <c r="N261" i="6"/>
  <c r="Q261" i="6"/>
  <c r="R261" i="6"/>
  <c r="S261" i="6"/>
  <c r="T261" i="6"/>
  <c r="C262" i="6"/>
  <c r="L262" i="6" s="1"/>
  <c r="D262" i="6"/>
  <c r="E262" i="6"/>
  <c r="F262" i="6"/>
  <c r="I262" i="6"/>
  <c r="N262" i="6"/>
  <c r="R262" i="6"/>
  <c r="Q262" i="6" s="1"/>
  <c r="S262" i="6" s="1"/>
  <c r="T262" i="6"/>
  <c r="C263" i="6"/>
  <c r="D263" i="6"/>
  <c r="E263" i="6"/>
  <c r="F263" i="6"/>
  <c r="I263" i="6"/>
  <c r="L263" i="6"/>
  <c r="N263" i="6"/>
  <c r="Q263" i="6"/>
  <c r="R263" i="6"/>
  <c r="S263" i="6"/>
  <c r="T263" i="6"/>
  <c r="C264" i="6"/>
  <c r="L264" i="6" s="1"/>
  <c r="D264" i="6"/>
  <c r="E264" i="6"/>
  <c r="F264" i="6"/>
  <c r="I264" i="6"/>
  <c r="N264" i="6"/>
  <c r="R264" i="6"/>
  <c r="Q264" i="6" s="1"/>
  <c r="T264" i="6"/>
  <c r="C265" i="6"/>
  <c r="D265" i="6"/>
  <c r="E265" i="6"/>
  <c r="F265" i="6"/>
  <c r="I265" i="6"/>
  <c r="L265" i="6"/>
  <c r="N265" i="6"/>
  <c r="Q265" i="6"/>
  <c r="R265" i="6"/>
  <c r="S265" i="6"/>
  <c r="T265" i="6"/>
  <c r="C266" i="6"/>
  <c r="L266" i="6" s="1"/>
  <c r="D266" i="6"/>
  <c r="E266" i="6"/>
  <c r="F266" i="6"/>
  <c r="I266" i="6"/>
  <c r="N266" i="6"/>
  <c r="R266" i="6"/>
  <c r="Q266" i="6" s="1"/>
  <c r="S266" i="6" s="1"/>
  <c r="T266" i="6"/>
  <c r="C267" i="6"/>
  <c r="D267" i="6"/>
  <c r="L267" i="6" s="1"/>
  <c r="E267" i="6"/>
  <c r="F267" i="6"/>
  <c r="H267" i="6"/>
  <c r="I267" i="6"/>
  <c r="N267" i="6"/>
  <c r="R267" i="6"/>
  <c r="Q267" i="6" s="1"/>
  <c r="S267" i="6" s="1"/>
  <c r="T267" i="6"/>
  <c r="C268" i="6"/>
  <c r="D268" i="6"/>
  <c r="L268" i="6" s="1"/>
  <c r="E268" i="6"/>
  <c r="F268" i="6"/>
  <c r="H268" i="6"/>
  <c r="I268" i="6"/>
  <c r="N268" i="6"/>
  <c r="R268" i="6"/>
  <c r="Q268" i="6" s="1"/>
  <c r="S268" i="6" s="1"/>
  <c r="T268" i="6"/>
  <c r="C269" i="6"/>
  <c r="D269" i="6"/>
  <c r="L269" i="6" s="1"/>
  <c r="E269" i="6"/>
  <c r="F269" i="6"/>
  <c r="H269" i="6"/>
  <c r="I269" i="6"/>
  <c r="N269" i="6"/>
  <c r="R269" i="6"/>
  <c r="Q269" i="6" s="1"/>
  <c r="S269" i="6" s="1"/>
  <c r="T269" i="6"/>
  <c r="C270" i="6"/>
  <c r="D270" i="6"/>
  <c r="L270" i="6" s="1"/>
  <c r="E270" i="6"/>
  <c r="F270" i="6"/>
  <c r="H270" i="6"/>
  <c r="I270" i="6"/>
  <c r="N270" i="6"/>
  <c r="R270" i="6"/>
  <c r="Q270" i="6" s="1"/>
  <c r="S270" i="6" s="1"/>
  <c r="T270" i="6"/>
  <c r="C271" i="6"/>
  <c r="D271" i="6"/>
  <c r="L271" i="6" s="1"/>
  <c r="E271" i="6"/>
  <c r="F271" i="6"/>
  <c r="H271" i="6"/>
  <c r="I271" i="6"/>
  <c r="N271" i="6"/>
  <c r="R271" i="6"/>
  <c r="Q271" i="6" s="1"/>
  <c r="S271" i="6" s="1"/>
  <c r="T271" i="6"/>
  <c r="C272" i="6"/>
  <c r="D272" i="6"/>
  <c r="L272" i="6" s="1"/>
  <c r="E272" i="6"/>
  <c r="F272" i="6"/>
  <c r="H272" i="6"/>
  <c r="I272" i="6"/>
  <c r="N272" i="6"/>
  <c r="R272" i="6"/>
  <c r="Q272" i="6" s="1"/>
  <c r="S272" i="6" s="1"/>
  <c r="T272" i="6"/>
  <c r="C273" i="6"/>
  <c r="D273" i="6"/>
  <c r="L273" i="6" s="1"/>
  <c r="E273" i="6"/>
  <c r="F273" i="6"/>
  <c r="H273" i="6"/>
  <c r="I273" i="6"/>
  <c r="N273" i="6"/>
  <c r="R273" i="6"/>
  <c r="Q273" i="6" s="1"/>
  <c r="S273" i="6" s="1"/>
  <c r="T273" i="6"/>
  <c r="C274" i="6"/>
  <c r="D274" i="6"/>
  <c r="E274" i="6"/>
  <c r="F274" i="6"/>
  <c r="I274" i="6"/>
  <c r="L274" i="6"/>
  <c r="N274" i="6"/>
  <c r="Q274" i="6"/>
  <c r="R274" i="6"/>
  <c r="S274" i="6"/>
  <c r="T274" i="6"/>
  <c r="C275" i="6"/>
  <c r="L275" i="6" s="1"/>
  <c r="D275" i="6"/>
  <c r="E275" i="6"/>
  <c r="F275" i="6"/>
  <c r="I275" i="6"/>
  <c r="N275" i="6"/>
  <c r="R275" i="6"/>
  <c r="Q275" i="6" s="1"/>
  <c r="S275" i="6" s="1"/>
  <c r="T275" i="6"/>
  <c r="C276" i="6"/>
  <c r="D276" i="6"/>
  <c r="E276" i="6"/>
  <c r="F276" i="6"/>
  <c r="I276" i="6"/>
  <c r="L276" i="6"/>
  <c r="N276" i="6"/>
  <c r="Q276" i="6"/>
  <c r="R276" i="6"/>
  <c r="S276" i="6"/>
  <c r="T276" i="6"/>
  <c r="C277" i="6"/>
  <c r="L277" i="6" s="1"/>
  <c r="L623" i="6" s="1"/>
  <c r="D277" i="6"/>
  <c r="E277" i="6"/>
  <c r="F277" i="6"/>
  <c r="I277" i="6"/>
  <c r="N277" i="6"/>
  <c r="R277" i="6"/>
  <c r="Q277" i="6" s="1"/>
  <c r="S277" i="6" s="1"/>
  <c r="S623" i="6" s="1"/>
  <c r="T277" i="6"/>
  <c r="C278" i="6"/>
  <c r="D278" i="6"/>
  <c r="E278" i="6"/>
  <c r="F278" i="6"/>
  <c r="I278" i="6"/>
  <c r="L278" i="6"/>
  <c r="N278" i="6"/>
  <c r="Q278" i="6"/>
  <c r="R278" i="6"/>
  <c r="S278" i="6"/>
  <c r="T278" i="6"/>
  <c r="C279" i="6"/>
  <c r="D279" i="6"/>
  <c r="E279" i="6"/>
  <c r="F279" i="6"/>
  <c r="H279" i="6"/>
  <c r="I279" i="6"/>
  <c r="L279" i="6"/>
  <c r="N279" i="6"/>
  <c r="Q279" i="6"/>
  <c r="R279" i="6"/>
  <c r="S279" i="6"/>
  <c r="T279" i="6"/>
  <c r="C280" i="6"/>
  <c r="D280" i="6"/>
  <c r="E280" i="6"/>
  <c r="F280" i="6"/>
  <c r="H280" i="6"/>
  <c r="I280" i="6"/>
  <c r="L280" i="6"/>
  <c r="N280" i="6"/>
  <c r="Q280" i="6"/>
  <c r="R280" i="6"/>
  <c r="S280" i="6"/>
  <c r="T280" i="6"/>
  <c r="C281" i="6"/>
  <c r="D281" i="6"/>
  <c r="E281" i="6"/>
  <c r="F281" i="6"/>
  <c r="H281" i="6"/>
  <c r="I281" i="6"/>
  <c r="L281" i="6"/>
  <c r="N281" i="6"/>
  <c r="Q281" i="6"/>
  <c r="R281" i="6"/>
  <c r="S281" i="6"/>
  <c r="T281" i="6"/>
  <c r="C282" i="6"/>
  <c r="D282" i="6"/>
  <c r="E282" i="6"/>
  <c r="F282" i="6"/>
  <c r="H282" i="6"/>
  <c r="I282" i="6"/>
  <c r="L282" i="6"/>
  <c r="N282" i="6"/>
  <c r="Q282" i="6"/>
  <c r="R282" i="6"/>
  <c r="S282" i="6"/>
  <c r="T282" i="6"/>
  <c r="C283" i="6"/>
  <c r="D283" i="6"/>
  <c r="E283" i="6"/>
  <c r="F283" i="6"/>
  <c r="H283" i="6"/>
  <c r="I283" i="6"/>
  <c r="L283" i="6"/>
  <c r="N283" i="6"/>
  <c r="Q283" i="6"/>
  <c r="R283" i="6"/>
  <c r="S283" i="6"/>
  <c r="T283" i="6"/>
  <c r="C284" i="6"/>
  <c r="D284" i="6"/>
  <c r="E284" i="6"/>
  <c r="F284" i="6"/>
  <c r="H284" i="6"/>
  <c r="I284" i="6"/>
  <c r="L284" i="6"/>
  <c r="N284" i="6"/>
  <c r="Q284" i="6"/>
  <c r="R284" i="6"/>
  <c r="S284" i="6"/>
  <c r="T284" i="6"/>
  <c r="C285" i="6"/>
  <c r="D285" i="6"/>
  <c r="E285" i="6"/>
  <c r="F285" i="6"/>
  <c r="H285" i="6"/>
  <c r="I285" i="6"/>
  <c r="L285" i="6"/>
  <c r="N285" i="6"/>
  <c r="Q285" i="6"/>
  <c r="R285" i="6"/>
  <c r="S285" i="6"/>
  <c r="T285" i="6"/>
  <c r="C286" i="6"/>
  <c r="L286" i="6" s="1"/>
  <c r="D286" i="6"/>
  <c r="E286" i="6"/>
  <c r="F286" i="6"/>
  <c r="I286" i="6"/>
  <c r="N286" i="6"/>
  <c r="R286" i="6"/>
  <c r="Q286" i="6" s="1"/>
  <c r="S286" i="6" s="1"/>
  <c r="T286" i="6"/>
  <c r="C287" i="6"/>
  <c r="D287" i="6"/>
  <c r="E287" i="6"/>
  <c r="F287" i="6"/>
  <c r="I287" i="6"/>
  <c r="L287" i="6"/>
  <c r="N287" i="6"/>
  <c r="Q287" i="6"/>
  <c r="R287" i="6"/>
  <c r="S287" i="6"/>
  <c r="T287" i="6"/>
  <c r="C288" i="6"/>
  <c r="L288" i="6" s="1"/>
  <c r="D288" i="6"/>
  <c r="E288" i="6"/>
  <c r="F288" i="6"/>
  <c r="I288" i="6"/>
  <c r="N288" i="6"/>
  <c r="R288" i="6"/>
  <c r="Q288" i="6" s="1"/>
  <c r="T288" i="6"/>
  <c r="C289" i="6"/>
  <c r="D289" i="6"/>
  <c r="E289" i="6"/>
  <c r="F289" i="6"/>
  <c r="I289" i="6"/>
  <c r="L289" i="6"/>
  <c r="N289" i="6"/>
  <c r="Q289" i="6"/>
  <c r="R289" i="6"/>
  <c r="S289" i="6"/>
  <c r="T289" i="6"/>
  <c r="C290" i="6"/>
  <c r="L290" i="6" s="1"/>
  <c r="D290" i="6"/>
  <c r="E290" i="6"/>
  <c r="F290" i="6"/>
  <c r="I290" i="6"/>
  <c r="N290" i="6"/>
  <c r="R290" i="6"/>
  <c r="Q290" i="6" s="1"/>
  <c r="S290" i="6" s="1"/>
  <c r="T290" i="6"/>
  <c r="C291" i="6"/>
  <c r="D291" i="6"/>
  <c r="L291" i="6" s="1"/>
  <c r="E291" i="6"/>
  <c r="F291" i="6"/>
  <c r="H291" i="6"/>
  <c r="I291" i="6"/>
  <c r="N291" i="6"/>
  <c r="R291" i="6"/>
  <c r="Q291" i="6" s="1"/>
  <c r="S291" i="6" s="1"/>
  <c r="T291" i="6"/>
  <c r="C292" i="6"/>
  <c r="D292" i="6"/>
  <c r="L292" i="6" s="1"/>
  <c r="E292" i="6"/>
  <c r="F292" i="6"/>
  <c r="H292" i="6"/>
  <c r="I292" i="6"/>
  <c r="N292" i="6"/>
  <c r="R292" i="6"/>
  <c r="Q292" i="6" s="1"/>
  <c r="S292" i="6" s="1"/>
  <c r="T292" i="6"/>
  <c r="C293" i="6"/>
  <c r="D293" i="6"/>
  <c r="L293" i="6" s="1"/>
  <c r="E293" i="6"/>
  <c r="F293" i="6"/>
  <c r="H293" i="6"/>
  <c r="I293" i="6"/>
  <c r="N293" i="6"/>
  <c r="R293" i="6"/>
  <c r="Q293" i="6" s="1"/>
  <c r="S293" i="6" s="1"/>
  <c r="T293" i="6"/>
  <c r="C294" i="6"/>
  <c r="D294" i="6"/>
  <c r="L294" i="6" s="1"/>
  <c r="E294" i="6"/>
  <c r="F294" i="6"/>
  <c r="H294" i="6"/>
  <c r="I294" i="6"/>
  <c r="N294" i="6"/>
  <c r="R294" i="6"/>
  <c r="Q294" i="6" s="1"/>
  <c r="S294" i="6" s="1"/>
  <c r="T294" i="6"/>
  <c r="C295" i="6"/>
  <c r="D295" i="6"/>
  <c r="L295" i="6" s="1"/>
  <c r="E295" i="6"/>
  <c r="F295" i="6"/>
  <c r="H295" i="6"/>
  <c r="I295" i="6"/>
  <c r="N295" i="6"/>
  <c r="R295" i="6"/>
  <c r="Q295" i="6" s="1"/>
  <c r="S295" i="6" s="1"/>
  <c r="T295" i="6"/>
  <c r="C296" i="6"/>
  <c r="D296" i="6"/>
  <c r="L296" i="6" s="1"/>
  <c r="E296" i="6"/>
  <c r="F296" i="6"/>
  <c r="H296" i="6"/>
  <c r="I296" i="6"/>
  <c r="N296" i="6"/>
  <c r="R296" i="6"/>
  <c r="Q296" i="6" s="1"/>
  <c r="S296" i="6" s="1"/>
  <c r="T296" i="6"/>
  <c r="C297" i="6"/>
  <c r="D297" i="6"/>
  <c r="L297" i="6" s="1"/>
  <c r="E297" i="6"/>
  <c r="F297" i="6"/>
  <c r="H297" i="6"/>
  <c r="I297" i="6"/>
  <c r="N297" i="6"/>
  <c r="R297" i="6"/>
  <c r="Q297" i="6" s="1"/>
  <c r="S297" i="6" s="1"/>
  <c r="T297" i="6"/>
  <c r="C298" i="6"/>
  <c r="D298" i="6"/>
  <c r="E298" i="6"/>
  <c r="F298" i="6"/>
  <c r="I298" i="6"/>
  <c r="L298" i="6"/>
  <c r="N298" i="6"/>
  <c r="Q298" i="6"/>
  <c r="R298" i="6"/>
  <c r="S298" i="6"/>
  <c r="T298" i="6"/>
  <c r="C299" i="6"/>
  <c r="L299" i="6" s="1"/>
  <c r="D299" i="6"/>
  <c r="E299" i="6"/>
  <c r="F299" i="6"/>
  <c r="I299" i="6"/>
  <c r="N299" i="6"/>
  <c r="R299" i="6"/>
  <c r="Q299" i="6" s="1"/>
  <c r="S299" i="6" s="1"/>
  <c r="T299" i="6"/>
  <c r="C300" i="6"/>
  <c r="D300" i="6"/>
  <c r="E300" i="6"/>
  <c r="F300" i="6"/>
  <c r="I300" i="6"/>
  <c r="L300" i="6"/>
  <c r="N300" i="6"/>
  <c r="Q300" i="6"/>
  <c r="R300" i="6"/>
  <c r="S300" i="6"/>
  <c r="T300" i="6"/>
  <c r="C301" i="6"/>
  <c r="L301" i="6" s="1"/>
  <c r="L625" i="6" s="1"/>
  <c r="D301" i="6"/>
  <c r="E301" i="6"/>
  <c r="F301" i="6"/>
  <c r="I301" i="6"/>
  <c r="N301" i="6"/>
  <c r="R301" i="6"/>
  <c r="Q301" i="6" s="1"/>
  <c r="S301" i="6" s="1"/>
  <c r="S625" i="6" s="1"/>
  <c r="T301" i="6"/>
  <c r="C302" i="6"/>
  <c r="D302" i="6"/>
  <c r="E302" i="6"/>
  <c r="F302" i="6"/>
  <c r="I302" i="6"/>
  <c r="L302" i="6"/>
  <c r="N302" i="6"/>
  <c r="Q302" i="6"/>
  <c r="R302" i="6"/>
  <c r="S302" i="6"/>
  <c r="T302" i="6"/>
  <c r="C303" i="6"/>
  <c r="D303" i="6"/>
  <c r="E303" i="6"/>
  <c r="F303" i="6"/>
  <c r="H303" i="6"/>
  <c r="I303" i="6"/>
  <c r="L303" i="6"/>
  <c r="N303" i="6"/>
  <c r="Q303" i="6"/>
  <c r="R303" i="6"/>
  <c r="S303" i="6"/>
  <c r="T303" i="6"/>
  <c r="C304" i="6"/>
  <c r="D304" i="6"/>
  <c r="E304" i="6"/>
  <c r="F304" i="6"/>
  <c r="H304" i="6"/>
  <c r="I304" i="6"/>
  <c r="L304" i="6"/>
  <c r="N304" i="6"/>
  <c r="Q304" i="6"/>
  <c r="R304" i="6"/>
  <c r="S304" i="6"/>
  <c r="T304" i="6"/>
  <c r="C305" i="6"/>
  <c r="D305" i="6"/>
  <c r="E305" i="6"/>
  <c r="F305" i="6"/>
  <c r="H305" i="6"/>
  <c r="I305" i="6"/>
  <c r="L305" i="6"/>
  <c r="N305" i="6"/>
  <c r="Q305" i="6"/>
  <c r="R305" i="6"/>
  <c r="S305" i="6"/>
  <c r="T305" i="6"/>
  <c r="C306" i="6"/>
  <c r="D306" i="6"/>
  <c r="E306" i="6"/>
  <c r="F306" i="6"/>
  <c r="H306" i="6"/>
  <c r="I306" i="6"/>
  <c r="L306" i="6"/>
  <c r="N306" i="6"/>
  <c r="Q306" i="6"/>
  <c r="R306" i="6"/>
  <c r="S306" i="6"/>
  <c r="T306" i="6"/>
  <c r="C307" i="6"/>
  <c r="D307" i="6"/>
  <c r="E307" i="6"/>
  <c r="F307" i="6"/>
  <c r="H307" i="6"/>
  <c r="I307" i="6"/>
  <c r="L307" i="6"/>
  <c r="N307" i="6"/>
  <c r="Q307" i="6"/>
  <c r="R307" i="6"/>
  <c r="S307" i="6"/>
  <c r="T307" i="6"/>
  <c r="C308" i="6"/>
  <c r="D308" i="6"/>
  <c r="E308" i="6"/>
  <c r="F308" i="6"/>
  <c r="H308" i="6"/>
  <c r="I308" i="6"/>
  <c r="L308" i="6"/>
  <c r="N308" i="6"/>
  <c r="Q308" i="6"/>
  <c r="R308" i="6"/>
  <c r="S308" i="6"/>
  <c r="T308" i="6"/>
  <c r="C309" i="6"/>
  <c r="D309" i="6"/>
  <c r="E309" i="6"/>
  <c r="F309" i="6"/>
  <c r="H309" i="6"/>
  <c r="I309" i="6"/>
  <c r="L309" i="6"/>
  <c r="N309" i="6"/>
  <c r="Q309" i="6"/>
  <c r="R309" i="6"/>
  <c r="S309" i="6"/>
  <c r="T309" i="6"/>
  <c r="C310" i="6"/>
  <c r="L310" i="6" s="1"/>
  <c r="D310" i="6"/>
  <c r="E310" i="6"/>
  <c r="F310" i="6"/>
  <c r="I310" i="6"/>
  <c r="N310" i="6"/>
  <c r="R310" i="6"/>
  <c r="Q310" i="6" s="1"/>
  <c r="S310" i="6" s="1"/>
  <c r="T310" i="6"/>
  <c r="C311" i="6"/>
  <c r="D311" i="6"/>
  <c r="E311" i="6"/>
  <c r="F311" i="6"/>
  <c r="I311" i="6"/>
  <c r="L311" i="6"/>
  <c r="N311" i="6"/>
  <c r="Q311" i="6"/>
  <c r="R311" i="6"/>
  <c r="S311" i="6"/>
  <c r="T311" i="6"/>
  <c r="C312" i="6"/>
  <c r="L312" i="6" s="1"/>
  <c r="L626" i="6" s="1"/>
  <c r="D312" i="6"/>
  <c r="E312" i="6"/>
  <c r="F312" i="6"/>
  <c r="I312" i="6"/>
  <c r="N312" i="6"/>
  <c r="R312" i="6"/>
  <c r="Q312" i="6" s="1"/>
  <c r="T312" i="6"/>
  <c r="C313" i="6"/>
  <c r="D313" i="6"/>
  <c r="E313" i="6"/>
  <c r="F313" i="6"/>
  <c r="I313" i="6"/>
  <c r="L313" i="6"/>
  <c r="N313" i="6"/>
  <c r="Q313" i="6"/>
  <c r="R313" i="6"/>
  <c r="S313" i="6"/>
  <c r="T313" i="6"/>
  <c r="C314" i="6"/>
  <c r="L314" i="6" s="1"/>
  <c r="D314" i="6"/>
  <c r="E314" i="6"/>
  <c r="F314" i="6"/>
  <c r="I314" i="6"/>
  <c r="N314" i="6"/>
  <c r="R314" i="6"/>
  <c r="Q314" i="6" s="1"/>
  <c r="S314" i="6" s="1"/>
  <c r="T314" i="6"/>
  <c r="C315" i="6"/>
  <c r="D315" i="6"/>
  <c r="L315" i="6" s="1"/>
  <c r="E315" i="6"/>
  <c r="F315" i="6"/>
  <c r="H315" i="6"/>
  <c r="I315" i="6"/>
  <c r="N315" i="6"/>
  <c r="R315" i="6"/>
  <c r="Q315" i="6" s="1"/>
  <c r="S315" i="6" s="1"/>
  <c r="T315" i="6"/>
  <c r="C316" i="6"/>
  <c r="D316" i="6"/>
  <c r="L316" i="6" s="1"/>
  <c r="E316" i="6"/>
  <c r="F316" i="6"/>
  <c r="H316" i="6"/>
  <c r="I316" i="6"/>
  <c r="N316" i="6"/>
  <c r="R316" i="6"/>
  <c r="Q316" i="6" s="1"/>
  <c r="S316" i="6" s="1"/>
  <c r="T316" i="6"/>
  <c r="C317" i="6"/>
  <c r="D317" i="6"/>
  <c r="L317" i="6" s="1"/>
  <c r="E317" i="6"/>
  <c r="F317" i="6"/>
  <c r="H317" i="6"/>
  <c r="I317" i="6"/>
  <c r="N317" i="6"/>
  <c r="R317" i="6"/>
  <c r="Q317" i="6" s="1"/>
  <c r="S317" i="6" s="1"/>
  <c r="T317" i="6"/>
  <c r="C318" i="6"/>
  <c r="D318" i="6"/>
  <c r="L318" i="6" s="1"/>
  <c r="E318" i="6"/>
  <c r="F318" i="6"/>
  <c r="H318" i="6"/>
  <c r="I318" i="6"/>
  <c r="N318" i="6"/>
  <c r="R318" i="6"/>
  <c r="Q318" i="6" s="1"/>
  <c r="S318" i="6" s="1"/>
  <c r="T318" i="6"/>
  <c r="C319" i="6"/>
  <c r="D319" i="6"/>
  <c r="L319" i="6" s="1"/>
  <c r="E319" i="6"/>
  <c r="F319" i="6"/>
  <c r="H319" i="6"/>
  <c r="I319" i="6"/>
  <c r="N319" i="6"/>
  <c r="R319" i="6"/>
  <c r="Q319" i="6" s="1"/>
  <c r="S319" i="6" s="1"/>
  <c r="T319" i="6"/>
  <c r="C320" i="6"/>
  <c r="D320" i="6"/>
  <c r="L320" i="6" s="1"/>
  <c r="E320" i="6"/>
  <c r="F320" i="6"/>
  <c r="H320" i="6"/>
  <c r="I320" i="6"/>
  <c r="N320" i="6"/>
  <c r="R320" i="6"/>
  <c r="Q320" i="6" s="1"/>
  <c r="S320" i="6" s="1"/>
  <c r="T320" i="6"/>
  <c r="C321" i="6"/>
  <c r="D321" i="6"/>
  <c r="L321" i="6" s="1"/>
  <c r="E321" i="6"/>
  <c r="F321" i="6"/>
  <c r="H321" i="6"/>
  <c r="I321" i="6"/>
  <c r="N321" i="6"/>
  <c r="R321" i="6"/>
  <c r="Q321" i="6" s="1"/>
  <c r="S321" i="6" s="1"/>
  <c r="T321" i="6"/>
  <c r="C322" i="6"/>
  <c r="D322" i="6"/>
  <c r="E322" i="6"/>
  <c r="F322" i="6"/>
  <c r="I322" i="6"/>
  <c r="L322" i="6"/>
  <c r="N322" i="6"/>
  <c r="Q322" i="6"/>
  <c r="R322" i="6"/>
  <c r="S322" i="6"/>
  <c r="T322" i="6"/>
  <c r="C323" i="6"/>
  <c r="L323" i="6" s="1"/>
  <c r="D323" i="6"/>
  <c r="E323" i="6"/>
  <c r="F323" i="6"/>
  <c r="I323" i="6"/>
  <c r="N323" i="6"/>
  <c r="R323" i="6"/>
  <c r="Q323" i="6" s="1"/>
  <c r="S323" i="6" s="1"/>
  <c r="T323" i="6"/>
  <c r="C324" i="6"/>
  <c r="D324" i="6"/>
  <c r="E324" i="6"/>
  <c r="F324" i="6"/>
  <c r="I324" i="6"/>
  <c r="L324" i="6"/>
  <c r="N324" i="6"/>
  <c r="Q324" i="6"/>
  <c r="R324" i="6"/>
  <c r="S324" i="6"/>
  <c r="T324" i="6"/>
  <c r="C325" i="6"/>
  <c r="L325" i="6" s="1"/>
  <c r="L627" i="6" s="1"/>
  <c r="D325" i="6"/>
  <c r="E325" i="6"/>
  <c r="F325" i="6"/>
  <c r="I325" i="6"/>
  <c r="N325" i="6"/>
  <c r="R325" i="6"/>
  <c r="Q325" i="6" s="1"/>
  <c r="S325" i="6" s="1"/>
  <c r="S627" i="6" s="1"/>
  <c r="T325" i="6"/>
  <c r="C326" i="6"/>
  <c r="D326" i="6"/>
  <c r="E326" i="6"/>
  <c r="F326" i="6"/>
  <c r="I326" i="6"/>
  <c r="L326" i="6"/>
  <c r="N326" i="6"/>
  <c r="Q326" i="6"/>
  <c r="R326" i="6"/>
  <c r="S326" i="6"/>
  <c r="T326" i="6"/>
  <c r="C327" i="6"/>
  <c r="D327" i="6"/>
  <c r="E327" i="6"/>
  <c r="F327" i="6"/>
  <c r="H327" i="6"/>
  <c r="I327" i="6"/>
  <c r="L327" i="6"/>
  <c r="N327" i="6"/>
  <c r="Q327" i="6"/>
  <c r="R327" i="6"/>
  <c r="S327" i="6"/>
  <c r="T327" i="6"/>
  <c r="C328" i="6"/>
  <c r="D328" i="6"/>
  <c r="E328" i="6"/>
  <c r="F328" i="6"/>
  <c r="H328" i="6"/>
  <c r="I328" i="6"/>
  <c r="L328" i="6"/>
  <c r="N328" i="6"/>
  <c r="Q328" i="6"/>
  <c r="R328" i="6"/>
  <c r="S328" i="6"/>
  <c r="T328" i="6"/>
  <c r="C329" i="6"/>
  <c r="D329" i="6"/>
  <c r="E329" i="6"/>
  <c r="F329" i="6"/>
  <c r="H329" i="6"/>
  <c r="I329" i="6"/>
  <c r="L329" i="6"/>
  <c r="N329" i="6"/>
  <c r="Q329" i="6"/>
  <c r="R329" i="6"/>
  <c r="S329" i="6"/>
  <c r="T329" i="6"/>
  <c r="C330" i="6"/>
  <c r="D330" i="6"/>
  <c r="E330" i="6"/>
  <c r="F330" i="6"/>
  <c r="H330" i="6"/>
  <c r="I330" i="6"/>
  <c r="L330" i="6"/>
  <c r="N330" i="6"/>
  <c r="Q330" i="6"/>
  <c r="R330" i="6"/>
  <c r="S330" i="6"/>
  <c r="T330" i="6"/>
  <c r="C331" i="6"/>
  <c r="D331" i="6"/>
  <c r="E331" i="6"/>
  <c r="F331" i="6"/>
  <c r="H331" i="6"/>
  <c r="I331" i="6"/>
  <c r="L331" i="6"/>
  <c r="N331" i="6"/>
  <c r="Q331" i="6"/>
  <c r="R331" i="6"/>
  <c r="S331" i="6"/>
  <c r="T331" i="6"/>
  <c r="C332" i="6"/>
  <c r="D332" i="6"/>
  <c r="E332" i="6"/>
  <c r="F332" i="6"/>
  <c r="H332" i="6"/>
  <c r="I332" i="6"/>
  <c r="L332" i="6"/>
  <c r="N332" i="6"/>
  <c r="Q332" i="6"/>
  <c r="R332" i="6"/>
  <c r="S332" i="6"/>
  <c r="T332" i="6"/>
  <c r="C333" i="6"/>
  <c r="D333" i="6"/>
  <c r="E333" i="6"/>
  <c r="F333" i="6"/>
  <c r="H333" i="6"/>
  <c r="I333" i="6"/>
  <c r="L333" i="6"/>
  <c r="N333" i="6"/>
  <c r="Q333" i="6"/>
  <c r="R333" i="6"/>
  <c r="S333" i="6"/>
  <c r="T333" i="6"/>
  <c r="C334" i="6"/>
  <c r="L334" i="6" s="1"/>
  <c r="D334" i="6"/>
  <c r="E334" i="6"/>
  <c r="F334" i="6"/>
  <c r="I334" i="6"/>
  <c r="N334" i="6"/>
  <c r="R334" i="6"/>
  <c r="Q334" i="6" s="1"/>
  <c r="S334" i="6" s="1"/>
  <c r="T334" i="6"/>
  <c r="C335" i="6"/>
  <c r="D335" i="6"/>
  <c r="E335" i="6"/>
  <c r="F335" i="6"/>
  <c r="I335" i="6"/>
  <c r="L335" i="6"/>
  <c r="N335" i="6"/>
  <c r="Q335" i="6"/>
  <c r="R335" i="6"/>
  <c r="S335" i="6"/>
  <c r="T335" i="6"/>
  <c r="C336" i="6"/>
  <c r="L336" i="6" s="1"/>
  <c r="L628" i="6" s="1"/>
  <c r="D336" i="6"/>
  <c r="E336" i="6"/>
  <c r="F336" i="6"/>
  <c r="I336" i="6"/>
  <c r="N336" i="6"/>
  <c r="R336" i="6"/>
  <c r="Q336" i="6" s="1"/>
  <c r="T336" i="6"/>
  <c r="C337" i="6"/>
  <c r="D337" i="6"/>
  <c r="E337" i="6"/>
  <c r="F337" i="6"/>
  <c r="I337" i="6"/>
  <c r="L337" i="6"/>
  <c r="N337" i="6"/>
  <c r="Q337" i="6"/>
  <c r="R337" i="6"/>
  <c r="S337" i="6"/>
  <c r="T337" i="6"/>
  <c r="C338" i="6"/>
  <c r="L338" i="6" s="1"/>
  <c r="D338" i="6"/>
  <c r="E338" i="6"/>
  <c r="F338" i="6"/>
  <c r="I338" i="6"/>
  <c r="N338" i="6"/>
  <c r="R338" i="6"/>
  <c r="Q338" i="6" s="1"/>
  <c r="S338" i="6" s="1"/>
  <c r="T338" i="6"/>
  <c r="C339" i="6"/>
  <c r="D339" i="6"/>
  <c r="L339" i="6" s="1"/>
  <c r="E339" i="6"/>
  <c r="F339" i="6"/>
  <c r="H339" i="6"/>
  <c r="I339" i="6"/>
  <c r="N339" i="6"/>
  <c r="R339" i="6"/>
  <c r="Q339" i="6" s="1"/>
  <c r="S339" i="6" s="1"/>
  <c r="T339" i="6"/>
  <c r="C340" i="6"/>
  <c r="D340" i="6"/>
  <c r="L340" i="6" s="1"/>
  <c r="E340" i="6"/>
  <c r="F340" i="6"/>
  <c r="H340" i="6"/>
  <c r="I340" i="6"/>
  <c r="N340" i="6"/>
  <c r="R340" i="6"/>
  <c r="Q340" i="6" s="1"/>
  <c r="S340" i="6" s="1"/>
  <c r="T340" i="6"/>
  <c r="C341" i="6"/>
  <c r="D341" i="6"/>
  <c r="L341" i="6" s="1"/>
  <c r="E341" i="6"/>
  <c r="F341" i="6"/>
  <c r="H341" i="6"/>
  <c r="I341" i="6"/>
  <c r="N341" i="6"/>
  <c r="R341" i="6"/>
  <c r="Q341" i="6" s="1"/>
  <c r="S341" i="6" s="1"/>
  <c r="T341" i="6"/>
  <c r="C342" i="6"/>
  <c r="D342" i="6"/>
  <c r="L342" i="6" s="1"/>
  <c r="E342" i="6"/>
  <c r="F342" i="6"/>
  <c r="H342" i="6"/>
  <c r="I342" i="6"/>
  <c r="N342" i="6"/>
  <c r="R342" i="6"/>
  <c r="Q342" i="6" s="1"/>
  <c r="S342" i="6" s="1"/>
  <c r="T342" i="6"/>
  <c r="C343" i="6"/>
  <c r="D343" i="6"/>
  <c r="L343" i="6" s="1"/>
  <c r="E343" i="6"/>
  <c r="F343" i="6"/>
  <c r="H343" i="6"/>
  <c r="I343" i="6"/>
  <c r="N343" i="6"/>
  <c r="R343" i="6"/>
  <c r="Q343" i="6" s="1"/>
  <c r="S343" i="6" s="1"/>
  <c r="T343" i="6"/>
  <c r="C344" i="6"/>
  <c r="D344" i="6"/>
  <c r="L344" i="6" s="1"/>
  <c r="E344" i="6"/>
  <c r="F344" i="6"/>
  <c r="H344" i="6"/>
  <c r="I344" i="6"/>
  <c r="N344" i="6"/>
  <c r="R344" i="6"/>
  <c r="Q344" i="6" s="1"/>
  <c r="S344" i="6" s="1"/>
  <c r="T344" i="6"/>
  <c r="C345" i="6"/>
  <c r="D345" i="6"/>
  <c r="L345" i="6" s="1"/>
  <c r="E345" i="6"/>
  <c r="F345" i="6"/>
  <c r="H345" i="6"/>
  <c r="I345" i="6"/>
  <c r="N345" i="6"/>
  <c r="R345" i="6"/>
  <c r="Q345" i="6" s="1"/>
  <c r="S345" i="6" s="1"/>
  <c r="T345" i="6"/>
  <c r="C346" i="6"/>
  <c r="D346" i="6"/>
  <c r="E346" i="6"/>
  <c r="F346" i="6"/>
  <c r="I346" i="6"/>
  <c r="L346" i="6"/>
  <c r="N346" i="6"/>
  <c r="Q346" i="6"/>
  <c r="R346" i="6"/>
  <c r="S346" i="6"/>
  <c r="T346" i="6"/>
  <c r="C347" i="6"/>
  <c r="L347" i="6" s="1"/>
  <c r="D347" i="6"/>
  <c r="E347" i="6"/>
  <c r="F347" i="6"/>
  <c r="I347" i="6"/>
  <c r="N347" i="6"/>
  <c r="R347" i="6"/>
  <c r="Q347" i="6" s="1"/>
  <c r="S347" i="6" s="1"/>
  <c r="T347" i="6"/>
  <c r="C348" i="6"/>
  <c r="D348" i="6"/>
  <c r="E348" i="6"/>
  <c r="F348" i="6"/>
  <c r="I348" i="6"/>
  <c r="L348" i="6"/>
  <c r="N348" i="6"/>
  <c r="Q348" i="6"/>
  <c r="R348" i="6"/>
  <c r="S348" i="6"/>
  <c r="T348" i="6"/>
  <c r="C349" i="6"/>
  <c r="L349" i="6" s="1"/>
  <c r="L629" i="6" s="1"/>
  <c r="D349" i="6"/>
  <c r="E349" i="6"/>
  <c r="F349" i="6"/>
  <c r="I349" i="6"/>
  <c r="N349" i="6"/>
  <c r="R349" i="6"/>
  <c r="Q349" i="6" s="1"/>
  <c r="S349" i="6" s="1"/>
  <c r="S629" i="6" s="1"/>
  <c r="T349" i="6"/>
  <c r="C350" i="6"/>
  <c r="D350" i="6"/>
  <c r="E350" i="6"/>
  <c r="F350" i="6"/>
  <c r="I350" i="6"/>
  <c r="L350" i="6"/>
  <c r="N350" i="6"/>
  <c r="Q350" i="6"/>
  <c r="R350" i="6"/>
  <c r="S350" i="6"/>
  <c r="T350" i="6"/>
  <c r="C351" i="6"/>
  <c r="D351" i="6"/>
  <c r="E351" i="6"/>
  <c r="F351" i="6"/>
  <c r="H351" i="6"/>
  <c r="I351" i="6"/>
  <c r="L351" i="6"/>
  <c r="N351" i="6"/>
  <c r="Q351" i="6"/>
  <c r="R351" i="6"/>
  <c r="S351" i="6"/>
  <c r="T351" i="6"/>
  <c r="C352" i="6"/>
  <c r="D352" i="6"/>
  <c r="E352" i="6"/>
  <c r="F352" i="6"/>
  <c r="H352" i="6"/>
  <c r="I352" i="6"/>
  <c r="L352" i="6"/>
  <c r="N352" i="6"/>
  <c r="Q352" i="6"/>
  <c r="R352" i="6"/>
  <c r="S352" i="6"/>
  <c r="T352" i="6"/>
  <c r="C353" i="6"/>
  <c r="D353" i="6"/>
  <c r="E353" i="6"/>
  <c r="F353" i="6"/>
  <c r="H353" i="6"/>
  <c r="I353" i="6"/>
  <c r="L353" i="6"/>
  <c r="N353" i="6"/>
  <c r="Q353" i="6"/>
  <c r="R353" i="6"/>
  <c r="S353" i="6"/>
  <c r="T353" i="6"/>
  <c r="C354" i="6"/>
  <c r="D354" i="6"/>
  <c r="E354" i="6"/>
  <c r="F354" i="6"/>
  <c r="H354" i="6"/>
  <c r="I354" i="6"/>
  <c r="L354" i="6"/>
  <c r="N354" i="6"/>
  <c r="Q354" i="6"/>
  <c r="R354" i="6"/>
  <c r="S354" i="6"/>
  <c r="T354" i="6"/>
  <c r="C355" i="6"/>
  <c r="D355" i="6"/>
  <c r="E355" i="6"/>
  <c r="F355" i="6"/>
  <c r="H355" i="6"/>
  <c r="I355" i="6"/>
  <c r="L355" i="6"/>
  <c r="N355" i="6"/>
  <c r="Q355" i="6"/>
  <c r="R355" i="6"/>
  <c r="S355" i="6"/>
  <c r="T355" i="6"/>
  <c r="C356" i="6"/>
  <c r="D356" i="6"/>
  <c r="E356" i="6"/>
  <c r="F356" i="6"/>
  <c r="H356" i="6"/>
  <c r="I356" i="6"/>
  <c r="L356" i="6"/>
  <c r="N356" i="6"/>
  <c r="Q356" i="6"/>
  <c r="R356" i="6"/>
  <c r="S356" i="6"/>
  <c r="T356" i="6"/>
  <c r="C357" i="6"/>
  <c r="D357" i="6"/>
  <c r="E357" i="6"/>
  <c r="F357" i="6"/>
  <c r="H357" i="6"/>
  <c r="I357" i="6"/>
  <c r="L357" i="6"/>
  <c r="N357" i="6"/>
  <c r="Q357" i="6"/>
  <c r="R357" i="6"/>
  <c r="S357" i="6"/>
  <c r="T357" i="6"/>
  <c r="C358" i="6"/>
  <c r="L358" i="6" s="1"/>
  <c r="D358" i="6"/>
  <c r="E358" i="6"/>
  <c r="F358" i="6"/>
  <c r="I358" i="6"/>
  <c r="N358" i="6"/>
  <c r="R358" i="6"/>
  <c r="Q358" i="6" s="1"/>
  <c r="S358" i="6" s="1"/>
  <c r="T358" i="6"/>
  <c r="C359" i="6"/>
  <c r="D359" i="6"/>
  <c r="E359" i="6"/>
  <c r="F359" i="6"/>
  <c r="I359" i="6"/>
  <c r="L359" i="6"/>
  <c r="N359" i="6"/>
  <c r="Q359" i="6"/>
  <c r="R359" i="6"/>
  <c r="S359" i="6"/>
  <c r="T359" i="6"/>
  <c r="C360" i="6"/>
  <c r="L360" i="6" s="1"/>
  <c r="L630" i="6" s="1"/>
  <c r="D360" i="6"/>
  <c r="E360" i="6"/>
  <c r="F360" i="6"/>
  <c r="I360" i="6"/>
  <c r="N360" i="6"/>
  <c r="R360" i="6"/>
  <c r="Q360" i="6" s="1"/>
  <c r="T360" i="6"/>
  <c r="C361" i="6"/>
  <c r="D361" i="6"/>
  <c r="E361" i="6"/>
  <c r="F361" i="6"/>
  <c r="I361" i="6"/>
  <c r="L361" i="6"/>
  <c r="N361" i="6"/>
  <c r="Q361" i="6"/>
  <c r="R361" i="6"/>
  <c r="S361" i="6"/>
  <c r="T361" i="6"/>
  <c r="C362" i="6"/>
  <c r="L362" i="6" s="1"/>
  <c r="D362" i="6"/>
  <c r="E362" i="6"/>
  <c r="F362" i="6"/>
  <c r="I362" i="6"/>
  <c r="N362" i="6"/>
  <c r="R362" i="6"/>
  <c r="Q362" i="6" s="1"/>
  <c r="S362" i="6" s="1"/>
  <c r="T362" i="6"/>
  <c r="C363" i="6"/>
  <c r="D363" i="6"/>
  <c r="L363" i="6" s="1"/>
  <c r="E363" i="6"/>
  <c r="F363" i="6"/>
  <c r="H363" i="6"/>
  <c r="I363" i="6"/>
  <c r="N363" i="6"/>
  <c r="R363" i="6"/>
  <c r="Q363" i="6" s="1"/>
  <c r="S363" i="6" s="1"/>
  <c r="T363" i="6"/>
  <c r="C364" i="6"/>
  <c r="D364" i="6"/>
  <c r="L364" i="6" s="1"/>
  <c r="E364" i="6"/>
  <c r="F364" i="6"/>
  <c r="H364" i="6"/>
  <c r="I364" i="6"/>
  <c r="N364" i="6"/>
  <c r="R364" i="6"/>
  <c r="Q364" i="6" s="1"/>
  <c r="S364" i="6" s="1"/>
  <c r="T364" i="6"/>
  <c r="C365" i="6"/>
  <c r="D365" i="6"/>
  <c r="L365" i="6" s="1"/>
  <c r="E365" i="6"/>
  <c r="F365" i="6"/>
  <c r="H365" i="6"/>
  <c r="I365" i="6"/>
  <c r="N365" i="6"/>
  <c r="R365" i="6"/>
  <c r="Q365" i="6" s="1"/>
  <c r="S365" i="6" s="1"/>
  <c r="T365" i="6"/>
  <c r="C366" i="6"/>
  <c r="D366" i="6"/>
  <c r="L366" i="6" s="1"/>
  <c r="E366" i="6"/>
  <c r="F366" i="6"/>
  <c r="H366" i="6"/>
  <c r="I366" i="6"/>
  <c r="N366" i="6"/>
  <c r="R366" i="6"/>
  <c r="Q366" i="6" s="1"/>
  <c r="S366" i="6" s="1"/>
  <c r="T366" i="6"/>
  <c r="C367" i="6"/>
  <c r="D367" i="6"/>
  <c r="L367" i="6" s="1"/>
  <c r="E367" i="6"/>
  <c r="F367" i="6"/>
  <c r="H367" i="6"/>
  <c r="I367" i="6"/>
  <c r="N367" i="6"/>
  <c r="R367" i="6"/>
  <c r="Q367" i="6" s="1"/>
  <c r="S367" i="6" s="1"/>
  <c r="T367" i="6"/>
  <c r="C368" i="6"/>
  <c r="D368" i="6"/>
  <c r="L368" i="6" s="1"/>
  <c r="E368" i="6"/>
  <c r="F368" i="6"/>
  <c r="H368" i="6"/>
  <c r="I368" i="6"/>
  <c r="N368" i="6"/>
  <c r="R368" i="6"/>
  <c r="Q368" i="6" s="1"/>
  <c r="S368" i="6" s="1"/>
  <c r="T368" i="6"/>
  <c r="C369" i="6"/>
  <c r="D369" i="6"/>
  <c r="L369" i="6" s="1"/>
  <c r="E369" i="6"/>
  <c r="F369" i="6"/>
  <c r="H369" i="6"/>
  <c r="I369" i="6"/>
  <c r="N369" i="6"/>
  <c r="R369" i="6"/>
  <c r="Q369" i="6" s="1"/>
  <c r="S369" i="6" s="1"/>
  <c r="T369" i="6"/>
  <c r="C370" i="6"/>
  <c r="D370" i="6"/>
  <c r="E370" i="6"/>
  <c r="F370" i="6"/>
  <c r="I370" i="6"/>
  <c r="L370" i="6"/>
  <c r="N370" i="6"/>
  <c r="Q370" i="6"/>
  <c r="R370" i="6"/>
  <c r="S370" i="6"/>
  <c r="T370" i="6"/>
  <c r="C371" i="6"/>
  <c r="L371" i="6" s="1"/>
  <c r="D371" i="6"/>
  <c r="E371" i="6"/>
  <c r="F371" i="6"/>
  <c r="I371" i="6"/>
  <c r="N371" i="6"/>
  <c r="R371" i="6"/>
  <c r="Q371" i="6" s="1"/>
  <c r="S371" i="6" s="1"/>
  <c r="T371" i="6"/>
  <c r="C372" i="6"/>
  <c r="D372" i="6"/>
  <c r="E372" i="6"/>
  <c r="F372" i="6"/>
  <c r="I372" i="6"/>
  <c r="L372" i="6"/>
  <c r="N372" i="6"/>
  <c r="Q372" i="6"/>
  <c r="R372" i="6"/>
  <c r="S372" i="6"/>
  <c r="T372" i="6"/>
  <c r="C373" i="6"/>
  <c r="L373" i="6" s="1"/>
  <c r="L631" i="6" s="1"/>
  <c r="D373" i="6"/>
  <c r="E373" i="6"/>
  <c r="F373" i="6"/>
  <c r="I373" i="6"/>
  <c r="N373" i="6"/>
  <c r="R373" i="6"/>
  <c r="Q373" i="6" s="1"/>
  <c r="S373" i="6" s="1"/>
  <c r="S631" i="6" s="1"/>
  <c r="T373" i="6"/>
  <c r="C374" i="6"/>
  <c r="D374" i="6"/>
  <c r="E374" i="6"/>
  <c r="F374" i="6"/>
  <c r="I374" i="6"/>
  <c r="L374" i="6"/>
  <c r="N374" i="6"/>
  <c r="Q374" i="6"/>
  <c r="R374" i="6"/>
  <c r="S374" i="6"/>
  <c r="T374" i="6"/>
  <c r="C375" i="6"/>
  <c r="D375" i="6"/>
  <c r="E375" i="6"/>
  <c r="F375" i="6"/>
  <c r="H375" i="6"/>
  <c r="I375" i="6"/>
  <c r="L375" i="6"/>
  <c r="N375" i="6"/>
  <c r="Q375" i="6"/>
  <c r="R375" i="6"/>
  <c r="S375" i="6"/>
  <c r="T375" i="6"/>
  <c r="C376" i="6"/>
  <c r="D376" i="6"/>
  <c r="E376" i="6"/>
  <c r="F376" i="6"/>
  <c r="H376" i="6"/>
  <c r="I376" i="6"/>
  <c r="L376" i="6"/>
  <c r="N376" i="6"/>
  <c r="Q376" i="6"/>
  <c r="R376" i="6"/>
  <c r="S376" i="6"/>
  <c r="T376" i="6"/>
  <c r="C377" i="6"/>
  <c r="D377" i="6"/>
  <c r="E377" i="6"/>
  <c r="F377" i="6"/>
  <c r="H377" i="6"/>
  <c r="I377" i="6"/>
  <c r="L377" i="6"/>
  <c r="N377" i="6"/>
  <c r="Q377" i="6"/>
  <c r="R377" i="6"/>
  <c r="S377" i="6"/>
  <c r="T377" i="6"/>
  <c r="C378" i="6"/>
  <c r="D378" i="6"/>
  <c r="E378" i="6"/>
  <c r="F378" i="6"/>
  <c r="H378" i="6"/>
  <c r="I378" i="6"/>
  <c r="L378" i="6"/>
  <c r="N378" i="6"/>
  <c r="Q378" i="6"/>
  <c r="R378" i="6"/>
  <c r="S378" i="6"/>
  <c r="T378" i="6"/>
  <c r="C379" i="6"/>
  <c r="D379" i="6"/>
  <c r="E379" i="6"/>
  <c r="F379" i="6"/>
  <c r="H379" i="6"/>
  <c r="I379" i="6"/>
  <c r="L379" i="6"/>
  <c r="N379" i="6"/>
  <c r="Q379" i="6"/>
  <c r="R379" i="6"/>
  <c r="S379" i="6"/>
  <c r="T379" i="6"/>
  <c r="C380" i="6"/>
  <c r="D380" i="6"/>
  <c r="E380" i="6"/>
  <c r="F380" i="6"/>
  <c r="H380" i="6"/>
  <c r="I380" i="6"/>
  <c r="L380" i="6"/>
  <c r="N380" i="6"/>
  <c r="Q380" i="6"/>
  <c r="R380" i="6"/>
  <c r="S380" i="6"/>
  <c r="T380" i="6"/>
  <c r="C381" i="6"/>
  <c r="D381" i="6"/>
  <c r="E381" i="6"/>
  <c r="F381" i="6"/>
  <c r="H381" i="6"/>
  <c r="I381" i="6"/>
  <c r="L381" i="6"/>
  <c r="N381" i="6"/>
  <c r="Q381" i="6"/>
  <c r="R381" i="6"/>
  <c r="S381" i="6"/>
  <c r="T381" i="6"/>
  <c r="C382" i="6"/>
  <c r="L382" i="6" s="1"/>
  <c r="D382" i="6"/>
  <c r="E382" i="6"/>
  <c r="F382" i="6"/>
  <c r="I382" i="6"/>
  <c r="N382" i="6"/>
  <c r="R382" i="6"/>
  <c r="Q382" i="6" s="1"/>
  <c r="S382" i="6" s="1"/>
  <c r="T382" i="6"/>
  <c r="C383" i="6"/>
  <c r="D383" i="6"/>
  <c r="E383" i="6"/>
  <c r="F383" i="6"/>
  <c r="I383" i="6"/>
  <c r="L383" i="6"/>
  <c r="N383" i="6"/>
  <c r="Q383" i="6"/>
  <c r="R383" i="6"/>
  <c r="S383" i="6"/>
  <c r="T383" i="6"/>
  <c r="C384" i="6"/>
  <c r="D384" i="6"/>
  <c r="E384" i="6"/>
  <c r="E632" i="6" s="1"/>
  <c r="F384" i="6"/>
  <c r="I384" i="6"/>
  <c r="N384" i="6"/>
  <c r="R384" i="6"/>
  <c r="Q384" i="6" s="1"/>
  <c r="T384" i="6"/>
  <c r="C385" i="6"/>
  <c r="D385" i="6"/>
  <c r="E385" i="6"/>
  <c r="F385" i="6"/>
  <c r="I385" i="6"/>
  <c r="L385" i="6"/>
  <c r="N385" i="6"/>
  <c r="Q385" i="6"/>
  <c r="R385" i="6"/>
  <c r="S385" i="6"/>
  <c r="T385" i="6"/>
  <c r="C386" i="6"/>
  <c r="D386" i="6"/>
  <c r="E386" i="6"/>
  <c r="F386" i="6"/>
  <c r="I386" i="6"/>
  <c r="N386" i="6"/>
  <c r="R386" i="6"/>
  <c r="Q386" i="6" s="1"/>
  <c r="S386" i="6" s="1"/>
  <c r="T386" i="6"/>
  <c r="C387" i="6"/>
  <c r="D387" i="6"/>
  <c r="E387" i="6"/>
  <c r="F387" i="6"/>
  <c r="H387" i="6"/>
  <c r="I387" i="6"/>
  <c r="N387" i="6"/>
  <c r="R387" i="6"/>
  <c r="Q387" i="6" s="1"/>
  <c r="S387" i="6" s="1"/>
  <c r="T387" i="6"/>
  <c r="C388" i="6"/>
  <c r="D388" i="6"/>
  <c r="E388" i="6"/>
  <c r="F388" i="6"/>
  <c r="H388" i="6"/>
  <c r="I388" i="6"/>
  <c r="N388" i="6"/>
  <c r="R388" i="6"/>
  <c r="Q388" i="6" s="1"/>
  <c r="S388" i="6" s="1"/>
  <c r="T388" i="6"/>
  <c r="C389" i="6"/>
  <c r="D389" i="6"/>
  <c r="E389" i="6"/>
  <c r="F389" i="6"/>
  <c r="H389" i="6"/>
  <c r="I389" i="6"/>
  <c r="N389" i="6"/>
  <c r="R389" i="6"/>
  <c r="Q389" i="6" s="1"/>
  <c r="S389" i="6" s="1"/>
  <c r="T389" i="6"/>
  <c r="C390" i="6"/>
  <c r="D390" i="6"/>
  <c r="E390" i="6"/>
  <c r="F390" i="6"/>
  <c r="H390" i="6"/>
  <c r="I390" i="6"/>
  <c r="N390" i="6"/>
  <c r="R390" i="6"/>
  <c r="Q390" i="6" s="1"/>
  <c r="S390" i="6" s="1"/>
  <c r="T390" i="6"/>
  <c r="C391" i="6"/>
  <c r="D391" i="6"/>
  <c r="E391" i="6"/>
  <c r="F391" i="6"/>
  <c r="H391" i="6"/>
  <c r="I391" i="6"/>
  <c r="N391" i="6"/>
  <c r="R391" i="6"/>
  <c r="Q391" i="6" s="1"/>
  <c r="S391" i="6" s="1"/>
  <c r="T391" i="6"/>
  <c r="C392" i="6"/>
  <c r="D392" i="6"/>
  <c r="E392" i="6"/>
  <c r="F392" i="6"/>
  <c r="H392" i="6"/>
  <c r="I392" i="6"/>
  <c r="N392" i="6"/>
  <c r="R392" i="6"/>
  <c r="Q392" i="6" s="1"/>
  <c r="S392" i="6" s="1"/>
  <c r="T392" i="6"/>
  <c r="C393" i="6"/>
  <c r="D393" i="6"/>
  <c r="E393" i="6"/>
  <c r="F393" i="6"/>
  <c r="H393" i="6"/>
  <c r="I393" i="6"/>
  <c r="N393" i="6"/>
  <c r="R393" i="6"/>
  <c r="Q393" i="6" s="1"/>
  <c r="S393" i="6" s="1"/>
  <c r="T393" i="6"/>
  <c r="C394" i="6"/>
  <c r="D394" i="6"/>
  <c r="E394" i="6"/>
  <c r="F394" i="6"/>
  <c r="I394" i="6"/>
  <c r="L394" i="6"/>
  <c r="N394" i="6"/>
  <c r="Q394" i="6"/>
  <c r="R394" i="6"/>
  <c r="S394" i="6"/>
  <c r="T394" i="6"/>
  <c r="C395" i="6"/>
  <c r="D395" i="6"/>
  <c r="E395" i="6"/>
  <c r="F395" i="6"/>
  <c r="I395" i="6"/>
  <c r="N395" i="6"/>
  <c r="R395" i="6"/>
  <c r="Q395" i="6" s="1"/>
  <c r="S395" i="6" s="1"/>
  <c r="T395" i="6"/>
  <c r="C396" i="6"/>
  <c r="D396" i="6"/>
  <c r="E396" i="6"/>
  <c r="F396" i="6"/>
  <c r="I396" i="6"/>
  <c r="L396" i="6"/>
  <c r="N396" i="6"/>
  <c r="Q396" i="6"/>
  <c r="R396" i="6"/>
  <c r="S396" i="6"/>
  <c r="T396" i="6"/>
  <c r="C397" i="6"/>
  <c r="C633" i="6" s="1"/>
  <c r="D397" i="6"/>
  <c r="E397" i="6"/>
  <c r="E633" i="6" s="1"/>
  <c r="F397" i="6"/>
  <c r="I397" i="6"/>
  <c r="N397" i="6"/>
  <c r="R397" i="6"/>
  <c r="T397" i="6"/>
  <c r="C398" i="6"/>
  <c r="D398" i="6"/>
  <c r="E398" i="6"/>
  <c r="F398" i="6"/>
  <c r="I398" i="6"/>
  <c r="L398" i="6"/>
  <c r="N398" i="6"/>
  <c r="Q398" i="6"/>
  <c r="R398" i="6"/>
  <c r="S398" i="6"/>
  <c r="T398" i="6"/>
  <c r="C399" i="6"/>
  <c r="D399" i="6"/>
  <c r="E399" i="6"/>
  <c r="F399" i="6"/>
  <c r="H399" i="6"/>
  <c r="I399" i="6"/>
  <c r="L399" i="6"/>
  <c r="N399" i="6"/>
  <c r="Q399" i="6"/>
  <c r="R399" i="6"/>
  <c r="S399" i="6"/>
  <c r="T399" i="6"/>
  <c r="C400" i="6"/>
  <c r="D400" i="6"/>
  <c r="E400" i="6"/>
  <c r="F400" i="6"/>
  <c r="H400" i="6"/>
  <c r="I400" i="6"/>
  <c r="L400" i="6"/>
  <c r="N400" i="6"/>
  <c r="Q400" i="6"/>
  <c r="R400" i="6"/>
  <c r="S400" i="6"/>
  <c r="T400" i="6"/>
  <c r="C401" i="6"/>
  <c r="D401" i="6"/>
  <c r="E401" i="6"/>
  <c r="F401" i="6"/>
  <c r="H401" i="6"/>
  <c r="I401" i="6"/>
  <c r="L401" i="6"/>
  <c r="N401" i="6"/>
  <c r="Q401" i="6"/>
  <c r="R401" i="6"/>
  <c r="S401" i="6"/>
  <c r="T401" i="6"/>
  <c r="C402" i="6"/>
  <c r="D402" i="6"/>
  <c r="E402" i="6"/>
  <c r="F402" i="6"/>
  <c r="H402" i="6"/>
  <c r="I402" i="6"/>
  <c r="L402" i="6"/>
  <c r="N402" i="6"/>
  <c r="Q402" i="6"/>
  <c r="R402" i="6"/>
  <c r="S402" i="6"/>
  <c r="T402" i="6"/>
  <c r="C403" i="6"/>
  <c r="D403" i="6"/>
  <c r="E403" i="6"/>
  <c r="F403" i="6"/>
  <c r="H403" i="6"/>
  <c r="I403" i="6"/>
  <c r="L403" i="6"/>
  <c r="N403" i="6"/>
  <c r="Q403" i="6"/>
  <c r="R403" i="6"/>
  <c r="S403" i="6"/>
  <c r="T403" i="6"/>
  <c r="C404" i="6"/>
  <c r="D404" i="6"/>
  <c r="E404" i="6"/>
  <c r="F404" i="6"/>
  <c r="H404" i="6"/>
  <c r="I404" i="6"/>
  <c r="L404" i="6"/>
  <c r="N404" i="6"/>
  <c r="Q404" i="6"/>
  <c r="R404" i="6"/>
  <c r="S404" i="6"/>
  <c r="T404" i="6"/>
  <c r="C405" i="6"/>
  <c r="D405" i="6"/>
  <c r="E405" i="6"/>
  <c r="F405" i="6"/>
  <c r="H405" i="6"/>
  <c r="I405" i="6"/>
  <c r="L405" i="6"/>
  <c r="N405" i="6"/>
  <c r="Q405" i="6"/>
  <c r="R405" i="6"/>
  <c r="S405" i="6"/>
  <c r="T405" i="6"/>
  <c r="C406" i="6"/>
  <c r="D406" i="6"/>
  <c r="E406" i="6"/>
  <c r="F406" i="6"/>
  <c r="I406" i="6"/>
  <c r="N406" i="6"/>
  <c r="N633" i="6" s="1"/>
  <c r="R406" i="6"/>
  <c r="Q406" i="6" s="1"/>
  <c r="S406" i="6" s="1"/>
  <c r="T406" i="6"/>
  <c r="T633" i="6" s="1"/>
  <c r="C407" i="6"/>
  <c r="D407" i="6"/>
  <c r="E407" i="6"/>
  <c r="F407" i="6"/>
  <c r="I407" i="6"/>
  <c r="L407" i="6"/>
  <c r="N407" i="6"/>
  <c r="Q407" i="6"/>
  <c r="R407" i="6"/>
  <c r="S407" i="6"/>
  <c r="T407" i="6"/>
  <c r="C408" i="6"/>
  <c r="D408" i="6"/>
  <c r="E408" i="6"/>
  <c r="E634" i="6" s="1"/>
  <c r="F408" i="6"/>
  <c r="I408" i="6"/>
  <c r="N408" i="6"/>
  <c r="R408" i="6"/>
  <c r="Q408" i="6" s="1"/>
  <c r="T408" i="6"/>
  <c r="C409" i="6"/>
  <c r="D409" i="6"/>
  <c r="E409" i="6"/>
  <c r="F409" i="6"/>
  <c r="I409" i="6"/>
  <c r="L409" i="6"/>
  <c r="N409" i="6"/>
  <c r="Q409" i="6"/>
  <c r="R409" i="6"/>
  <c r="S409" i="6"/>
  <c r="T409" i="6"/>
  <c r="C410" i="6"/>
  <c r="D410" i="6"/>
  <c r="E410" i="6"/>
  <c r="F410" i="6"/>
  <c r="I410" i="6"/>
  <c r="N410" i="6"/>
  <c r="R410" i="6"/>
  <c r="Q410" i="6" s="1"/>
  <c r="S410" i="6" s="1"/>
  <c r="T410" i="6"/>
  <c r="C411" i="6"/>
  <c r="D411" i="6"/>
  <c r="E411" i="6"/>
  <c r="F411" i="6"/>
  <c r="H411" i="6"/>
  <c r="I411" i="6"/>
  <c r="N411" i="6"/>
  <c r="R411" i="6"/>
  <c r="Q411" i="6" s="1"/>
  <c r="S411" i="6" s="1"/>
  <c r="T411" i="6"/>
  <c r="C412" i="6"/>
  <c r="D412" i="6"/>
  <c r="E412" i="6"/>
  <c r="F412" i="6"/>
  <c r="H412" i="6"/>
  <c r="I412" i="6"/>
  <c r="N412" i="6"/>
  <c r="R412" i="6"/>
  <c r="Q412" i="6" s="1"/>
  <c r="S412" i="6" s="1"/>
  <c r="T412" i="6"/>
  <c r="C413" i="6"/>
  <c r="D413" i="6"/>
  <c r="E413" i="6"/>
  <c r="F413" i="6"/>
  <c r="H413" i="6"/>
  <c r="I413" i="6"/>
  <c r="N413" i="6"/>
  <c r="R413" i="6"/>
  <c r="Q413" i="6" s="1"/>
  <c r="S413" i="6" s="1"/>
  <c r="T413" i="6"/>
  <c r="C414" i="6"/>
  <c r="D414" i="6"/>
  <c r="E414" i="6"/>
  <c r="F414" i="6"/>
  <c r="H414" i="6"/>
  <c r="I414" i="6"/>
  <c r="N414" i="6"/>
  <c r="R414" i="6"/>
  <c r="Q414" i="6" s="1"/>
  <c r="S414" i="6" s="1"/>
  <c r="T414" i="6"/>
  <c r="C415" i="6"/>
  <c r="D415" i="6"/>
  <c r="E415" i="6"/>
  <c r="F415" i="6"/>
  <c r="H415" i="6"/>
  <c r="I415" i="6"/>
  <c r="N415" i="6"/>
  <c r="R415" i="6"/>
  <c r="Q415" i="6" s="1"/>
  <c r="S415" i="6" s="1"/>
  <c r="T415" i="6"/>
  <c r="C416" i="6"/>
  <c r="D416" i="6"/>
  <c r="E416" i="6"/>
  <c r="F416" i="6"/>
  <c r="H416" i="6"/>
  <c r="I416" i="6"/>
  <c r="N416" i="6"/>
  <c r="R416" i="6"/>
  <c r="Q416" i="6" s="1"/>
  <c r="S416" i="6" s="1"/>
  <c r="T416" i="6"/>
  <c r="C417" i="6"/>
  <c r="D417" i="6"/>
  <c r="E417" i="6"/>
  <c r="F417" i="6"/>
  <c r="H417" i="6"/>
  <c r="I417" i="6"/>
  <c r="N417" i="6"/>
  <c r="R417" i="6"/>
  <c r="Q417" i="6" s="1"/>
  <c r="S417" i="6" s="1"/>
  <c r="T417" i="6"/>
  <c r="C418" i="6"/>
  <c r="D418" i="6"/>
  <c r="E418" i="6"/>
  <c r="F418" i="6"/>
  <c r="I418" i="6"/>
  <c r="L418" i="6"/>
  <c r="N418" i="6"/>
  <c r="Q418" i="6"/>
  <c r="R418" i="6"/>
  <c r="S418" i="6"/>
  <c r="T418" i="6"/>
  <c r="C419" i="6"/>
  <c r="D419" i="6"/>
  <c r="E419" i="6"/>
  <c r="F419" i="6"/>
  <c r="I419" i="6"/>
  <c r="N419" i="6"/>
  <c r="R419" i="6"/>
  <c r="Q419" i="6" s="1"/>
  <c r="S419" i="6" s="1"/>
  <c r="T419" i="6"/>
  <c r="C420" i="6"/>
  <c r="D420" i="6"/>
  <c r="E420" i="6"/>
  <c r="F420" i="6"/>
  <c r="I420" i="6"/>
  <c r="L420" i="6"/>
  <c r="N420" i="6"/>
  <c r="Q420" i="6"/>
  <c r="R420" i="6"/>
  <c r="S420" i="6"/>
  <c r="T420" i="6"/>
  <c r="C421" i="6"/>
  <c r="C635" i="6" s="1"/>
  <c r="D421" i="6"/>
  <c r="E421" i="6"/>
  <c r="E635" i="6" s="1"/>
  <c r="F421" i="6"/>
  <c r="I421" i="6"/>
  <c r="N421" i="6"/>
  <c r="R421" i="6"/>
  <c r="T421" i="6"/>
  <c r="C422" i="6"/>
  <c r="D422" i="6"/>
  <c r="E422" i="6"/>
  <c r="F422" i="6"/>
  <c r="I422" i="6"/>
  <c r="L422" i="6"/>
  <c r="N422" i="6"/>
  <c r="Q422" i="6"/>
  <c r="R422" i="6"/>
  <c r="S422" i="6"/>
  <c r="T422" i="6"/>
  <c r="C423" i="6"/>
  <c r="D423" i="6"/>
  <c r="E423" i="6"/>
  <c r="F423" i="6"/>
  <c r="H423" i="6"/>
  <c r="I423" i="6"/>
  <c r="L423" i="6"/>
  <c r="N423" i="6"/>
  <c r="Q423" i="6"/>
  <c r="R423" i="6"/>
  <c r="S423" i="6"/>
  <c r="T423" i="6"/>
  <c r="C424" i="6"/>
  <c r="D424" i="6"/>
  <c r="E424" i="6"/>
  <c r="F424" i="6"/>
  <c r="H424" i="6"/>
  <c r="I424" i="6"/>
  <c r="L424" i="6"/>
  <c r="N424" i="6"/>
  <c r="Q424" i="6"/>
  <c r="R424" i="6"/>
  <c r="S424" i="6"/>
  <c r="T424" i="6"/>
  <c r="C425" i="6"/>
  <c r="D425" i="6"/>
  <c r="E425" i="6"/>
  <c r="F425" i="6"/>
  <c r="H425" i="6"/>
  <c r="I425" i="6"/>
  <c r="L425" i="6"/>
  <c r="N425" i="6"/>
  <c r="Q425" i="6"/>
  <c r="R425" i="6"/>
  <c r="S425" i="6"/>
  <c r="T425" i="6"/>
  <c r="C426" i="6"/>
  <c r="D426" i="6"/>
  <c r="E426" i="6"/>
  <c r="F426" i="6"/>
  <c r="H426" i="6"/>
  <c r="I426" i="6"/>
  <c r="L426" i="6"/>
  <c r="N426" i="6"/>
  <c r="Q426" i="6"/>
  <c r="R426" i="6"/>
  <c r="S426" i="6"/>
  <c r="T426" i="6"/>
  <c r="C427" i="6"/>
  <c r="D427" i="6"/>
  <c r="E427" i="6"/>
  <c r="F427" i="6"/>
  <c r="H427" i="6"/>
  <c r="I427" i="6"/>
  <c r="L427" i="6"/>
  <c r="N427" i="6"/>
  <c r="Q427" i="6"/>
  <c r="R427" i="6"/>
  <c r="S427" i="6"/>
  <c r="T427" i="6"/>
  <c r="C428" i="6"/>
  <c r="D428" i="6"/>
  <c r="E428" i="6"/>
  <c r="F428" i="6"/>
  <c r="H428" i="6"/>
  <c r="I428" i="6"/>
  <c r="L428" i="6"/>
  <c r="N428" i="6"/>
  <c r="Q428" i="6"/>
  <c r="R428" i="6"/>
  <c r="S428" i="6"/>
  <c r="T428" i="6"/>
  <c r="C429" i="6"/>
  <c r="D429" i="6"/>
  <c r="E429" i="6"/>
  <c r="F429" i="6"/>
  <c r="H429" i="6"/>
  <c r="I429" i="6"/>
  <c r="L429" i="6"/>
  <c r="N429" i="6"/>
  <c r="Q429" i="6"/>
  <c r="R429" i="6"/>
  <c r="S429" i="6"/>
  <c r="T429" i="6"/>
  <c r="C430" i="6"/>
  <c r="D430" i="6"/>
  <c r="E430" i="6"/>
  <c r="F430" i="6"/>
  <c r="I430" i="6"/>
  <c r="N430" i="6"/>
  <c r="N635" i="6" s="1"/>
  <c r="R430" i="6"/>
  <c r="Q430" i="6" s="1"/>
  <c r="S430" i="6" s="1"/>
  <c r="T430" i="6"/>
  <c r="T635" i="6" s="1"/>
  <c r="C431" i="6"/>
  <c r="D431" i="6"/>
  <c r="E431" i="6"/>
  <c r="F431" i="6"/>
  <c r="I431" i="6"/>
  <c r="L431" i="6"/>
  <c r="N431" i="6"/>
  <c r="Q431" i="6"/>
  <c r="R431" i="6"/>
  <c r="S431" i="6"/>
  <c r="T431" i="6"/>
  <c r="C432" i="6"/>
  <c r="D432" i="6"/>
  <c r="E432" i="6"/>
  <c r="E636" i="6" s="1"/>
  <c r="F432" i="6"/>
  <c r="I432" i="6"/>
  <c r="N432" i="6"/>
  <c r="R432" i="6"/>
  <c r="Q432" i="6" s="1"/>
  <c r="T432" i="6"/>
  <c r="C433" i="6"/>
  <c r="D433" i="6"/>
  <c r="E433" i="6"/>
  <c r="F433" i="6"/>
  <c r="I433" i="6"/>
  <c r="L433" i="6"/>
  <c r="N433" i="6"/>
  <c r="Q433" i="6"/>
  <c r="R433" i="6"/>
  <c r="S433" i="6"/>
  <c r="T433" i="6"/>
  <c r="C434" i="6"/>
  <c r="D434" i="6"/>
  <c r="E434" i="6"/>
  <c r="F434" i="6"/>
  <c r="I434" i="6"/>
  <c r="N434" i="6"/>
  <c r="R434" i="6"/>
  <c r="Q434" i="6" s="1"/>
  <c r="S434" i="6" s="1"/>
  <c r="T434" i="6"/>
  <c r="C435" i="6"/>
  <c r="D435" i="6"/>
  <c r="E435" i="6"/>
  <c r="F435" i="6"/>
  <c r="H435" i="6"/>
  <c r="I435" i="6"/>
  <c r="N435" i="6"/>
  <c r="R435" i="6"/>
  <c r="Q435" i="6" s="1"/>
  <c r="S435" i="6" s="1"/>
  <c r="T435" i="6"/>
  <c r="C436" i="6"/>
  <c r="D436" i="6"/>
  <c r="E436" i="6"/>
  <c r="F436" i="6"/>
  <c r="H436" i="6"/>
  <c r="I436" i="6"/>
  <c r="N436" i="6"/>
  <c r="R436" i="6"/>
  <c r="Q436" i="6" s="1"/>
  <c r="S436" i="6" s="1"/>
  <c r="T436" i="6"/>
  <c r="C437" i="6"/>
  <c r="D437" i="6"/>
  <c r="E437" i="6"/>
  <c r="F437" i="6"/>
  <c r="H437" i="6"/>
  <c r="I437" i="6"/>
  <c r="N437" i="6"/>
  <c r="R437" i="6"/>
  <c r="Q437" i="6" s="1"/>
  <c r="S437" i="6" s="1"/>
  <c r="T437" i="6"/>
  <c r="C438" i="6"/>
  <c r="D438" i="6"/>
  <c r="E438" i="6"/>
  <c r="F438" i="6"/>
  <c r="H438" i="6"/>
  <c r="I438" i="6"/>
  <c r="N438" i="6"/>
  <c r="R438" i="6"/>
  <c r="Q438" i="6" s="1"/>
  <c r="S438" i="6" s="1"/>
  <c r="T438" i="6"/>
  <c r="C439" i="6"/>
  <c r="D439" i="6"/>
  <c r="E439" i="6"/>
  <c r="F439" i="6"/>
  <c r="H439" i="6"/>
  <c r="I439" i="6"/>
  <c r="N439" i="6"/>
  <c r="R439" i="6"/>
  <c r="Q439" i="6" s="1"/>
  <c r="S439" i="6" s="1"/>
  <c r="T439" i="6"/>
  <c r="C440" i="6"/>
  <c r="D440" i="6"/>
  <c r="E440" i="6"/>
  <c r="F440" i="6"/>
  <c r="H440" i="6"/>
  <c r="I440" i="6"/>
  <c r="N440" i="6"/>
  <c r="R440" i="6"/>
  <c r="Q440" i="6" s="1"/>
  <c r="S440" i="6" s="1"/>
  <c r="T440" i="6"/>
  <c r="C441" i="6"/>
  <c r="D441" i="6"/>
  <c r="E441" i="6"/>
  <c r="F441" i="6"/>
  <c r="H441" i="6"/>
  <c r="I441" i="6"/>
  <c r="N441" i="6"/>
  <c r="R441" i="6"/>
  <c r="Q441" i="6" s="1"/>
  <c r="S441" i="6" s="1"/>
  <c r="T441" i="6"/>
  <c r="C442" i="6"/>
  <c r="D442" i="6"/>
  <c r="E442" i="6"/>
  <c r="F442" i="6"/>
  <c r="I442" i="6"/>
  <c r="L442" i="6"/>
  <c r="N442" i="6"/>
  <c r="Q442" i="6"/>
  <c r="R442" i="6"/>
  <c r="S442" i="6"/>
  <c r="T442" i="6"/>
  <c r="C443" i="6"/>
  <c r="D443" i="6"/>
  <c r="E443" i="6"/>
  <c r="F443" i="6"/>
  <c r="I443" i="6"/>
  <c r="N443" i="6"/>
  <c r="R443" i="6"/>
  <c r="Q443" i="6" s="1"/>
  <c r="S443" i="6" s="1"/>
  <c r="T443" i="6"/>
  <c r="C444" i="6"/>
  <c r="D444" i="6"/>
  <c r="E444" i="6"/>
  <c r="F444" i="6"/>
  <c r="I444" i="6"/>
  <c r="L444" i="6"/>
  <c r="N444" i="6"/>
  <c r="Q444" i="6"/>
  <c r="R444" i="6"/>
  <c r="S444" i="6"/>
  <c r="T444" i="6"/>
  <c r="C445" i="6"/>
  <c r="C637" i="6" s="1"/>
  <c r="D445" i="6"/>
  <c r="E445" i="6"/>
  <c r="E637" i="6" s="1"/>
  <c r="F445" i="6"/>
  <c r="I445" i="6"/>
  <c r="N445" i="6"/>
  <c r="R445" i="6"/>
  <c r="T445" i="6"/>
  <c r="C446" i="6"/>
  <c r="D446" i="6"/>
  <c r="E446" i="6"/>
  <c r="F446" i="6"/>
  <c r="I446" i="6"/>
  <c r="L446" i="6"/>
  <c r="N446" i="6"/>
  <c r="Q446" i="6"/>
  <c r="R446" i="6"/>
  <c r="S446" i="6"/>
  <c r="T446" i="6"/>
  <c r="C447" i="6"/>
  <c r="D447" i="6"/>
  <c r="E447" i="6"/>
  <c r="F447" i="6"/>
  <c r="H447" i="6"/>
  <c r="I447" i="6"/>
  <c r="L447" i="6"/>
  <c r="N447" i="6"/>
  <c r="Q447" i="6"/>
  <c r="R447" i="6"/>
  <c r="S447" i="6"/>
  <c r="T447" i="6"/>
  <c r="C448" i="6"/>
  <c r="D448" i="6"/>
  <c r="E448" i="6"/>
  <c r="F448" i="6"/>
  <c r="H448" i="6"/>
  <c r="I448" i="6"/>
  <c r="L448" i="6"/>
  <c r="N448" i="6"/>
  <c r="Q448" i="6"/>
  <c r="R448" i="6"/>
  <c r="S448" i="6"/>
  <c r="T448" i="6"/>
  <c r="C449" i="6"/>
  <c r="D449" i="6"/>
  <c r="E449" i="6"/>
  <c r="F449" i="6"/>
  <c r="H449" i="6"/>
  <c r="I449" i="6"/>
  <c r="L449" i="6"/>
  <c r="N449" i="6"/>
  <c r="Q449" i="6"/>
  <c r="R449" i="6"/>
  <c r="S449" i="6"/>
  <c r="T449" i="6"/>
  <c r="C450" i="6"/>
  <c r="D450" i="6"/>
  <c r="E450" i="6"/>
  <c r="F450" i="6"/>
  <c r="H450" i="6"/>
  <c r="I450" i="6"/>
  <c r="L450" i="6"/>
  <c r="N450" i="6"/>
  <c r="Q450" i="6"/>
  <c r="R450" i="6"/>
  <c r="S450" i="6"/>
  <c r="T450" i="6"/>
  <c r="C451" i="6"/>
  <c r="D451" i="6"/>
  <c r="E451" i="6"/>
  <c r="F451" i="6"/>
  <c r="H451" i="6"/>
  <c r="I451" i="6"/>
  <c r="L451" i="6"/>
  <c r="N451" i="6"/>
  <c r="Q451" i="6"/>
  <c r="R451" i="6"/>
  <c r="S451" i="6"/>
  <c r="T451" i="6"/>
  <c r="C452" i="6"/>
  <c r="D452" i="6"/>
  <c r="E452" i="6"/>
  <c r="F452" i="6"/>
  <c r="H452" i="6"/>
  <c r="I452" i="6"/>
  <c r="L452" i="6"/>
  <c r="N452" i="6"/>
  <c r="Q452" i="6"/>
  <c r="R452" i="6"/>
  <c r="S452" i="6"/>
  <c r="T452" i="6"/>
  <c r="C453" i="6"/>
  <c r="D453" i="6"/>
  <c r="E453" i="6"/>
  <c r="F453" i="6"/>
  <c r="H453" i="6"/>
  <c r="I453" i="6"/>
  <c r="L453" i="6"/>
  <c r="N453" i="6"/>
  <c r="Q453" i="6"/>
  <c r="R453" i="6"/>
  <c r="S453" i="6"/>
  <c r="T453" i="6"/>
  <c r="C454" i="6"/>
  <c r="D454" i="6"/>
  <c r="E454" i="6"/>
  <c r="F454" i="6"/>
  <c r="I454" i="6"/>
  <c r="N454" i="6"/>
  <c r="N637" i="6" s="1"/>
  <c r="R454" i="6"/>
  <c r="Q454" i="6" s="1"/>
  <c r="S454" i="6" s="1"/>
  <c r="T454" i="6"/>
  <c r="T637" i="6" s="1"/>
  <c r="C455" i="6"/>
  <c r="D455" i="6"/>
  <c r="E455" i="6"/>
  <c r="F455" i="6"/>
  <c r="I455" i="6"/>
  <c r="L455" i="6"/>
  <c r="N455" i="6"/>
  <c r="Q455" i="6"/>
  <c r="R455" i="6"/>
  <c r="S455" i="6"/>
  <c r="T455" i="6"/>
  <c r="C456" i="6"/>
  <c r="D456" i="6"/>
  <c r="E456" i="6"/>
  <c r="E638" i="6" s="1"/>
  <c r="F456" i="6"/>
  <c r="I456" i="6"/>
  <c r="N456" i="6"/>
  <c r="R456" i="6"/>
  <c r="Q456" i="6" s="1"/>
  <c r="T456" i="6"/>
  <c r="C457" i="6"/>
  <c r="D457" i="6"/>
  <c r="E457" i="6"/>
  <c r="F457" i="6"/>
  <c r="I457" i="6"/>
  <c r="L457" i="6"/>
  <c r="N457" i="6"/>
  <c r="Q457" i="6"/>
  <c r="R457" i="6"/>
  <c r="S457" i="6"/>
  <c r="T457" i="6"/>
  <c r="C458" i="6"/>
  <c r="D458" i="6"/>
  <c r="E458" i="6"/>
  <c r="F458" i="6"/>
  <c r="I458" i="6"/>
  <c r="N458" i="6"/>
  <c r="R458" i="6"/>
  <c r="Q458" i="6" s="1"/>
  <c r="S458" i="6" s="1"/>
  <c r="T458" i="6"/>
  <c r="C459" i="6"/>
  <c r="D459" i="6"/>
  <c r="E459" i="6"/>
  <c r="F459" i="6"/>
  <c r="H459" i="6"/>
  <c r="I459" i="6"/>
  <c r="N459" i="6"/>
  <c r="R459" i="6"/>
  <c r="Q459" i="6" s="1"/>
  <c r="S459" i="6" s="1"/>
  <c r="T459" i="6"/>
  <c r="C460" i="6"/>
  <c r="D460" i="6"/>
  <c r="E460" i="6"/>
  <c r="F460" i="6"/>
  <c r="H460" i="6"/>
  <c r="I460" i="6"/>
  <c r="N460" i="6"/>
  <c r="R460" i="6"/>
  <c r="Q460" i="6" s="1"/>
  <c r="S460" i="6" s="1"/>
  <c r="T460" i="6"/>
  <c r="C461" i="6"/>
  <c r="D461" i="6"/>
  <c r="E461" i="6"/>
  <c r="F461" i="6"/>
  <c r="H461" i="6"/>
  <c r="I461" i="6"/>
  <c r="N461" i="6"/>
  <c r="R461" i="6"/>
  <c r="Q461" i="6" s="1"/>
  <c r="S461" i="6" s="1"/>
  <c r="T461" i="6"/>
  <c r="C462" i="6"/>
  <c r="D462" i="6"/>
  <c r="E462" i="6"/>
  <c r="F462" i="6"/>
  <c r="H462" i="6"/>
  <c r="I462" i="6"/>
  <c r="N462" i="6"/>
  <c r="R462" i="6"/>
  <c r="Q462" i="6" s="1"/>
  <c r="S462" i="6" s="1"/>
  <c r="T462" i="6"/>
  <c r="C463" i="6"/>
  <c r="D463" i="6"/>
  <c r="E463" i="6"/>
  <c r="F463" i="6"/>
  <c r="H463" i="6"/>
  <c r="I463" i="6"/>
  <c r="N463" i="6"/>
  <c r="R463" i="6"/>
  <c r="Q463" i="6" s="1"/>
  <c r="S463" i="6" s="1"/>
  <c r="T463" i="6"/>
  <c r="C464" i="6"/>
  <c r="D464" i="6"/>
  <c r="E464" i="6"/>
  <c r="F464" i="6"/>
  <c r="H464" i="6"/>
  <c r="I464" i="6"/>
  <c r="N464" i="6"/>
  <c r="R464" i="6"/>
  <c r="Q464" i="6" s="1"/>
  <c r="S464" i="6" s="1"/>
  <c r="T464" i="6"/>
  <c r="C465" i="6"/>
  <c r="D465" i="6"/>
  <c r="E465" i="6"/>
  <c r="F465" i="6"/>
  <c r="H465" i="6"/>
  <c r="I465" i="6"/>
  <c r="N465" i="6"/>
  <c r="R465" i="6"/>
  <c r="Q465" i="6" s="1"/>
  <c r="S465" i="6" s="1"/>
  <c r="T465" i="6"/>
  <c r="C466" i="6"/>
  <c r="D466" i="6"/>
  <c r="E466" i="6"/>
  <c r="F466" i="6"/>
  <c r="I466" i="6"/>
  <c r="L466" i="6"/>
  <c r="N466" i="6"/>
  <c r="Q466" i="6"/>
  <c r="R466" i="6"/>
  <c r="S466" i="6"/>
  <c r="T466" i="6"/>
  <c r="C467" i="6"/>
  <c r="D467" i="6"/>
  <c r="E467" i="6"/>
  <c r="F467" i="6"/>
  <c r="I467" i="6"/>
  <c r="N467" i="6"/>
  <c r="R467" i="6"/>
  <c r="Q467" i="6" s="1"/>
  <c r="S467" i="6" s="1"/>
  <c r="T467" i="6"/>
  <c r="C468" i="6"/>
  <c r="D468" i="6"/>
  <c r="E468" i="6"/>
  <c r="F468" i="6"/>
  <c r="I468" i="6"/>
  <c r="L468" i="6"/>
  <c r="N468" i="6"/>
  <c r="Q468" i="6"/>
  <c r="R468" i="6"/>
  <c r="S468" i="6"/>
  <c r="T468" i="6"/>
  <c r="C469" i="6"/>
  <c r="C639" i="6" s="1"/>
  <c r="D469" i="6"/>
  <c r="E469" i="6"/>
  <c r="E639" i="6" s="1"/>
  <c r="F469" i="6"/>
  <c r="I469" i="6"/>
  <c r="N469" i="6"/>
  <c r="R469" i="6"/>
  <c r="T469" i="6"/>
  <c r="C470" i="6"/>
  <c r="D470" i="6"/>
  <c r="E470" i="6"/>
  <c r="F470" i="6"/>
  <c r="I470" i="6"/>
  <c r="L470" i="6"/>
  <c r="N470" i="6"/>
  <c r="Q470" i="6"/>
  <c r="R470" i="6"/>
  <c r="S470" i="6"/>
  <c r="T470" i="6"/>
  <c r="C471" i="6"/>
  <c r="D471" i="6"/>
  <c r="E471" i="6"/>
  <c r="F471" i="6"/>
  <c r="H471" i="6"/>
  <c r="I471" i="6"/>
  <c r="L471" i="6"/>
  <c r="N471" i="6"/>
  <c r="Q471" i="6"/>
  <c r="R471" i="6"/>
  <c r="S471" i="6"/>
  <c r="T471" i="6"/>
  <c r="C472" i="6"/>
  <c r="D472" i="6"/>
  <c r="E472" i="6"/>
  <c r="F472" i="6"/>
  <c r="H472" i="6"/>
  <c r="I472" i="6"/>
  <c r="L472" i="6"/>
  <c r="N472" i="6"/>
  <c r="Q472" i="6"/>
  <c r="R472" i="6"/>
  <c r="S472" i="6"/>
  <c r="T472" i="6"/>
  <c r="C473" i="6"/>
  <c r="D473" i="6"/>
  <c r="E473" i="6"/>
  <c r="F473" i="6"/>
  <c r="H473" i="6"/>
  <c r="I473" i="6"/>
  <c r="L473" i="6"/>
  <c r="N473" i="6"/>
  <c r="Q473" i="6"/>
  <c r="R473" i="6"/>
  <c r="S473" i="6"/>
  <c r="T473" i="6"/>
  <c r="C474" i="6"/>
  <c r="D474" i="6"/>
  <c r="E474" i="6"/>
  <c r="F474" i="6"/>
  <c r="H474" i="6"/>
  <c r="I474" i="6"/>
  <c r="L474" i="6"/>
  <c r="N474" i="6"/>
  <c r="Q474" i="6"/>
  <c r="R474" i="6"/>
  <c r="S474" i="6"/>
  <c r="T474" i="6"/>
  <c r="C475" i="6"/>
  <c r="D475" i="6"/>
  <c r="E475" i="6"/>
  <c r="F475" i="6"/>
  <c r="H475" i="6"/>
  <c r="I475" i="6"/>
  <c r="L475" i="6"/>
  <c r="N475" i="6"/>
  <c r="Q475" i="6"/>
  <c r="R475" i="6"/>
  <c r="S475" i="6"/>
  <c r="T475" i="6"/>
  <c r="C476" i="6"/>
  <c r="D476" i="6"/>
  <c r="E476" i="6"/>
  <c r="F476" i="6"/>
  <c r="H476" i="6"/>
  <c r="I476" i="6"/>
  <c r="L476" i="6"/>
  <c r="N476" i="6"/>
  <c r="Q476" i="6"/>
  <c r="R476" i="6"/>
  <c r="S476" i="6"/>
  <c r="T476" i="6"/>
  <c r="C477" i="6"/>
  <c r="D477" i="6"/>
  <c r="E477" i="6"/>
  <c r="F477" i="6"/>
  <c r="H477" i="6"/>
  <c r="I477" i="6"/>
  <c r="L477" i="6"/>
  <c r="N477" i="6"/>
  <c r="Q477" i="6"/>
  <c r="R477" i="6"/>
  <c r="S477" i="6"/>
  <c r="T477" i="6"/>
  <c r="C478" i="6"/>
  <c r="D478" i="6"/>
  <c r="E478" i="6"/>
  <c r="F478" i="6"/>
  <c r="I478" i="6"/>
  <c r="N478" i="6"/>
  <c r="N639" i="6" s="1"/>
  <c r="R478" i="6"/>
  <c r="Q478" i="6" s="1"/>
  <c r="S478" i="6" s="1"/>
  <c r="T478" i="6"/>
  <c r="T639" i="6" s="1"/>
  <c r="C479" i="6"/>
  <c r="D479" i="6"/>
  <c r="E479" i="6"/>
  <c r="F479" i="6"/>
  <c r="I479" i="6"/>
  <c r="L479" i="6"/>
  <c r="N479" i="6"/>
  <c r="Q479" i="6"/>
  <c r="R479" i="6"/>
  <c r="S479" i="6"/>
  <c r="T479" i="6"/>
  <c r="C480" i="6"/>
  <c r="D480" i="6"/>
  <c r="E480" i="6"/>
  <c r="E640" i="6" s="1"/>
  <c r="F480" i="6"/>
  <c r="I480" i="6"/>
  <c r="N480" i="6"/>
  <c r="R480" i="6"/>
  <c r="Q480" i="6" s="1"/>
  <c r="T480" i="6"/>
  <c r="C481" i="6"/>
  <c r="D481" i="6"/>
  <c r="E481" i="6"/>
  <c r="F481" i="6"/>
  <c r="I481" i="6"/>
  <c r="L481" i="6"/>
  <c r="N481" i="6"/>
  <c r="Q481" i="6"/>
  <c r="R481" i="6"/>
  <c r="S481" i="6"/>
  <c r="T481" i="6"/>
  <c r="C482" i="6"/>
  <c r="D482" i="6"/>
  <c r="E482" i="6"/>
  <c r="F482" i="6"/>
  <c r="I482" i="6"/>
  <c r="N482" i="6"/>
  <c r="R482" i="6"/>
  <c r="Q482" i="6" s="1"/>
  <c r="S482" i="6" s="1"/>
  <c r="T482" i="6"/>
  <c r="C483" i="6"/>
  <c r="D483" i="6"/>
  <c r="E483" i="6"/>
  <c r="F483" i="6"/>
  <c r="H483" i="6"/>
  <c r="I483" i="6"/>
  <c r="N483" i="6"/>
  <c r="R483" i="6"/>
  <c r="Q483" i="6" s="1"/>
  <c r="S483" i="6" s="1"/>
  <c r="T483" i="6"/>
  <c r="C484" i="6"/>
  <c r="D484" i="6"/>
  <c r="E484" i="6"/>
  <c r="F484" i="6"/>
  <c r="H484" i="6"/>
  <c r="I484" i="6"/>
  <c r="N484" i="6"/>
  <c r="R484" i="6"/>
  <c r="Q484" i="6" s="1"/>
  <c r="S484" i="6" s="1"/>
  <c r="T484" i="6"/>
  <c r="C485" i="6"/>
  <c r="D485" i="6"/>
  <c r="E485" i="6"/>
  <c r="F485" i="6"/>
  <c r="H485" i="6"/>
  <c r="I485" i="6"/>
  <c r="N485" i="6"/>
  <c r="R485" i="6"/>
  <c r="Q485" i="6" s="1"/>
  <c r="S485" i="6" s="1"/>
  <c r="T485" i="6"/>
  <c r="C486" i="6"/>
  <c r="D486" i="6"/>
  <c r="E486" i="6"/>
  <c r="F486" i="6"/>
  <c r="H486" i="6"/>
  <c r="I486" i="6"/>
  <c r="N486" i="6"/>
  <c r="R486" i="6"/>
  <c r="Q486" i="6" s="1"/>
  <c r="S486" i="6" s="1"/>
  <c r="T486" i="6"/>
  <c r="C487" i="6"/>
  <c r="D487" i="6"/>
  <c r="E487" i="6"/>
  <c r="F487" i="6"/>
  <c r="H487" i="6"/>
  <c r="I487" i="6"/>
  <c r="N487" i="6"/>
  <c r="R487" i="6"/>
  <c r="Q487" i="6" s="1"/>
  <c r="S487" i="6" s="1"/>
  <c r="T487" i="6"/>
  <c r="C488" i="6"/>
  <c r="D488" i="6"/>
  <c r="E488" i="6"/>
  <c r="F488" i="6"/>
  <c r="H488" i="6"/>
  <c r="I488" i="6"/>
  <c r="N488" i="6"/>
  <c r="R488" i="6"/>
  <c r="Q488" i="6" s="1"/>
  <c r="S488" i="6" s="1"/>
  <c r="T488" i="6"/>
  <c r="C489" i="6"/>
  <c r="D489" i="6"/>
  <c r="E489" i="6"/>
  <c r="F489" i="6"/>
  <c r="H489" i="6"/>
  <c r="I489" i="6"/>
  <c r="N489" i="6"/>
  <c r="R489" i="6"/>
  <c r="Q489" i="6" s="1"/>
  <c r="S489" i="6" s="1"/>
  <c r="T489" i="6"/>
  <c r="C490" i="6"/>
  <c r="D490" i="6"/>
  <c r="E490" i="6"/>
  <c r="F490" i="6"/>
  <c r="I490" i="6"/>
  <c r="L490" i="6"/>
  <c r="N490" i="6"/>
  <c r="Q490" i="6"/>
  <c r="R490" i="6"/>
  <c r="S490" i="6"/>
  <c r="T490" i="6"/>
  <c r="C491" i="6"/>
  <c r="D491" i="6"/>
  <c r="E491" i="6"/>
  <c r="F491" i="6"/>
  <c r="I491" i="6"/>
  <c r="N491" i="6"/>
  <c r="R491" i="6"/>
  <c r="Q491" i="6" s="1"/>
  <c r="S491" i="6" s="1"/>
  <c r="T491" i="6"/>
  <c r="C492" i="6"/>
  <c r="D492" i="6"/>
  <c r="E492" i="6"/>
  <c r="F492" i="6"/>
  <c r="I492" i="6"/>
  <c r="L492" i="6"/>
  <c r="N492" i="6"/>
  <c r="Q492" i="6"/>
  <c r="R492" i="6"/>
  <c r="S492" i="6"/>
  <c r="T492" i="6"/>
  <c r="C493" i="6"/>
  <c r="C641" i="6" s="1"/>
  <c r="D493" i="6"/>
  <c r="E493" i="6"/>
  <c r="E641" i="6" s="1"/>
  <c r="F493" i="6"/>
  <c r="I493" i="6"/>
  <c r="N493" i="6"/>
  <c r="R493" i="6"/>
  <c r="T493" i="6"/>
  <c r="C494" i="6"/>
  <c r="D494" i="6"/>
  <c r="E494" i="6"/>
  <c r="F494" i="6"/>
  <c r="I494" i="6"/>
  <c r="L494" i="6"/>
  <c r="N494" i="6"/>
  <c r="Q494" i="6"/>
  <c r="R494" i="6"/>
  <c r="S494" i="6"/>
  <c r="T494" i="6"/>
  <c r="C495" i="6"/>
  <c r="D495" i="6"/>
  <c r="E495" i="6"/>
  <c r="F495" i="6"/>
  <c r="H495" i="6"/>
  <c r="I495" i="6"/>
  <c r="L495" i="6"/>
  <c r="N495" i="6"/>
  <c r="Q495" i="6"/>
  <c r="R495" i="6"/>
  <c r="S495" i="6"/>
  <c r="T495" i="6"/>
  <c r="C496" i="6"/>
  <c r="D496" i="6"/>
  <c r="E496" i="6"/>
  <c r="F496" i="6"/>
  <c r="H496" i="6"/>
  <c r="I496" i="6"/>
  <c r="L496" i="6"/>
  <c r="N496" i="6"/>
  <c r="Q496" i="6"/>
  <c r="R496" i="6"/>
  <c r="S496" i="6"/>
  <c r="T496" i="6"/>
  <c r="C497" i="6"/>
  <c r="D497" i="6"/>
  <c r="E497" i="6"/>
  <c r="F497" i="6"/>
  <c r="H497" i="6"/>
  <c r="I497" i="6"/>
  <c r="L497" i="6"/>
  <c r="N497" i="6"/>
  <c r="Q497" i="6"/>
  <c r="R497" i="6"/>
  <c r="S497" i="6"/>
  <c r="T497" i="6"/>
  <c r="C498" i="6"/>
  <c r="D498" i="6"/>
  <c r="E498" i="6"/>
  <c r="F498" i="6"/>
  <c r="H498" i="6"/>
  <c r="I498" i="6"/>
  <c r="L498" i="6"/>
  <c r="N498" i="6"/>
  <c r="Q498" i="6"/>
  <c r="R498" i="6"/>
  <c r="S498" i="6"/>
  <c r="T498" i="6"/>
  <c r="C499" i="6"/>
  <c r="D499" i="6"/>
  <c r="E499" i="6"/>
  <c r="F499" i="6"/>
  <c r="H499" i="6"/>
  <c r="I499" i="6"/>
  <c r="L499" i="6"/>
  <c r="N499" i="6"/>
  <c r="Q499" i="6"/>
  <c r="R499" i="6"/>
  <c r="S499" i="6"/>
  <c r="T499" i="6"/>
  <c r="C500" i="6"/>
  <c r="D500" i="6"/>
  <c r="E500" i="6"/>
  <c r="F500" i="6"/>
  <c r="H500" i="6"/>
  <c r="I500" i="6"/>
  <c r="L500" i="6"/>
  <c r="N500" i="6"/>
  <c r="Q500" i="6"/>
  <c r="R500" i="6"/>
  <c r="S500" i="6"/>
  <c r="T500" i="6"/>
  <c r="C501" i="6"/>
  <c r="D501" i="6"/>
  <c r="E501" i="6"/>
  <c r="F501" i="6"/>
  <c r="H501" i="6"/>
  <c r="I501" i="6"/>
  <c r="L501" i="6"/>
  <c r="N501" i="6"/>
  <c r="Q501" i="6"/>
  <c r="R501" i="6"/>
  <c r="S501" i="6"/>
  <c r="T501" i="6"/>
  <c r="C502" i="6"/>
  <c r="D502" i="6"/>
  <c r="E502" i="6"/>
  <c r="F502" i="6"/>
  <c r="I502" i="6"/>
  <c r="N502" i="6"/>
  <c r="N641" i="6" s="1"/>
  <c r="R502" i="6"/>
  <c r="Q502" i="6" s="1"/>
  <c r="S502" i="6" s="1"/>
  <c r="T502" i="6"/>
  <c r="T641" i="6" s="1"/>
  <c r="C503" i="6"/>
  <c r="D503" i="6"/>
  <c r="E503" i="6"/>
  <c r="F503" i="6"/>
  <c r="I503" i="6"/>
  <c r="L503" i="6"/>
  <c r="N503" i="6"/>
  <c r="Q503" i="6"/>
  <c r="R503" i="6"/>
  <c r="S503" i="6"/>
  <c r="T503" i="6"/>
  <c r="C504" i="6"/>
  <c r="D504" i="6"/>
  <c r="E504" i="6"/>
  <c r="E642" i="6" s="1"/>
  <c r="F504" i="6"/>
  <c r="I504" i="6"/>
  <c r="N504" i="6"/>
  <c r="R504" i="6"/>
  <c r="Q504" i="6" s="1"/>
  <c r="T504" i="6"/>
  <c r="C505" i="6"/>
  <c r="D505" i="6"/>
  <c r="E505" i="6"/>
  <c r="F505" i="6"/>
  <c r="I505" i="6"/>
  <c r="L505" i="6"/>
  <c r="N505" i="6"/>
  <c r="Q505" i="6"/>
  <c r="R505" i="6"/>
  <c r="S505" i="6"/>
  <c r="T505" i="6"/>
  <c r="C506" i="6"/>
  <c r="D506" i="6"/>
  <c r="E506" i="6"/>
  <c r="F506" i="6"/>
  <c r="I506" i="6"/>
  <c r="N506" i="6"/>
  <c r="R506" i="6"/>
  <c r="Q506" i="6" s="1"/>
  <c r="S506" i="6" s="1"/>
  <c r="T506" i="6"/>
  <c r="C507" i="6"/>
  <c r="D507" i="6"/>
  <c r="E507" i="6"/>
  <c r="F507" i="6"/>
  <c r="F644" i="6" s="1"/>
  <c r="H507" i="6"/>
  <c r="I507" i="6"/>
  <c r="I643" i="6" s="1"/>
  <c r="N507" i="6"/>
  <c r="R507" i="6"/>
  <c r="R644" i="6" s="1"/>
  <c r="T507" i="6"/>
  <c r="C508" i="6"/>
  <c r="D508" i="6"/>
  <c r="E508" i="6"/>
  <c r="F508" i="6"/>
  <c r="H508" i="6"/>
  <c r="I508" i="6"/>
  <c r="N508" i="6"/>
  <c r="R508" i="6"/>
  <c r="Q508" i="6" s="1"/>
  <c r="S508" i="6" s="1"/>
  <c r="T508" i="6"/>
  <c r="C509" i="6"/>
  <c r="D509" i="6"/>
  <c r="E509" i="6"/>
  <c r="F509" i="6"/>
  <c r="F646" i="6" s="1"/>
  <c r="H509" i="6"/>
  <c r="I509" i="6"/>
  <c r="I647" i="6" s="1"/>
  <c r="N509" i="6"/>
  <c r="R509" i="6"/>
  <c r="R646" i="6" s="1"/>
  <c r="T509" i="6"/>
  <c r="C510" i="6"/>
  <c r="D510" i="6"/>
  <c r="E510" i="6"/>
  <c r="F510" i="6"/>
  <c r="H510" i="6"/>
  <c r="I510" i="6"/>
  <c r="N510" i="6"/>
  <c r="R510" i="6"/>
  <c r="Q510" i="6" s="1"/>
  <c r="S510" i="6" s="1"/>
  <c r="T510" i="6"/>
  <c r="C511" i="6"/>
  <c r="D511" i="6"/>
  <c r="E511" i="6"/>
  <c r="F511" i="6"/>
  <c r="F648" i="6" s="1"/>
  <c r="H511" i="6"/>
  <c r="I511" i="6"/>
  <c r="I649" i="6" s="1"/>
  <c r="N511" i="6"/>
  <c r="R511" i="6"/>
  <c r="R648" i="6" s="1"/>
  <c r="T511" i="6"/>
  <c r="C512" i="6"/>
  <c r="D512" i="6"/>
  <c r="E512" i="6"/>
  <c r="F512" i="6"/>
  <c r="H512" i="6"/>
  <c r="I512" i="6"/>
  <c r="N512" i="6"/>
  <c r="R512" i="6"/>
  <c r="Q512" i="6" s="1"/>
  <c r="S512" i="6" s="1"/>
  <c r="T512" i="6"/>
  <c r="C513" i="6"/>
  <c r="D513" i="6"/>
  <c r="E513" i="6"/>
  <c r="F513" i="6"/>
  <c r="H513" i="6"/>
  <c r="I513" i="6"/>
  <c r="N513" i="6"/>
  <c r="R513" i="6"/>
  <c r="Q513" i="6" s="1"/>
  <c r="S513" i="6" s="1"/>
  <c r="T513" i="6"/>
  <c r="C514" i="6"/>
  <c r="D514" i="6"/>
  <c r="E514" i="6"/>
  <c r="F514" i="6"/>
  <c r="I514" i="6"/>
  <c r="L514" i="6"/>
  <c r="N514" i="6"/>
  <c r="Q514" i="6"/>
  <c r="R514" i="6"/>
  <c r="S514" i="6"/>
  <c r="T514" i="6"/>
  <c r="C515" i="6"/>
  <c r="D515" i="6"/>
  <c r="E515" i="6"/>
  <c r="F515" i="6"/>
  <c r="I515" i="6"/>
  <c r="N515" i="6"/>
  <c r="R515" i="6"/>
  <c r="Q515" i="6" s="1"/>
  <c r="S515" i="6" s="1"/>
  <c r="T515" i="6"/>
  <c r="C516" i="6"/>
  <c r="D516" i="6"/>
  <c r="E516" i="6"/>
  <c r="F516" i="6"/>
  <c r="I516" i="6"/>
  <c r="L516" i="6"/>
  <c r="N516" i="6"/>
  <c r="Q516" i="6"/>
  <c r="R516" i="6"/>
  <c r="S516" i="6"/>
  <c r="T516" i="6"/>
  <c r="C517" i="6"/>
  <c r="D517" i="6"/>
  <c r="E517" i="6"/>
  <c r="F517" i="6"/>
  <c r="I517" i="6"/>
  <c r="N517" i="6"/>
  <c r="R517" i="6"/>
  <c r="Q517" i="6" s="1"/>
  <c r="S517" i="6" s="1"/>
  <c r="T517" i="6"/>
  <c r="C518" i="6"/>
  <c r="D518" i="6"/>
  <c r="E518" i="6"/>
  <c r="F518" i="6"/>
  <c r="I518" i="6"/>
  <c r="L518" i="6"/>
  <c r="N518" i="6"/>
  <c r="Q518" i="6"/>
  <c r="R518" i="6"/>
  <c r="S518" i="6"/>
  <c r="T518" i="6"/>
  <c r="C519" i="6"/>
  <c r="D519" i="6"/>
  <c r="E519" i="6"/>
  <c r="F519" i="6"/>
  <c r="H519" i="6"/>
  <c r="I519" i="6"/>
  <c r="L519" i="6"/>
  <c r="N519" i="6"/>
  <c r="Q519" i="6"/>
  <c r="R519" i="6"/>
  <c r="S519" i="6"/>
  <c r="T519" i="6"/>
  <c r="C520" i="6"/>
  <c r="D520" i="6"/>
  <c r="E520" i="6"/>
  <c r="F520" i="6"/>
  <c r="H520" i="6"/>
  <c r="I520" i="6"/>
  <c r="L520" i="6"/>
  <c r="N520" i="6"/>
  <c r="Q520" i="6"/>
  <c r="R520" i="6"/>
  <c r="S520" i="6"/>
  <c r="T520" i="6"/>
  <c r="C521" i="6"/>
  <c r="D521" i="6"/>
  <c r="E521" i="6"/>
  <c r="F521" i="6"/>
  <c r="H521" i="6"/>
  <c r="I521" i="6"/>
  <c r="L521" i="6"/>
  <c r="N521" i="6"/>
  <c r="Q521" i="6"/>
  <c r="R521" i="6"/>
  <c r="S521" i="6"/>
  <c r="T521" i="6"/>
  <c r="C522" i="6"/>
  <c r="D522" i="6"/>
  <c r="E522" i="6"/>
  <c r="F522" i="6"/>
  <c r="H522" i="6"/>
  <c r="I522" i="6"/>
  <c r="L522" i="6"/>
  <c r="N522" i="6"/>
  <c r="Q522" i="6"/>
  <c r="R522" i="6"/>
  <c r="S522" i="6"/>
  <c r="T522" i="6"/>
  <c r="C523" i="6"/>
  <c r="D523" i="6"/>
  <c r="E523" i="6"/>
  <c r="F523" i="6"/>
  <c r="H523" i="6"/>
  <c r="I523" i="6"/>
  <c r="L523" i="6"/>
  <c r="N523" i="6"/>
  <c r="Q523" i="6"/>
  <c r="R523" i="6"/>
  <c r="S523" i="6"/>
  <c r="T523" i="6"/>
  <c r="C524" i="6"/>
  <c r="D524" i="6"/>
  <c r="E524" i="6"/>
  <c r="F524" i="6"/>
  <c r="H524" i="6"/>
  <c r="I524" i="6"/>
  <c r="L524" i="6"/>
  <c r="N524" i="6"/>
  <c r="Q524" i="6"/>
  <c r="R524" i="6"/>
  <c r="S524" i="6"/>
  <c r="T524" i="6"/>
  <c r="C525" i="6"/>
  <c r="D525" i="6"/>
  <c r="E525" i="6"/>
  <c r="F525" i="6"/>
  <c r="H525" i="6"/>
  <c r="I525" i="6"/>
  <c r="L525" i="6"/>
  <c r="N525" i="6"/>
  <c r="Q525" i="6"/>
  <c r="R525" i="6"/>
  <c r="S525" i="6"/>
  <c r="T525" i="6"/>
  <c r="C526" i="6"/>
  <c r="D526" i="6"/>
  <c r="E526" i="6"/>
  <c r="F526" i="6"/>
  <c r="I526" i="6"/>
  <c r="N526" i="6"/>
  <c r="R526" i="6"/>
  <c r="Q526" i="6" s="1"/>
  <c r="S526" i="6" s="1"/>
  <c r="T526" i="6"/>
  <c r="C527" i="6"/>
  <c r="D527" i="6"/>
  <c r="E527" i="6"/>
  <c r="F527" i="6"/>
  <c r="I527" i="6"/>
  <c r="L527" i="6"/>
  <c r="N527" i="6"/>
  <c r="Q527" i="6"/>
  <c r="R527" i="6"/>
  <c r="S527" i="6"/>
  <c r="T527" i="6"/>
  <c r="C528" i="6"/>
  <c r="D528" i="6"/>
  <c r="E528" i="6"/>
  <c r="F528" i="6"/>
  <c r="I528" i="6"/>
  <c r="N528" i="6"/>
  <c r="R528" i="6"/>
  <c r="Q528" i="6" s="1"/>
  <c r="S528" i="6" s="1"/>
  <c r="T528" i="6"/>
  <c r="C529" i="6"/>
  <c r="D529" i="6"/>
  <c r="E529" i="6"/>
  <c r="F529" i="6"/>
  <c r="I529" i="6"/>
  <c r="L529" i="6"/>
  <c r="N529" i="6"/>
  <c r="Q529" i="6"/>
  <c r="R529" i="6"/>
  <c r="S529" i="6"/>
  <c r="T529" i="6"/>
  <c r="C530" i="6"/>
  <c r="D530" i="6"/>
  <c r="E530" i="6"/>
  <c r="F530" i="6"/>
  <c r="I530" i="6"/>
  <c r="N530" i="6"/>
  <c r="R530" i="6"/>
  <c r="Q530" i="6" s="1"/>
  <c r="S530" i="6" s="1"/>
  <c r="T530" i="6"/>
  <c r="C531" i="6"/>
  <c r="D531" i="6"/>
  <c r="E531" i="6"/>
  <c r="F531" i="6"/>
  <c r="H531" i="6"/>
  <c r="I531" i="6"/>
  <c r="N531" i="6"/>
  <c r="R531" i="6"/>
  <c r="Q531" i="6" s="1"/>
  <c r="S531" i="6" s="1"/>
  <c r="T531" i="6"/>
  <c r="C532" i="6"/>
  <c r="D532" i="6"/>
  <c r="E532" i="6"/>
  <c r="F532" i="6"/>
  <c r="H532" i="6"/>
  <c r="I532" i="6"/>
  <c r="N532" i="6"/>
  <c r="R532" i="6"/>
  <c r="Q532" i="6" s="1"/>
  <c r="S532" i="6" s="1"/>
  <c r="T532" i="6"/>
  <c r="C533" i="6"/>
  <c r="D533" i="6"/>
  <c r="E533" i="6"/>
  <c r="F533" i="6"/>
  <c r="H533" i="6"/>
  <c r="I533" i="6"/>
  <c r="N533" i="6"/>
  <c r="R533" i="6"/>
  <c r="Q533" i="6" s="1"/>
  <c r="S533" i="6" s="1"/>
  <c r="T533" i="6"/>
  <c r="C534" i="6"/>
  <c r="D534" i="6"/>
  <c r="E534" i="6"/>
  <c r="F534" i="6"/>
  <c r="H534" i="6"/>
  <c r="I534" i="6"/>
  <c r="N534" i="6"/>
  <c r="R534" i="6"/>
  <c r="Q534" i="6" s="1"/>
  <c r="S534" i="6" s="1"/>
  <c r="T534" i="6"/>
  <c r="C535" i="6"/>
  <c r="D535" i="6"/>
  <c r="E535" i="6"/>
  <c r="F535" i="6"/>
  <c r="H535" i="6"/>
  <c r="I535" i="6"/>
  <c r="N535" i="6"/>
  <c r="R535" i="6"/>
  <c r="Q535" i="6" s="1"/>
  <c r="S535" i="6" s="1"/>
  <c r="T535" i="6"/>
  <c r="C536" i="6"/>
  <c r="D536" i="6"/>
  <c r="E536" i="6"/>
  <c r="F536" i="6"/>
  <c r="H536" i="6"/>
  <c r="I536" i="6"/>
  <c r="N536" i="6"/>
  <c r="R536" i="6"/>
  <c r="Q536" i="6" s="1"/>
  <c r="S536" i="6" s="1"/>
  <c r="T536" i="6"/>
  <c r="C537" i="6"/>
  <c r="D537" i="6"/>
  <c r="E537" i="6"/>
  <c r="F537" i="6"/>
  <c r="H537" i="6"/>
  <c r="I537" i="6"/>
  <c r="N537" i="6"/>
  <c r="R537" i="6"/>
  <c r="Q537" i="6" s="1"/>
  <c r="S537" i="6" s="1"/>
  <c r="T537" i="6"/>
  <c r="C538" i="6"/>
  <c r="D538" i="6"/>
  <c r="E538" i="6"/>
  <c r="F538" i="6"/>
  <c r="I538" i="6"/>
  <c r="L538" i="6"/>
  <c r="N538" i="6"/>
  <c r="Q538" i="6"/>
  <c r="R538" i="6"/>
  <c r="S538" i="6"/>
  <c r="T538" i="6"/>
  <c r="C539" i="6"/>
  <c r="D539" i="6"/>
  <c r="E539" i="6"/>
  <c r="F539" i="6"/>
  <c r="I539" i="6"/>
  <c r="N539" i="6"/>
  <c r="R539" i="6"/>
  <c r="Q539" i="6" s="1"/>
  <c r="S539" i="6" s="1"/>
  <c r="T539" i="6"/>
  <c r="C540" i="6"/>
  <c r="D540" i="6"/>
  <c r="E540" i="6"/>
  <c r="F540" i="6"/>
  <c r="I540" i="6"/>
  <c r="L540" i="6"/>
  <c r="N540" i="6"/>
  <c r="Q540" i="6"/>
  <c r="R540" i="6"/>
  <c r="S540" i="6"/>
  <c r="T540" i="6"/>
  <c r="C541" i="6"/>
  <c r="D541" i="6"/>
  <c r="E541" i="6"/>
  <c r="F541" i="6"/>
  <c r="I541" i="6"/>
  <c r="N541" i="6"/>
  <c r="R541" i="6"/>
  <c r="Q541" i="6" s="1"/>
  <c r="S541" i="6" s="1"/>
  <c r="T541" i="6"/>
  <c r="C542" i="6"/>
  <c r="D542" i="6"/>
  <c r="E542" i="6"/>
  <c r="F542" i="6"/>
  <c r="I542" i="6"/>
  <c r="L542" i="6"/>
  <c r="N542" i="6"/>
  <c r="Q542" i="6"/>
  <c r="R542" i="6"/>
  <c r="S542" i="6"/>
  <c r="T542" i="6"/>
  <c r="C543" i="6"/>
  <c r="D543" i="6"/>
  <c r="E543" i="6"/>
  <c r="F543" i="6"/>
  <c r="H543" i="6"/>
  <c r="I543" i="6"/>
  <c r="L543" i="6"/>
  <c r="N543" i="6"/>
  <c r="Q543" i="6"/>
  <c r="R543" i="6"/>
  <c r="S543" i="6"/>
  <c r="T543" i="6"/>
  <c r="C544" i="6"/>
  <c r="D544" i="6"/>
  <c r="E544" i="6"/>
  <c r="F544" i="6"/>
  <c r="H544" i="6"/>
  <c r="I544" i="6"/>
  <c r="L544" i="6"/>
  <c r="N544" i="6"/>
  <c r="Q544" i="6"/>
  <c r="R544" i="6"/>
  <c r="S544" i="6"/>
  <c r="T544" i="6"/>
  <c r="C545" i="6"/>
  <c r="D545" i="6"/>
  <c r="E545" i="6"/>
  <c r="F545" i="6"/>
  <c r="H545" i="6"/>
  <c r="I545" i="6"/>
  <c r="L545" i="6"/>
  <c r="N545" i="6"/>
  <c r="Q545" i="6"/>
  <c r="R545" i="6"/>
  <c r="S545" i="6"/>
  <c r="T545" i="6"/>
  <c r="C546" i="6"/>
  <c r="D546" i="6"/>
  <c r="E546" i="6"/>
  <c r="F546" i="6"/>
  <c r="H546" i="6"/>
  <c r="I546" i="6"/>
  <c r="L546" i="6"/>
  <c r="N546" i="6"/>
  <c r="Q546" i="6"/>
  <c r="R546" i="6"/>
  <c r="S546" i="6"/>
  <c r="T546" i="6"/>
  <c r="C547" i="6"/>
  <c r="D547" i="6"/>
  <c r="E547" i="6"/>
  <c r="F547" i="6"/>
  <c r="H547" i="6"/>
  <c r="I547" i="6"/>
  <c r="L547" i="6"/>
  <c r="N547" i="6"/>
  <c r="Q547" i="6"/>
  <c r="R547" i="6"/>
  <c r="S547" i="6"/>
  <c r="T547" i="6"/>
  <c r="C548" i="6"/>
  <c r="D548" i="6"/>
  <c r="E548" i="6"/>
  <c r="F548" i="6"/>
  <c r="H548" i="6"/>
  <c r="I548" i="6"/>
  <c r="L548" i="6"/>
  <c r="N548" i="6"/>
  <c r="Q548" i="6"/>
  <c r="R548" i="6"/>
  <c r="S548" i="6"/>
  <c r="T548" i="6"/>
  <c r="C549" i="6"/>
  <c r="D549" i="6"/>
  <c r="E549" i="6"/>
  <c r="F549" i="6"/>
  <c r="H549" i="6"/>
  <c r="I549" i="6"/>
  <c r="L549" i="6"/>
  <c r="N549" i="6"/>
  <c r="Q549" i="6"/>
  <c r="R549" i="6"/>
  <c r="S549" i="6"/>
  <c r="T549" i="6"/>
  <c r="C550" i="6"/>
  <c r="D550" i="6"/>
  <c r="E550" i="6"/>
  <c r="F550" i="6"/>
  <c r="I550" i="6"/>
  <c r="N550" i="6"/>
  <c r="R550" i="6"/>
  <c r="Q550" i="6" s="1"/>
  <c r="S550" i="6" s="1"/>
  <c r="T550" i="6"/>
  <c r="C551" i="6"/>
  <c r="D551" i="6"/>
  <c r="E551" i="6"/>
  <c r="F551" i="6"/>
  <c r="I551" i="6"/>
  <c r="L551" i="6"/>
  <c r="N551" i="6"/>
  <c r="Q551" i="6"/>
  <c r="R551" i="6"/>
  <c r="S551" i="6"/>
  <c r="T551" i="6"/>
  <c r="C552" i="6"/>
  <c r="D552" i="6"/>
  <c r="E552" i="6"/>
  <c r="F552" i="6"/>
  <c r="I552" i="6"/>
  <c r="N552" i="6"/>
  <c r="R552" i="6"/>
  <c r="Q552" i="6" s="1"/>
  <c r="S552" i="6" s="1"/>
  <c r="T552" i="6"/>
  <c r="C553" i="6"/>
  <c r="D553" i="6"/>
  <c r="E553" i="6"/>
  <c r="F553" i="6"/>
  <c r="I553" i="6"/>
  <c r="L553" i="6"/>
  <c r="N553" i="6"/>
  <c r="Q553" i="6"/>
  <c r="R553" i="6"/>
  <c r="S553" i="6"/>
  <c r="T553" i="6"/>
  <c r="C554" i="6"/>
  <c r="D554" i="6"/>
  <c r="E554" i="6"/>
  <c r="F554" i="6"/>
  <c r="I554" i="6"/>
  <c r="N554" i="6"/>
  <c r="R554" i="6"/>
  <c r="Q554" i="6" s="1"/>
  <c r="S554" i="6" s="1"/>
  <c r="T554" i="6"/>
  <c r="C555" i="6"/>
  <c r="D555" i="6"/>
  <c r="E555" i="6"/>
  <c r="F555" i="6"/>
  <c r="H555" i="6"/>
  <c r="I555" i="6"/>
  <c r="N555" i="6"/>
  <c r="R555" i="6"/>
  <c r="Q555" i="6" s="1"/>
  <c r="S555" i="6" s="1"/>
  <c r="T555" i="6"/>
  <c r="C556" i="6"/>
  <c r="D556" i="6"/>
  <c r="E556" i="6"/>
  <c r="F556" i="6"/>
  <c r="H556" i="6"/>
  <c r="I556" i="6"/>
  <c r="N556" i="6"/>
  <c r="R556" i="6"/>
  <c r="Q556" i="6" s="1"/>
  <c r="S556" i="6" s="1"/>
  <c r="T556" i="6"/>
  <c r="C557" i="6"/>
  <c r="D557" i="6"/>
  <c r="E557" i="6"/>
  <c r="F557" i="6"/>
  <c r="H557" i="6"/>
  <c r="I557" i="6"/>
  <c r="N557" i="6"/>
  <c r="R557" i="6"/>
  <c r="Q557" i="6" s="1"/>
  <c r="S557" i="6" s="1"/>
  <c r="T557" i="6"/>
  <c r="C558" i="6"/>
  <c r="D558" i="6"/>
  <c r="E558" i="6"/>
  <c r="F558" i="6"/>
  <c r="H558" i="6"/>
  <c r="I558" i="6"/>
  <c r="N558" i="6"/>
  <c r="R558" i="6"/>
  <c r="Q558" i="6" s="1"/>
  <c r="S558" i="6" s="1"/>
  <c r="T558" i="6"/>
  <c r="C559" i="6"/>
  <c r="D559" i="6"/>
  <c r="E559" i="6"/>
  <c r="F559" i="6"/>
  <c r="H559" i="6"/>
  <c r="I559" i="6"/>
  <c r="N559" i="6"/>
  <c r="R559" i="6"/>
  <c r="Q559" i="6" s="1"/>
  <c r="S559" i="6" s="1"/>
  <c r="T559" i="6"/>
  <c r="C560" i="6"/>
  <c r="D560" i="6"/>
  <c r="E560" i="6"/>
  <c r="F560" i="6"/>
  <c r="H560" i="6"/>
  <c r="I560" i="6"/>
  <c r="N560" i="6"/>
  <c r="R560" i="6"/>
  <c r="Q560" i="6" s="1"/>
  <c r="S560" i="6" s="1"/>
  <c r="T560" i="6"/>
  <c r="C561" i="6"/>
  <c r="D561" i="6"/>
  <c r="E561" i="6"/>
  <c r="F561" i="6"/>
  <c r="H561" i="6"/>
  <c r="I561" i="6"/>
  <c r="N561" i="6"/>
  <c r="R561" i="6"/>
  <c r="Q561" i="6" s="1"/>
  <c r="S561" i="6" s="1"/>
  <c r="T561" i="6"/>
  <c r="C562" i="6"/>
  <c r="D562" i="6"/>
  <c r="E562" i="6"/>
  <c r="F562" i="6"/>
  <c r="I562" i="6"/>
  <c r="L562" i="6"/>
  <c r="N562" i="6"/>
  <c r="Q562" i="6"/>
  <c r="R562" i="6"/>
  <c r="S562" i="6"/>
  <c r="T562" i="6"/>
  <c r="C563" i="6"/>
  <c r="D563" i="6"/>
  <c r="E563" i="6"/>
  <c r="F563" i="6"/>
  <c r="I563" i="6"/>
  <c r="N563" i="6"/>
  <c r="R563" i="6"/>
  <c r="Q563" i="6" s="1"/>
  <c r="S563" i="6" s="1"/>
  <c r="T563" i="6"/>
  <c r="C564" i="6"/>
  <c r="D564" i="6"/>
  <c r="E564" i="6"/>
  <c r="F564" i="6"/>
  <c r="I564" i="6"/>
  <c r="L564" i="6"/>
  <c r="N564" i="6"/>
  <c r="Q564" i="6"/>
  <c r="R564" i="6"/>
  <c r="S564" i="6"/>
  <c r="T564" i="6"/>
  <c r="C565" i="6"/>
  <c r="D565" i="6"/>
  <c r="E565" i="6"/>
  <c r="F565" i="6"/>
  <c r="I565" i="6"/>
  <c r="N565" i="6"/>
  <c r="R565" i="6"/>
  <c r="Q565" i="6" s="1"/>
  <c r="S565" i="6" s="1"/>
  <c r="T565" i="6"/>
  <c r="C566" i="6"/>
  <c r="D566" i="6"/>
  <c r="E566" i="6"/>
  <c r="F566" i="6"/>
  <c r="I566" i="6"/>
  <c r="L566" i="6"/>
  <c r="N566" i="6"/>
  <c r="Q566" i="6"/>
  <c r="R566" i="6"/>
  <c r="S566" i="6"/>
  <c r="T566" i="6"/>
  <c r="C567" i="6"/>
  <c r="D567" i="6"/>
  <c r="E567" i="6"/>
  <c r="F567" i="6"/>
  <c r="H567" i="6"/>
  <c r="I567" i="6"/>
  <c r="L567" i="6"/>
  <c r="N567" i="6"/>
  <c r="Q567" i="6"/>
  <c r="R567" i="6"/>
  <c r="S567" i="6"/>
  <c r="T567" i="6"/>
  <c r="C568" i="6"/>
  <c r="D568" i="6"/>
  <c r="E568" i="6"/>
  <c r="F568" i="6"/>
  <c r="H568" i="6"/>
  <c r="I568" i="6"/>
  <c r="L568" i="6"/>
  <c r="N568" i="6"/>
  <c r="Q568" i="6"/>
  <c r="R568" i="6"/>
  <c r="S568" i="6"/>
  <c r="T568" i="6"/>
  <c r="C569" i="6"/>
  <c r="D569" i="6"/>
  <c r="E569" i="6"/>
  <c r="F569" i="6"/>
  <c r="H569" i="6"/>
  <c r="I569" i="6"/>
  <c r="L569" i="6"/>
  <c r="N569" i="6"/>
  <c r="Q569" i="6"/>
  <c r="R569" i="6"/>
  <c r="S569" i="6"/>
  <c r="T569" i="6"/>
  <c r="C570" i="6"/>
  <c r="D570" i="6"/>
  <c r="E570" i="6"/>
  <c r="F570" i="6"/>
  <c r="H570" i="6"/>
  <c r="I570" i="6"/>
  <c r="L570" i="6"/>
  <c r="N570" i="6"/>
  <c r="Q570" i="6"/>
  <c r="R570" i="6"/>
  <c r="S570" i="6"/>
  <c r="T570" i="6"/>
  <c r="C571" i="6"/>
  <c r="D571" i="6"/>
  <c r="E571" i="6"/>
  <c r="F571" i="6"/>
  <c r="H571" i="6"/>
  <c r="I571" i="6"/>
  <c r="L571" i="6"/>
  <c r="N571" i="6"/>
  <c r="Q571" i="6"/>
  <c r="R571" i="6"/>
  <c r="S571" i="6"/>
  <c r="T571" i="6"/>
  <c r="C572" i="6"/>
  <c r="D572" i="6"/>
  <c r="E572" i="6"/>
  <c r="F572" i="6"/>
  <c r="H572" i="6"/>
  <c r="I572" i="6"/>
  <c r="L572" i="6"/>
  <c r="N572" i="6"/>
  <c r="Q572" i="6"/>
  <c r="R572" i="6"/>
  <c r="S572" i="6"/>
  <c r="T572" i="6"/>
  <c r="C573" i="6"/>
  <c r="D573" i="6"/>
  <c r="E573" i="6"/>
  <c r="F573" i="6"/>
  <c r="H573" i="6"/>
  <c r="I573" i="6"/>
  <c r="L573" i="6"/>
  <c r="N573" i="6"/>
  <c r="Q573" i="6"/>
  <c r="R573" i="6"/>
  <c r="S573" i="6"/>
  <c r="T573" i="6"/>
  <c r="C574" i="6"/>
  <c r="D574" i="6"/>
  <c r="E574" i="6"/>
  <c r="F574" i="6"/>
  <c r="I574" i="6"/>
  <c r="N574" i="6"/>
  <c r="R574" i="6"/>
  <c r="Q574" i="6" s="1"/>
  <c r="S574" i="6" s="1"/>
  <c r="T574" i="6"/>
  <c r="C575" i="6"/>
  <c r="D575" i="6"/>
  <c r="E575" i="6"/>
  <c r="F575" i="6"/>
  <c r="I575" i="6"/>
  <c r="L575" i="6"/>
  <c r="N575" i="6"/>
  <c r="Q575" i="6"/>
  <c r="R575" i="6"/>
  <c r="S575" i="6"/>
  <c r="T575" i="6"/>
  <c r="C576" i="6"/>
  <c r="D576" i="6"/>
  <c r="E576" i="6"/>
  <c r="F576" i="6"/>
  <c r="I576" i="6"/>
  <c r="N576" i="6"/>
  <c r="R576" i="6"/>
  <c r="Q576" i="6" s="1"/>
  <c r="S576" i="6" s="1"/>
  <c r="T576" i="6"/>
  <c r="C577" i="6"/>
  <c r="D577" i="6"/>
  <c r="E577" i="6"/>
  <c r="F577" i="6"/>
  <c r="I577" i="6"/>
  <c r="L577" i="6"/>
  <c r="N577" i="6"/>
  <c r="Q577" i="6"/>
  <c r="R577" i="6"/>
  <c r="S577" i="6"/>
  <c r="T577" i="6"/>
  <c r="C578" i="6"/>
  <c r="D578" i="6"/>
  <c r="E578" i="6"/>
  <c r="F578" i="6"/>
  <c r="I578" i="6"/>
  <c r="N578" i="6"/>
  <c r="R578" i="6"/>
  <c r="Q578" i="6" s="1"/>
  <c r="S578" i="6" s="1"/>
  <c r="T578" i="6"/>
  <c r="C579" i="6"/>
  <c r="D579" i="6"/>
  <c r="E579" i="6"/>
  <c r="F579" i="6"/>
  <c r="H579" i="6"/>
  <c r="I579" i="6"/>
  <c r="N579" i="6"/>
  <c r="R579" i="6"/>
  <c r="Q579" i="6" s="1"/>
  <c r="S579" i="6" s="1"/>
  <c r="T579" i="6"/>
  <c r="C580" i="6"/>
  <c r="D580" i="6"/>
  <c r="E580" i="6"/>
  <c r="F580" i="6"/>
  <c r="H580" i="6"/>
  <c r="I580" i="6"/>
  <c r="N580" i="6"/>
  <c r="R580" i="6"/>
  <c r="Q580" i="6" s="1"/>
  <c r="S580" i="6" s="1"/>
  <c r="T580" i="6"/>
  <c r="C581" i="6"/>
  <c r="D581" i="6"/>
  <c r="E581" i="6"/>
  <c r="F581" i="6"/>
  <c r="H581" i="6"/>
  <c r="I581" i="6"/>
  <c r="N581" i="6"/>
  <c r="R581" i="6"/>
  <c r="Q581" i="6" s="1"/>
  <c r="S581" i="6" s="1"/>
  <c r="T581" i="6"/>
  <c r="C582" i="6"/>
  <c r="D582" i="6"/>
  <c r="E582" i="6"/>
  <c r="F582" i="6"/>
  <c r="H582" i="6"/>
  <c r="I582" i="6"/>
  <c r="N582" i="6"/>
  <c r="R582" i="6"/>
  <c r="Q582" i="6" s="1"/>
  <c r="S582" i="6" s="1"/>
  <c r="T582" i="6"/>
  <c r="C583" i="6"/>
  <c r="D583" i="6"/>
  <c r="E583" i="6"/>
  <c r="F583" i="6"/>
  <c r="H583" i="6"/>
  <c r="I583" i="6"/>
  <c r="N583" i="6"/>
  <c r="R583" i="6"/>
  <c r="Q583" i="6" s="1"/>
  <c r="S583" i="6" s="1"/>
  <c r="T583" i="6"/>
  <c r="C584" i="6"/>
  <c r="D584" i="6"/>
  <c r="E584" i="6"/>
  <c r="F584" i="6"/>
  <c r="H584" i="6"/>
  <c r="I584" i="6"/>
  <c r="N584" i="6"/>
  <c r="R584" i="6"/>
  <c r="Q584" i="6" s="1"/>
  <c r="S584" i="6" s="1"/>
  <c r="T584" i="6"/>
  <c r="C585" i="6"/>
  <c r="D585" i="6"/>
  <c r="E585" i="6"/>
  <c r="F585" i="6"/>
  <c r="H585" i="6"/>
  <c r="I585" i="6"/>
  <c r="N585" i="6"/>
  <c r="R585" i="6"/>
  <c r="Q585" i="6" s="1"/>
  <c r="S585" i="6" s="1"/>
  <c r="T585" i="6"/>
  <c r="C586" i="6"/>
  <c r="D586" i="6"/>
  <c r="E586" i="6"/>
  <c r="F586" i="6"/>
  <c r="I586" i="6"/>
  <c r="L586" i="6"/>
  <c r="N586" i="6"/>
  <c r="Q586" i="6"/>
  <c r="R586" i="6"/>
  <c r="S586" i="6"/>
  <c r="T586" i="6"/>
  <c r="C587" i="6"/>
  <c r="D587" i="6"/>
  <c r="E587" i="6"/>
  <c r="F587" i="6"/>
  <c r="I587" i="6"/>
  <c r="N587" i="6"/>
  <c r="R587" i="6"/>
  <c r="Q587" i="6" s="1"/>
  <c r="S587" i="6" s="1"/>
  <c r="T587" i="6"/>
  <c r="C588" i="6"/>
  <c r="D588" i="6"/>
  <c r="E588" i="6"/>
  <c r="F588" i="6"/>
  <c r="I588" i="6"/>
  <c r="L588" i="6"/>
  <c r="N588" i="6"/>
  <c r="Q588" i="6"/>
  <c r="R588" i="6"/>
  <c r="S588" i="6"/>
  <c r="T588" i="6"/>
  <c r="C589" i="6"/>
  <c r="D589" i="6"/>
  <c r="E589" i="6"/>
  <c r="F589" i="6"/>
  <c r="I589" i="6"/>
  <c r="N589" i="6"/>
  <c r="R589" i="6"/>
  <c r="Q589" i="6" s="1"/>
  <c r="S589" i="6" s="1"/>
  <c r="T589" i="6"/>
  <c r="C590" i="6"/>
  <c r="D590" i="6"/>
  <c r="E590" i="6"/>
  <c r="F590" i="6"/>
  <c r="I590" i="6"/>
  <c r="L590" i="6"/>
  <c r="N590" i="6"/>
  <c r="Q590" i="6"/>
  <c r="R590" i="6"/>
  <c r="S590" i="6"/>
  <c r="T590" i="6"/>
  <c r="C591" i="6"/>
  <c r="D591" i="6"/>
  <c r="E591" i="6"/>
  <c r="F591" i="6"/>
  <c r="H591" i="6"/>
  <c r="I591" i="6"/>
  <c r="L591" i="6"/>
  <c r="N591" i="6"/>
  <c r="Q591" i="6"/>
  <c r="R591" i="6"/>
  <c r="S591" i="6"/>
  <c r="T591" i="6"/>
  <c r="C592" i="6"/>
  <c r="D592" i="6"/>
  <c r="E592" i="6"/>
  <c r="F592" i="6"/>
  <c r="H592" i="6"/>
  <c r="I592" i="6"/>
  <c r="L592" i="6"/>
  <c r="N592" i="6"/>
  <c r="Q592" i="6"/>
  <c r="R592" i="6"/>
  <c r="S592" i="6"/>
  <c r="T592" i="6"/>
  <c r="C593" i="6"/>
  <c r="D593" i="6"/>
  <c r="E593" i="6"/>
  <c r="F593" i="6"/>
  <c r="H593" i="6"/>
  <c r="I593" i="6"/>
  <c r="L593" i="6"/>
  <c r="N593" i="6"/>
  <c r="Q593" i="6"/>
  <c r="R593" i="6"/>
  <c r="S593" i="6"/>
  <c r="T593" i="6"/>
  <c r="C594" i="6"/>
  <c r="D594" i="6"/>
  <c r="E594" i="6"/>
  <c r="F594" i="6"/>
  <c r="H594" i="6"/>
  <c r="I594" i="6"/>
  <c r="L594" i="6"/>
  <c r="N594" i="6"/>
  <c r="Q594" i="6"/>
  <c r="R594" i="6"/>
  <c r="S594" i="6"/>
  <c r="T594" i="6"/>
  <c r="C595" i="6"/>
  <c r="D595" i="6"/>
  <c r="E595" i="6"/>
  <c r="F595" i="6"/>
  <c r="H595" i="6"/>
  <c r="I595" i="6"/>
  <c r="L595" i="6"/>
  <c r="N595" i="6"/>
  <c r="Q595" i="6"/>
  <c r="R595" i="6"/>
  <c r="S595" i="6"/>
  <c r="T595" i="6"/>
  <c r="C596" i="6"/>
  <c r="D596" i="6"/>
  <c r="E596" i="6"/>
  <c r="F596" i="6"/>
  <c r="H596" i="6"/>
  <c r="I596" i="6"/>
  <c r="L596" i="6"/>
  <c r="N596" i="6"/>
  <c r="Q596" i="6"/>
  <c r="R596" i="6"/>
  <c r="S596" i="6"/>
  <c r="T596" i="6"/>
  <c r="C597" i="6"/>
  <c r="D597" i="6"/>
  <c r="E597" i="6"/>
  <c r="F597" i="6"/>
  <c r="H597" i="6"/>
  <c r="I597" i="6"/>
  <c r="L597" i="6"/>
  <c r="N597" i="6"/>
  <c r="Q597" i="6"/>
  <c r="R597" i="6"/>
  <c r="S597" i="6"/>
  <c r="T597" i="6"/>
  <c r="C598" i="6"/>
  <c r="D598" i="6"/>
  <c r="E598" i="6"/>
  <c r="F598" i="6"/>
  <c r="I598" i="6"/>
  <c r="N598" i="6"/>
  <c r="R598" i="6"/>
  <c r="Q598" i="6" s="1"/>
  <c r="S598" i="6" s="1"/>
  <c r="T598" i="6"/>
  <c r="C599" i="6"/>
  <c r="D599" i="6"/>
  <c r="E599" i="6"/>
  <c r="F599" i="6"/>
  <c r="I599" i="6"/>
  <c r="L599" i="6"/>
  <c r="N599" i="6"/>
  <c r="Q599" i="6"/>
  <c r="R599" i="6"/>
  <c r="S599" i="6"/>
  <c r="T599" i="6"/>
  <c r="C601" i="6"/>
  <c r="D601" i="6"/>
  <c r="E601" i="6"/>
  <c r="F601" i="6"/>
  <c r="G601" i="6"/>
  <c r="H601" i="6"/>
  <c r="I601" i="6"/>
  <c r="J601" i="6"/>
  <c r="K601" i="6"/>
  <c r="L601" i="6"/>
  <c r="N601" i="6"/>
  <c r="O601" i="6"/>
  <c r="P601" i="6"/>
  <c r="Q601" i="6"/>
  <c r="R601" i="6"/>
  <c r="T601" i="6"/>
  <c r="C602" i="6"/>
  <c r="D602" i="6"/>
  <c r="E602" i="6"/>
  <c r="F602" i="6"/>
  <c r="G602" i="6"/>
  <c r="H602" i="6"/>
  <c r="I602" i="6"/>
  <c r="J602" i="6"/>
  <c r="K602" i="6"/>
  <c r="L602" i="6"/>
  <c r="N602" i="6"/>
  <c r="O602" i="6"/>
  <c r="P602" i="6"/>
  <c r="Q602" i="6"/>
  <c r="R602" i="6"/>
  <c r="T602" i="6"/>
  <c r="C603" i="6"/>
  <c r="D603" i="6"/>
  <c r="E603" i="6"/>
  <c r="F603" i="6"/>
  <c r="G603" i="6"/>
  <c r="H603" i="6"/>
  <c r="I603" i="6"/>
  <c r="J603" i="6"/>
  <c r="K603" i="6"/>
  <c r="L603" i="6"/>
  <c r="N603" i="6"/>
  <c r="O603" i="6"/>
  <c r="P603" i="6"/>
  <c r="Q603" i="6"/>
  <c r="R603" i="6"/>
  <c r="S603" i="6"/>
  <c r="T603" i="6"/>
  <c r="C604" i="6"/>
  <c r="D604" i="6"/>
  <c r="E604" i="6"/>
  <c r="F604" i="6"/>
  <c r="G604" i="6"/>
  <c r="H604" i="6"/>
  <c r="I604" i="6"/>
  <c r="J604" i="6"/>
  <c r="K604" i="6"/>
  <c r="L604" i="6"/>
  <c r="N604" i="6"/>
  <c r="O604" i="6"/>
  <c r="P604" i="6"/>
  <c r="Q604" i="6"/>
  <c r="R604" i="6"/>
  <c r="S604" i="6"/>
  <c r="T604" i="6"/>
  <c r="C605" i="6"/>
  <c r="D605" i="6"/>
  <c r="E605" i="6"/>
  <c r="F605" i="6"/>
  <c r="G605" i="6"/>
  <c r="H605" i="6"/>
  <c r="I605" i="6"/>
  <c r="J605" i="6"/>
  <c r="K605" i="6"/>
  <c r="M605" i="6"/>
  <c r="N605" i="6"/>
  <c r="O605" i="6"/>
  <c r="P605" i="6"/>
  <c r="Q605" i="6"/>
  <c r="R605" i="6"/>
  <c r="S605" i="6"/>
  <c r="T605" i="6"/>
  <c r="C606" i="6"/>
  <c r="D606" i="6"/>
  <c r="E606" i="6"/>
  <c r="F606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C607" i="6"/>
  <c r="D607" i="6"/>
  <c r="E607" i="6"/>
  <c r="F607" i="6"/>
  <c r="G607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C608" i="6"/>
  <c r="D608" i="6"/>
  <c r="E608" i="6"/>
  <c r="F608" i="6"/>
  <c r="G608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C609" i="6"/>
  <c r="D609" i="6"/>
  <c r="E609" i="6"/>
  <c r="F609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C610" i="6"/>
  <c r="D610" i="6"/>
  <c r="E610" i="6"/>
  <c r="F610" i="6"/>
  <c r="G610" i="6"/>
  <c r="H610" i="6"/>
  <c r="I610" i="6"/>
  <c r="J610" i="6"/>
  <c r="K610" i="6"/>
  <c r="M610" i="6"/>
  <c r="N610" i="6"/>
  <c r="O610" i="6"/>
  <c r="P610" i="6"/>
  <c r="Q610" i="6"/>
  <c r="R610" i="6"/>
  <c r="S610" i="6"/>
  <c r="T610" i="6"/>
  <c r="C611" i="6"/>
  <c r="D611" i="6"/>
  <c r="E611" i="6"/>
  <c r="F611" i="6"/>
  <c r="G611" i="6"/>
  <c r="H611" i="6"/>
  <c r="I611" i="6"/>
  <c r="J611" i="6"/>
  <c r="K611" i="6"/>
  <c r="M611" i="6"/>
  <c r="N611" i="6"/>
  <c r="O611" i="6"/>
  <c r="P611" i="6"/>
  <c r="Q611" i="6"/>
  <c r="R611" i="6"/>
  <c r="S611" i="6"/>
  <c r="T611" i="6"/>
  <c r="C612" i="6"/>
  <c r="D612" i="6"/>
  <c r="E612" i="6"/>
  <c r="F612" i="6"/>
  <c r="G612" i="6"/>
  <c r="H612" i="6"/>
  <c r="I612" i="6"/>
  <c r="J612" i="6"/>
  <c r="K612" i="6"/>
  <c r="M612" i="6"/>
  <c r="N612" i="6"/>
  <c r="O612" i="6"/>
  <c r="P612" i="6"/>
  <c r="Q612" i="6"/>
  <c r="R612" i="6"/>
  <c r="S612" i="6"/>
  <c r="T612" i="6"/>
  <c r="C613" i="6"/>
  <c r="D613" i="6"/>
  <c r="E613" i="6"/>
  <c r="F613" i="6"/>
  <c r="G613" i="6"/>
  <c r="H613" i="6"/>
  <c r="I613" i="6"/>
  <c r="J613" i="6"/>
  <c r="K613" i="6"/>
  <c r="M613" i="6"/>
  <c r="N613" i="6"/>
  <c r="O613" i="6"/>
  <c r="P613" i="6"/>
  <c r="Q613" i="6"/>
  <c r="R613" i="6"/>
  <c r="S613" i="6"/>
  <c r="T613" i="6"/>
  <c r="C614" i="6"/>
  <c r="D614" i="6"/>
  <c r="E614" i="6"/>
  <c r="F614" i="6"/>
  <c r="G614" i="6"/>
  <c r="H614" i="6"/>
  <c r="I614" i="6"/>
  <c r="J614" i="6"/>
  <c r="K614" i="6"/>
  <c r="M614" i="6"/>
  <c r="N614" i="6"/>
  <c r="O614" i="6"/>
  <c r="P614" i="6"/>
  <c r="Q614" i="6"/>
  <c r="R614" i="6"/>
  <c r="S614" i="6"/>
  <c r="T614" i="6"/>
  <c r="C615" i="6"/>
  <c r="D615" i="6"/>
  <c r="E615" i="6"/>
  <c r="F615" i="6"/>
  <c r="G615" i="6"/>
  <c r="H615" i="6"/>
  <c r="I615" i="6"/>
  <c r="J615" i="6"/>
  <c r="K615" i="6"/>
  <c r="M615" i="6"/>
  <c r="N615" i="6"/>
  <c r="O615" i="6"/>
  <c r="P615" i="6"/>
  <c r="Q615" i="6"/>
  <c r="R615" i="6"/>
  <c r="S615" i="6"/>
  <c r="T615" i="6"/>
  <c r="C616" i="6"/>
  <c r="D616" i="6"/>
  <c r="E616" i="6"/>
  <c r="F616" i="6"/>
  <c r="G616" i="6"/>
  <c r="H616" i="6"/>
  <c r="I616" i="6"/>
  <c r="J616" i="6"/>
  <c r="K616" i="6"/>
  <c r="M616" i="6"/>
  <c r="N616" i="6"/>
  <c r="O616" i="6"/>
  <c r="P616" i="6"/>
  <c r="Q616" i="6"/>
  <c r="R616" i="6"/>
  <c r="S616" i="6"/>
  <c r="T616" i="6"/>
  <c r="C617" i="6"/>
  <c r="D617" i="6"/>
  <c r="E617" i="6"/>
  <c r="F617" i="6"/>
  <c r="G617" i="6"/>
  <c r="H617" i="6"/>
  <c r="I617" i="6"/>
  <c r="J617" i="6"/>
  <c r="K617" i="6"/>
  <c r="M617" i="6"/>
  <c r="N617" i="6"/>
  <c r="O617" i="6"/>
  <c r="P617" i="6"/>
  <c r="Q617" i="6"/>
  <c r="R617" i="6"/>
  <c r="S617" i="6"/>
  <c r="T617" i="6"/>
  <c r="C618" i="6"/>
  <c r="D618" i="6"/>
  <c r="E618" i="6"/>
  <c r="F618" i="6"/>
  <c r="G618" i="6"/>
  <c r="H618" i="6"/>
  <c r="I618" i="6"/>
  <c r="J618" i="6"/>
  <c r="K618" i="6"/>
  <c r="M618" i="6"/>
  <c r="N618" i="6"/>
  <c r="O618" i="6"/>
  <c r="P618" i="6"/>
  <c r="Q618" i="6"/>
  <c r="R618" i="6"/>
  <c r="S618" i="6"/>
  <c r="T618" i="6"/>
  <c r="C619" i="6"/>
  <c r="D619" i="6"/>
  <c r="E619" i="6"/>
  <c r="F619" i="6"/>
  <c r="G619" i="6"/>
  <c r="H619" i="6"/>
  <c r="I619" i="6"/>
  <c r="J619" i="6"/>
  <c r="K619" i="6"/>
  <c r="M619" i="6"/>
  <c r="N619" i="6"/>
  <c r="O619" i="6"/>
  <c r="P619" i="6"/>
  <c r="Q619" i="6"/>
  <c r="R619" i="6"/>
  <c r="S619" i="6"/>
  <c r="T619" i="6"/>
  <c r="C620" i="6"/>
  <c r="D620" i="6"/>
  <c r="E620" i="6"/>
  <c r="F620" i="6"/>
  <c r="G620" i="6"/>
  <c r="H620" i="6"/>
  <c r="I620" i="6"/>
  <c r="J620" i="6"/>
  <c r="K620" i="6"/>
  <c r="M620" i="6"/>
  <c r="N620" i="6"/>
  <c r="O620" i="6"/>
  <c r="P620" i="6"/>
  <c r="R620" i="6"/>
  <c r="T620" i="6"/>
  <c r="C621" i="6"/>
  <c r="D621" i="6"/>
  <c r="E621" i="6"/>
  <c r="F621" i="6"/>
  <c r="G621" i="6"/>
  <c r="H621" i="6"/>
  <c r="I621" i="6"/>
  <c r="J621" i="6"/>
  <c r="K621" i="6"/>
  <c r="M621" i="6"/>
  <c r="N621" i="6"/>
  <c r="O621" i="6"/>
  <c r="P621" i="6"/>
  <c r="R621" i="6"/>
  <c r="T621" i="6"/>
  <c r="C622" i="6"/>
  <c r="D622" i="6"/>
  <c r="E622" i="6"/>
  <c r="F622" i="6"/>
  <c r="G622" i="6"/>
  <c r="H622" i="6"/>
  <c r="I622" i="6"/>
  <c r="J622" i="6"/>
  <c r="K622" i="6"/>
  <c r="M622" i="6"/>
  <c r="N622" i="6"/>
  <c r="O622" i="6"/>
  <c r="P622" i="6"/>
  <c r="R622" i="6"/>
  <c r="T622" i="6"/>
  <c r="C623" i="6"/>
  <c r="D623" i="6"/>
  <c r="E623" i="6"/>
  <c r="F623" i="6"/>
  <c r="G623" i="6"/>
  <c r="H623" i="6"/>
  <c r="I623" i="6"/>
  <c r="J623" i="6"/>
  <c r="K623" i="6"/>
  <c r="M623" i="6"/>
  <c r="N623" i="6"/>
  <c r="O623" i="6"/>
  <c r="P623" i="6"/>
  <c r="R623" i="6"/>
  <c r="T623" i="6"/>
  <c r="C624" i="6"/>
  <c r="D624" i="6"/>
  <c r="E624" i="6"/>
  <c r="F624" i="6"/>
  <c r="G624" i="6"/>
  <c r="H624" i="6"/>
  <c r="I624" i="6"/>
  <c r="J624" i="6"/>
  <c r="K624" i="6"/>
  <c r="M624" i="6"/>
  <c r="N624" i="6"/>
  <c r="O624" i="6"/>
  <c r="P624" i="6"/>
  <c r="R624" i="6"/>
  <c r="T624" i="6"/>
  <c r="C625" i="6"/>
  <c r="D625" i="6"/>
  <c r="E625" i="6"/>
  <c r="F625" i="6"/>
  <c r="G625" i="6"/>
  <c r="H625" i="6"/>
  <c r="I625" i="6"/>
  <c r="J625" i="6"/>
  <c r="K625" i="6"/>
  <c r="M625" i="6"/>
  <c r="N625" i="6"/>
  <c r="O625" i="6"/>
  <c r="P625" i="6"/>
  <c r="R625" i="6"/>
  <c r="T625" i="6"/>
  <c r="A626" i="6"/>
  <c r="A627" i="6" s="1"/>
  <c r="C626" i="6"/>
  <c r="D626" i="6"/>
  <c r="E626" i="6"/>
  <c r="F626" i="6"/>
  <c r="G626" i="6"/>
  <c r="H626" i="6"/>
  <c r="I626" i="6"/>
  <c r="J626" i="6"/>
  <c r="K626" i="6"/>
  <c r="M626" i="6"/>
  <c r="N626" i="6"/>
  <c r="O626" i="6"/>
  <c r="P626" i="6"/>
  <c r="R626" i="6"/>
  <c r="T626" i="6"/>
  <c r="C627" i="6"/>
  <c r="D627" i="6"/>
  <c r="E627" i="6"/>
  <c r="F627" i="6"/>
  <c r="G627" i="6"/>
  <c r="H627" i="6"/>
  <c r="I627" i="6"/>
  <c r="J627" i="6"/>
  <c r="K627" i="6"/>
  <c r="M627" i="6"/>
  <c r="N627" i="6"/>
  <c r="O627" i="6"/>
  <c r="P627" i="6"/>
  <c r="R627" i="6"/>
  <c r="T627" i="6"/>
  <c r="A628" i="6"/>
  <c r="A629" i="6" s="1"/>
  <c r="C628" i="6"/>
  <c r="D628" i="6"/>
  <c r="E628" i="6"/>
  <c r="F628" i="6"/>
  <c r="G628" i="6"/>
  <c r="H628" i="6"/>
  <c r="I628" i="6"/>
  <c r="J628" i="6"/>
  <c r="K628" i="6"/>
  <c r="M628" i="6"/>
  <c r="N628" i="6"/>
  <c r="O628" i="6"/>
  <c r="P628" i="6"/>
  <c r="R628" i="6"/>
  <c r="T628" i="6"/>
  <c r="C629" i="6"/>
  <c r="D629" i="6"/>
  <c r="E629" i="6"/>
  <c r="F629" i="6"/>
  <c r="G629" i="6"/>
  <c r="H629" i="6"/>
  <c r="I629" i="6"/>
  <c r="J629" i="6"/>
  <c r="K629" i="6"/>
  <c r="M629" i="6"/>
  <c r="N629" i="6"/>
  <c r="O629" i="6"/>
  <c r="P629" i="6"/>
  <c r="R629" i="6"/>
  <c r="T629" i="6"/>
  <c r="A630" i="6"/>
  <c r="A631" i="6" s="1"/>
  <c r="C630" i="6"/>
  <c r="D630" i="6"/>
  <c r="E630" i="6"/>
  <c r="F630" i="6"/>
  <c r="G630" i="6"/>
  <c r="H630" i="6"/>
  <c r="I630" i="6"/>
  <c r="J630" i="6"/>
  <c r="K630" i="6"/>
  <c r="M630" i="6"/>
  <c r="N630" i="6"/>
  <c r="O630" i="6"/>
  <c r="P630" i="6"/>
  <c r="R630" i="6"/>
  <c r="T630" i="6"/>
  <c r="C631" i="6"/>
  <c r="D631" i="6"/>
  <c r="E631" i="6"/>
  <c r="F631" i="6"/>
  <c r="G631" i="6"/>
  <c r="H631" i="6"/>
  <c r="I631" i="6"/>
  <c r="J631" i="6"/>
  <c r="K631" i="6"/>
  <c r="M631" i="6"/>
  <c r="N631" i="6"/>
  <c r="O631" i="6"/>
  <c r="P631" i="6"/>
  <c r="R631" i="6"/>
  <c r="T631" i="6"/>
  <c r="A632" i="6"/>
  <c r="A633" i="6" s="1"/>
  <c r="F632" i="6"/>
  <c r="G632" i="6"/>
  <c r="H632" i="6"/>
  <c r="J632" i="6"/>
  <c r="K632" i="6"/>
  <c r="M632" i="6"/>
  <c r="O632" i="6"/>
  <c r="P632" i="6"/>
  <c r="R632" i="6"/>
  <c r="G633" i="6"/>
  <c r="H633" i="6"/>
  <c r="I633" i="6"/>
  <c r="J633" i="6"/>
  <c r="K633" i="6"/>
  <c r="M633" i="6"/>
  <c r="O633" i="6"/>
  <c r="P633" i="6"/>
  <c r="A634" i="6"/>
  <c r="A635" i="6" s="1"/>
  <c r="F634" i="6"/>
  <c r="G634" i="6"/>
  <c r="H634" i="6"/>
  <c r="J634" i="6"/>
  <c r="K634" i="6"/>
  <c r="M634" i="6"/>
  <c r="O634" i="6"/>
  <c r="P634" i="6"/>
  <c r="R634" i="6"/>
  <c r="G635" i="6"/>
  <c r="H635" i="6"/>
  <c r="I635" i="6"/>
  <c r="J635" i="6"/>
  <c r="K635" i="6"/>
  <c r="M635" i="6"/>
  <c r="O635" i="6"/>
  <c r="P635" i="6"/>
  <c r="A636" i="6"/>
  <c r="A637" i="6" s="1"/>
  <c r="F636" i="6"/>
  <c r="G636" i="6"/>
  <c r="H636" i="6"/>
  <c r="J636" i="6"/>
  <c r="K636" i="6"/>
  <c r="M636" i="6"/>
  <c r="O636" i="6"/>
  <c r="P636" i="6"/>
  <c r="R636" i="6"/>
  <c r="G637" i="6"/>
  <c r="H637" i="6"/>
  <c r="I637" i="6"/>
  <c r="J637" i="6"/>
  <c r="K637" i="6"/>
  <c r="M637" i="6"/>
  <c r="O637" i="6"/>
  <c r="P637" i="6"/>
  <c r="A638" i="6"/>
  <c r="A639" i="6" s="1"/>
  <c r="F638" i="6"/>
  <c r="G638" i="6"/>
  <c r="H638" i="6"/>
  <c r="J638" i="6"/>
  <c r="K638" i="6"/>
  <c r="M638" i="6"/>
  <c r="O638" i="6"/>
  <c r="P638" i="6"/>
  <c r="R638" i="6"/>
  <c r="G639" i="6"/>
  <c r="H639" i="6"/>
  <c r="I639" i="6"/>
  <c r="J639" i="6"/>
  <c r="K639" i="6"/>
  <c r="M639" i="6"/>
  <c r="O639" i="6"/>
  <c r="P639" i="6"/>
  <c r="A640" i="6"/>
  <c r="A641" i="6" s="1"/>
  <c r="F640" i="6"/>
  <c r="G640" i="6"/>
  <c r="H640" i="6"/>
  <c r="J640" i="6"/>
  <c r="K640" i="6"/>
  <c r="M640" i="6"/>
  <c r="O640" i="6"/>
  <c r="P640" i="6"/>
  <c r="R640" i="6"/>
  <c r="G641" i="6"/>
  <c r="H641" i="6"/>
  <c r="I641" i="6"/>
  <c r="J641" i="6"/>
  <c r="K641" i="6"/>
  <c r="M641" i="6"/>
  <c r="O641" i="6"/>
  <c r="P641" i="6"/>
  <c r="A642" i="6"/>
  <c r="A643" i="6" s="1"/>
  <c r="F642" i="6"/>
  <c r="G642" i="6"/>
  <c r="H642" i="6"/>
  <c r="J642" i="6"/>
  <c r="K642" i="6"/>
  <c r="M642" i="6"/>
  <c r="O642" i="6"/>
  <c r="P642" i="6"/>
  <c r="R642" i="6"/>
  <c r="C643" i="6"/>
  <c r="E643" i="6"/>
  <c r="G643" i="6"/>
  <c r="H643" i="6"/>
  <c r="J643" i="6"/>
  <c r="K643" i="6"/>
  <c r="M643" i="6"/>
  <c r="O643" i="6"/>
  <c r="P643" i="6"/>
  <c r="A644" i="6"/>
  <c r="A645" i="6" s="1"/>
  <c r="G644" i="6"/>
  <c r="H644" i="6"/>
  <c r="J644" i="6"/>
  <c r="K644" i="6"/>
  <c r="M644" i="6"/>
  <c r="O644" i="6"/>
  <c r="P644" i="6"/>
  <c r="C645" i="6"/>
  <c r="G645" i="6"/>
  <c r="H645" i="6"/>
  <c r="J645" i="6"/>
  <c r="K645" i="6"/>
  <c r="M645" i="6"/>
  <c r="O645" i="6"/>
  <c r="P645" i="6"/>
  <c r="A646" i="6"/>
  <c r="A647" i="6" s="1"/>
  <c r="G646" i="6"/>
  <c r="H646" i="6"/>
  <c r="J646" i="6"/>
  <c r="K646" i="6"/>
  <c r="M646" i="6"/>
  <c r="O646" i="6"/>
  <c r="P646" i="6"/>
  <c r="C647" i="6"/>
  <c r="G647" i="6"/>
  <c r="H647" i="6"/>
  <c r="J647" i="6"/>
  <c r="K647" i="6"/>
  <c r="M647" i="6"/>
  <c r="O647" i="6"/>
  <c r="P647" i="6"/>
  <c r="A648" i="6"/>
  <c r="A649" i="6" s="1"/>
  <c r="G648" i="6"/>
  <c r="H648" i="6"/>
  <c r="J648" i="6"/>
  <c r="K648" i="6"/>
  <c r="M648" i="6"/>
  <c r="O648" i="6"/>
  <c r="P648" i="6"/>
  <c r="C649" i="6"/>
  <c r="G649" i="6"/>
  <c r="H649" i="6"/>
  <c r="J649" i="6"/>
  <c r="K649" i="6"/>
  <c r="M649" i="6"/>
  <c r="O649" i="6"/>
  <c r="P649" i="6"/>
  <c r="C9" i="5"/>
  <c r="B16" i="5"/>
  <c r="C16" i="5"/>
  <c r="D16" i="5"/>
  <c r="E16" i="5"/>
  <c r="F16" i="5"/>
  <c r="G16" i="5"/>
  <c r="H16" i="5"/>
  <c r="I16" i="5"/>
  <c r="J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B17" i="5"/>
  <c r="C17" i="5"/>
  <c r="D17" i="5"/>
  <c r="E17" i="5"/>
  <c r="F17" i="5"/>
  <c r="G17" i="5"/>
  <c r="H17" i="5"/>
  <c r="I17" i="5"/>
  <c r="J17" i="5"/>
  <c r="L17" i="5"/>
  <c r="M17" i="5"/>
  <c r="N17" i="5"/>
  <c r="AC17" i="5" s="1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B18" i="5"/>
  <c r="C18" i="5"/>
  <c r="D18" i="5"/>
  <c r="E18" i="5"/>
  <c r="F18" i="5"/>
  <c r="G18" i="5"/>
  <c r="H18" i="5"/>
  <c r="I18" i="5"/>
  <c r="J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B19" i="5"/>
  <c r="C19" i="5"/>
  <c r="D19" i="5"/>
  <c r="E19" i="5"/>
  <c r="F19" i="5"/>
  <c r="G19" i="5"/>
  <c r="H19" i="5"/>
  <c r="I19" i="5"/>
  <c r="J19" i="5"/>
  <c r="L19" i="5"/>
  <c r="M19" i="5"/>
  <c r="N19" i="5"/>
  <c r="AC19" i="5" s="1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B20" i="5"/>
  <c r="C20" i="5"/>
  <c r="D20" i="5"/>
  <c r="E20" i="5"/>
  <c r="F20" i="5"/>
  <c r="G20" i="5"/>
  <c r="H20" i="5"/>
  <c r="I20" i="5"/>
  <c r="J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B21" i="5"/>
  <c r="C21" i="5"/>
  <c r="D21" i="5"/>
  <c r="E21" i="5"/>
  <c r="F21" i="5"/>
  <c r="G21" i="5"/>
  <c r="H21" i="5"/>
  <c r="I21" i="5"/>
  <c r="J21" i="5"/>
  <c r="L21" i="5"/>
  <c r="M21" i="5"/>
  <c r="N21" i="5"/>
  <c r="AC21" i="5" s="1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B22" i="5"/>
  <c r="C22" i="5"/>
  <c r="D22" i="5"/>
  <c r="E22" i="5"/>
  <c r="F22" i="5"/>
  <c r="G22" i="5"/>
  <c r="H22" i="5"/>
  <c r="I22" i="5"/>
  <c r="J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B23" i="5"/>
  <c r="C23" i="5"/>
  <c r="AB23" i="5" s="1"/>
  <c r="D23" i="5"/>
  <c r="E23" i="5"/>
  <c r="F23" i="5"/>
  <c r="G23" i="5"/>
  <c r="H23" i="5"/>
  <c r="I23" i="5"/>
  <c r="J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B24" i="5"/>
  <c r="B602" i="5" s="1"/>
  <c r="C24" i="5"/>
  <c r="D24" i="5"/>
  <c r="D602" i="5" s="1"/>
  <c r="E24" i="5"/>
  <c r="F24" i="5"/>
  <c r="F602" i="5" s="1"/>
  <c r="G24" i="5"/>
  <c r="H24" i="5"/>
  <c r="H602" i="5" s="1"/>
  <c r="I24" i="5"/>
  <c r="J24" i="5"/>
  <c r="J602" i="5" s="1"/>
  <c r="L24" i="5"/>
  <c r="M24" i="5"/>
  <c r="N24" i="5"/>
  <c r="O24" i="5"/>
  <c r="O602" i="5" s="1"/>
  <c r="P24" i="5"/>
  <c r="Q24" i="5"/>
  <c r="Q602" i="5" s="1"/>
  <c r="R24" i="5"/>
  <c r="S24" i="5"/>
  <c r="S602" i="5" s="1"/>
  <c r="T24" i="5"/>
  <c r="U24" i="5"/>
  <c r="U602" i="5" s="1"/>
  <c r="V24" i="5"/>
  <c r="W24" i="5"/>
  <c r="W602" i="5" s="1"/>
  <c r="Y24" i="5"/>
  <c r="Z24" i="5"/>
  <c r="AA24" i="5"/>
  <c r="B25" i="5"/>
  <c r="C25" i="5"/>
  <c r="AB25" i="5" s="1"/>
  <c r="D25" i="5"/>
  <c r="E25" i="5"/>
  <c r="F25" i="5"/>
  <c r="G25" i="5"/>
  <c r="H25" i="5"/>
  <c r="I25" i="5"/>
  <c r="J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B26" i="5"/>
  <c r="C26" i="5"/>
  <c r="D26" i="5"/>
  <c r="E26" i="5"/>
  <c r="F26" i="5"/>
  <c r="G26" i="5"/>
  <c r="H26" i="5"/>
  <c r="I26" i="5"/>
  <c r="J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B27" i="5"/>
  <c r="C27" i="5"/>
  <c r="AB27" i="5" s="1"/>
  <c r="D27" i="5"/>
  <c r="E27" i="5"/>
  <c r="F27" i="5"/>
  <c r="G27" i="5"/>
  <c r="H27" i="5"/>
  <c r="I27" i="5"/>
  <c r="J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B28" i="5"/>
  <c r="C28" i="5"/>
  <c r="D28" i="5"/>
  <c r="AB28" i="5" s="1"/>
  <c r="E28" i="5"/>
  <c r="F28" i="5"/>
  <c r="G28" i="5"/>
  <c r="H28" i="5"/>
  <c r="I28" i="5"/>
  <c r="J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Z28" i="5"/>
  <c r="AA28" i="5"/>
  <c r="B29" i="5"/>
  <c r="C29" i="5"/>
  <c r="AB29" i="5" s="1"/>
  <c r="D29" i="5"/>
  <c r="E29" i="5"/>
  <c r="F29" i="5"/>
  <c r="G29" i="5"/>
  <c r="H29" i="5"/>
  <c r="I29" i="5"/>
  <c r="J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Z29" i="5"/>
  <c r="AA29" i="5"/>
  <c r="B30" i="5"/>
  <c r="C30" i="5"/>
  <c r="D30" i="5"/>
  <c r="E30" i="5"/>
  <c r="F30" i="5"/>
  <c r="G30" i="5"/>
  <c r="H30" i="5"/>
  <c r="I30" i="5"/>
  <c r="J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Z30" i="5"/>
  <c r="AA30" i="5"/>
  <c r="AB30" i="5"/>
  <c r="B31" i="5"/>
  <c r="C31" i="5"/>
  <c r="AB31" i="5" s="1"/>
  <c r="D31" i="5"/>
  <c r="E31" i="5"/>
  <c r="F31" i="5"/>
  <c r="G31" i="5"/>
  <c r="H31" i="5"/>
  <c r="I31" i="5"/>
  <c r="J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Z31" i="5"/>
  <c r="AA31" i="5"/>
  <c r="B32" i="5"/>
  <c r="C32" i="5"/>
  <c r="D32" i="5"/>
  <c r="AB32" i="5" s="1"/>
  <c r="E32" i="5"/>
  <c r="F32" i="5"/>
  <c r="G32" i="5"/>
  <c r="H32" i="5"/>
  <c r="I32" i="5"/>
  <c r="J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Z32" i="5"/>
  <c r="AA32" i="5"/>
  <c r="B33" i="5"/>
  <c r="C33" i="5"/>
  <c r="AB33" i="5" s="1"/>
  <c r="D33" i="5"/>
  <c r="E33" i="5"/>
  <c r="F33" i="5"/>
  <c r="G33" i="5"/>
  <c r="H33" i="5"/>
  <c r="I33" i="5"/>
  <c r="J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Z33" i="5"/>
  <c r="AA33" i="5"/>
  <c r="B34" i="5"/>
  <c r="C34" i="5"/>
  <c r="D34" i="5"/>
  <c r="E34" i="5"/>
  <c r="F34" i="5"/>
  <c r="G34" i="5"/>
  <c r="H34" i="5"/>
  <c r="I34" i="5"/>
  <c r="J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Z34" i="5"/>
  <c r="AA34" i="5"/>
  <c r="AB34" i="5"/>
  <c r="B35" i="5"/>
  <c r="C35" i="5"/>
  <c r="D35" i="5"/>
  <c r="E35" i="5"/>
  <c r="F35" i="5"/>
  <c r="G35" i="5"/>
  <c r="H35" i="5"/>
  <c r="I35" i="5"/>
  <c r="J35" i="5"/>
  <c r="L35" i="5"/>
  <c r="M35" i="5"/>
  <c r="N35" i="5"/>
  <c r="O35" i="5"/>
  <c r="P35" i="5"/>
  <c r="Q35" i="5"/>
  <c r="R35" i="5"/>
  <c r="S35" i="5"/>
  <c r="T35" i="5"/>
  <c r="U35" i="5"/>
  <c r="V35" i="5"/>
  <c r="W35" i="5"/>
  <c r="Z35" i="5"/>
  <c r="AA35" i="5"/>
  <c r="AC35" i="5"/>
  <c r="B36" i="5"/>
  <c r="C36" i="5"/>
  <c r="C603" i="5" s="1"/>
  <c r="D36" i="5"/>
  <c r="E36" i="5"/>
  <c r="E603" i="5" s="1"/>
  <c r="F36" i="5"/>
  <c r="G36" i="5"/>
  <c r="G603" i="5" s="1"/>
  <c r="H36" i="5"/>
  <c r="I36" i="5"/>
  <c r="I603" i="5" s="1"/>
  <c r="J36" i="5"/>
  <c r="L36" i="5"/>
  <c r="L603" i="5" s="1"/>
  <c r="M36" i="5"/>
  <c r="N36" i="5"/>
  <c r="O36" i="5"/>
  <c r="P36" i="5"/>
  <c r="P603" i="5" s="1"/>
  <c r="Q36" i="5"/>
  <c r="R36" i="5"/>
  <c r="R603" i="5" s="1"/>
  <c r="S36" i="5"/>
  <c r="T36" i="5"/>
  <c r="T603" i="5" s="1"/>
  <c r="U36" i="5"/>
  <c r="V36" i="5"/>
  <c r="V603" i="5" s="1"/>
  <c r="W36" i="5"/>
  <c r="Z36" i="5"/>
  <c r="AA36" i="5"/>
  <c r="AB36" i="5"/>
  <c r="B37" i="5"/>
  <c r="C37" i="5"/>
  <c r="D37" i="5"/>
  <c r="E37" i="5"/>
  <c r="F37" i="5"/>
  <c r="G37" i="5"/>
  <c r="H37" i="5"/>
  <c r="I37" i="5"/>
  <c r="J37" i="5"/>
  <c r="L37" i="5"/>
  <c r="M37" i="5"/>
  <c r="N37" i="5"/>
  <c r="O37" i="5"/>
  <c r="P37" i="5"/>
  <c r="Q37" i="5"/>
  <c r="R37" i="5"/>
  <c r="S37" i="5"/>
  <c r="T37" i="5"/>
  <c r="U37" i="5"/>
  <c r="V37" i="5"/>
  <c r="W37" i="5"/>
  <c r="Z37" i="5"/>
  <c r="AA37" i="5"/>
  <c r="AC37" i="5"/>
  <c r="B38" i="5"/>
  <c r="C38" i="5"/>
  <c r="D38" i="5"/>
  <c r="E38" i="5"/>
  <c r="F38" i="5"/>
  <c r="G38" i="5"/>
  <c r="H38" i="5"/>
  <c r="I38" i="5"/>
  <c r="J38" i="5"/>
  <c r="L38" i="5"/>
  <c r="M38" i="5"/>
  <c r="N38" i="5"/>
  <c r="O38" i="5"/>
  <c r="P38" i="5"/>
  <c r="Q38" i="5"/>
  <c r="R38" i="5"/>
  <c r="S38" i="5"/>
  <c r="T38" i="5"/>
  <c r="U38" i="5"/>
  <c r="V38" i="5"/>
  <c r="W38" i="5"/>
  <c r="Z38" i="5"/>
  <c r="AA38" i="5"/>
  <c r="AB38" i="5"/>
  <c r="B39" i="5"/>
  <c r="C39" i="5"/>
  <c r="D39" i="5"/>
  <c r="E39" i="5"/>
  <c r="F39" i="5"/>
  <c r="G39" i="5"/>
  <c r="H39" i="5"/>
  <c r="I39" i="5"/>
  <c r="J39" i="5"/>
  <c r="L39" i="5"/>
  <c r="M39" i="5"/>
  <c r="N39" i="5"/>
  <c r="O39" i="5"/>
  <c r="P39" i="5"/>
  <c r="Q39" i="5"/>
  <c r="R39" i="5"/>
  <c r="S39" i="5"/>
  <c r="T39" i="5"/>
  <c r="U39" i="5"/>
  <c r="V39" i="5"/>
  <c r="W39" i="5"/>
  <c r="Z39" i="5"/>
  <c r="AA39" i="5"/>
  <c r="AC39" i="5"/>
  <c r="B40" i="5"/>
  <c r="C40" i="5"/>
  <c r="D40" i="5"/>
  <c r="E40" i="5"/>
  <c r="F40" i="5"/>
  <c r="G40" i="5"/>
  <c r="H40" i="5"/>
  <c r="I40" i="5"/>
  <c r="J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Z40" i="5"/>
  <c r="AA40" i="5"/>
  <c r="AA604" i="5" s="1"/>
  <c r="B41" i="5"/>
  <c r="C41" i="5"/>
  <c r="D41" i="5"/>
  <c r="E41" i="5"/>
  <c r="F41" i="5"/>
  <c r="G41" i="5"/>
  <c r="H41" i="5"/>
  <c r="I41" i="5"/>
  <c r="J41" i="5"/>
  <c r="L41" i="5"/>
  <c r="M41" i="5"/>
  <c r="N41" i="5"/>
  <c r="AC41" i="5" s="1"/>
  <c r="O41" i="5"/>
  <c r="P41" i="5"/>
  <c r="Q41" i="5"/>
  <c r="R41" i="5"/>
  <c r="S41" i="5"/>
  <c r="T41" i="5"/>
  <c r="U41" i="5"/>
  <c r="V41" i="5"/>
  <c r="W41" i="5"/>
  <c r="X41" i="5"/>
  <c r="Z41" i="5"/>
  <c r="AA41" i="5"/>
  <c r="B42" i="5"/>
  <c r="C42" i="5"/>
  <c r="D42" i="5"/>
  <c r="E42" i="5"/>
  <c r="F42" i="5"/>
  <c r="G42" i="5"/>
  <c r="H42" i="5"/>
  <c r="I42" i="5"/>
  <c r="J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Z42" i="5"/>
  <c r="AA42" i="5"/>
  <c r="B43" i="5"/>
  <c r="C43" i="5"/>
  <c r="D43" i="5"/>
  <c r="E43" i="5"/>
  <c r="F43" i="5"/>
  <c r="G43" i="5"/>
  <c r="H43" i="5"/>
  <c r="I43" i="5"/>
  <c r="J43" i="5"/>
  <c r="L43" i="5"/>
  <c r="M43" i="5"/>
  <c r="AC43" i="5" s="1"/>
  <c r="N43" i="5"/>
  <c r="O43" i="5"/>
  <c r="P43" i="5"/>
  <c r="Q43" i="5"/>
  <c r="R43" i="5"/>
  <c r="S43" i="5"/>
  <c r="T43" i="5"/>
  <c r="U43" i="5"/>
  <c r="V43" i="5"/>
  <c r="W43" i="5"/>
  <c r="X43" i="5"/>
  <c r="Z43" i="5"/>
  <c r="AA43" i="5"/>
  <c r="B44" i="5"/>
  <c r="C44" i="5"/>
  <c r="D44" i="5"/>
  <c r="E44" i="5"/>
  <c r="F44" i="5"/>
  <c r="G44" i="5"/>
  <c r="H44" i="5"/>
  <c r="I44" i="5"/>
  <c r="J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Z44" i="5"/>
  <c r="AA44" i="5"/>
  <c r="B45" i="5"/>
  <c r="C45" i="5"/>
  <c r="D45" i="5"/>
  <c r="E45" i="5"/>
  <c r="F45" i="5"/>
  <c r="G45" i="5"/>
  <c r="H45" i="5"/>
  <c r="I45" i="5"/>
  <c r="J45" i="5"/>
  <c r="L45" i="5"/>
  <c r="M45" i="5"/>
  <c r="N45" i="5"/>
  <c r="AC45" i="5" s="1"/>
  <c r="O45" i="5"/>
  <c r="P45" i="5"/>
  <c r="Q45" i="5"/>
  <c r="R45" i="5"/>
  <c r="S45" i="5"/>
  <c r="T45" i="5"/>
  <c r="U45" i="5"/>
  <c r="V45" i="5"/>
  <c r="W45" i="5"/>
  <c r="X45" i="5"/>
  <c r="Z45" i="5"/>
  <c r="AA45" i="5"/>
  <c r="B46" i="5"/>
  <c r="C46" i="5"/>
  <c r="D46" i="5"/>
  <c r="E46" i="5"/>
  <c r="F46" i="5"/>
  <c r="G46" i="5"/>
  <c r="H46" i="5"/>
  <c r="I46" i="5"/>
  <c r="J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Z46" i="5"/>
  <c r="AA46" i="5"/>
  <c r="B47" i="5"/>
  <c r="C47" i="5"/>
  <c r="D47" i="5"/>
  <c r="E47" i="5"/>
  <c r="F47" i="5"/>
  <c r="G47" i="5"/>
  <c r="H47" i="5"/>
  <c r="I47" i="5"/>
  <c r="J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Z47" i="5"/>
  <c r="AA47" i="5"/>
  <c r="AC47" i="5"/>
  <c r="B48" i="5"/>
  <c r="C48" i="5"/>
  <c r="D48" i="5"/>
  <c r="E48" i="5"/>
  <c r="F48" i="5"/>
  <c r="G48" i="5"/>
  <c r="H48" i="5"/>
  <c r="I48" i="5"/>
  <c r="J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Z48" i="5"/>
  <c r="AA48" i="5"/>
  <c r="B49" i="5"/>
  <c r="C49" i="5"/>
  <c r="D49" i="5"/>
  <c r="E49" i="5"/>
  <c r="F49" i="5"/>
  <c r="G49" i="5"/>
  <c r="H49" i="5"/>
  <c r="I49" i="5"/>
  <c r="J49" i="5"/>
  <c r="L49" i="5"/>
  <c r="M49" i="5"/>
  <c r="N49" i="5"/>
  <c r="AC49" i="5" s="1"/>
  <c r="O49" i="5"/>
  <c r="P49" i="5"/>
  <c r="Q49" i="5"/>
  <c r="R49" i="5"/>
  <c r="S49" i="5"/>
  <c r="T49" i="5"/>
  <c r="U49" i="5"/>
  <c r="V49" i="5"/>
  <c r="W49" i="5"/>
  <c r="X49" i="5"/>
  <c r="B50" i="5"/>
  <c r="C50" i="5"/>
  <c r="D50" i="5"/>
  <c r="E50" i="5"/>
  <c r="F50" i="5"/>
  <c r="G50" i="5"/>
  <c r="H50" i="5"/>
  <c r="I50" i="5"/>
  <c r="J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B51" i="5"/>
  <c r="C51" i="5"/>
  <c r="D51" i="5"/>
  <c r="E51" i="5"/>
  <c r="F51" i="5"/>
  <c r="G51" i="5"/>
  <c r="H51" i="5"/>
  <c r="I51" i="5"/>
  <c r="J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AC51" i="5"/>
  <c r="B52" i="5"/>
  <c r="C52" i="5"/>
  <c r="D52" i="5"/>
  <c r="E52" i="5"/>
  <c r="F52" i="5"/>
  <c r="G52" i="5"/>
  <c r="H52" i="5"/>
  <c r="I52" i="5"/>
  <c r="J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B53" i="5"/>
  <c r="C53" i="5"/>
  <c r="D53" i="5"/>
  <c r="E53" i="5"/>
  <c r="F53" i="5"/>
  <c r="G53" i="5"/>
  <c r="H53" i="5"/>
  <c r="I53" i="5"/>
  <c r="J53" i="5"/>
  <c r="L53" i="5"/>
  <c r="M53" i="5"/>
  <c r="N53" i="5"/>
  <c r="AC53" i="5" s="1"/>
  <c r="O53" i="5"/>
  <c r="P53" i="5"/>
  <c r="Q53" i="5"/>
  <c r="R53" i="5"/>
  <c r="S53" i="5"/>
  <c r="T53" i="5"/>
  <c r="U53" i="5"/>
  <c r="V53" i="5"/>
  <c r="W53" i="5"/>
  <c r="X53" i="5"/>
  <c r="B54" i="5"/>
  <c r="C54" i="5"/>
  <c r="D54" i="5"/>
  <c r="E54" i="5"/>
  <c r="F54" i="5"/>
  <c r="G54" i="5"/>
  <c r="H54" i="5"/>
  <c r="I54" i="5"/>
  <c r="J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B55" i="5"/>
  <c r="C55" i="5"/>
  <c r="D55" i="5"/>
  <c r="E55" i="5"/>
  <c r="F55" i="5"/>
  <c r="G55" i="5"/>
  <c r="H55" i="5"/>
  <c r="I55" i="5"/>
  <c r="J55" i="5"/>
  <c r="L55" i="5"/>
  <c r="M55" i="5"/>
  <c r="N55" i="5"/>
  <c r="O55" i="5"/>
  <c r="AC55" i="5" s="1"/>
  <c r="P55" i="5"/>
  <c r="Q55" i="5"/>
  <c r="R55" i="5"/>
  <c r="S55" i="5"/>
  <c r="T55" i="5"/>
  <c r="U55" i="5"/>
  <c r="V55" i="5"/>
  <c r="W55" i="5"/>
  <c r="X55" i="5"/>
  <c r="B56" i="5"/>
  <c r="C56" i="5"/>
  <c r="D56" i="5"/>
  <c r="E56" i="5"/>
  <c r="F56" i="5"/>
  <c r="G56" i="5"/>
  <c r="H56" i="5"/>
  <c r="I56" i="5"/>
  <c r="J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B57" i="5"/>
  <c r="C57" i="5"/>
  <c r="D57" i="5"/>
  <c r="E57" i="5"/>
  <c r="F57" i="5"/>
  <c r="G57" i="5"/>
  <c r="H57" i="5"/>
  <c r="I57" i="5"/>
  <c r="J57" i="5"/>
  <c r="L57" i="5"/>
  <c r="M57" i="5"/>
  <c r="N57" i="5"/>
  <c r="AC57" i="5" s="1"/>
  <c r="O57" i="5"/>
  <c r="P57" i="5"/>
  <c r="Q57" i="5"/>
  <c r="R57" i="5"/>
  <c r="S57" i="5"/>
  <c r="T57" i="5"/>
  <c r="U57" i="5"/>
  <c r="V57" i="5"/>
  <c r="W57" i="5"/>
  <c r="X57" i="5"/>
  <c r="B58" i="5"/>
  <c r="C58" i="5"/>
  <c r="D58" i="5"/>
  <c r="E58" i="5"/>
  <c r="F58" i="5"/>
  <c r="G58" i="5"/>
  <c r="H58" i="5"/>
  <c r="I58" i="5"/>
  <c r="J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B59" i="5"/>
  <c r="C59" i="5"/>
  <c r="D59" i="5"/>
  <c r="E59" i="5"/>
  <c r="F59" i="5"/>
  <c r="G59" i="5"/>
  <c r="H59" i="5"/>
  <c r="I59" i="5"/>
  <c r="J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AC59" i="5"/>
  <c r="B60" i="5"/>
  <c r="C60" i="5"/>
  <c r="D60" i="5"/>
  <c r="E60" i="5"/>
  <c r="F60" i="5"/>
  <c r="G60" i="5"/>
  <c r="H60" i="5"/>
  <c r="I60" i="5"/>
  <c r="J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B61" i="5"/>
  <c r="C61" i="5"/>
  <c r="D61" i="5"/>
  <c r="E61" i="5"/>
  <c r="F61" i="5"/>
  <c r="G61" i="5"/>
  <c r="H61" i="5"/>
  <c r="I61" i="5"/>
  <c r="J61" i="5"/>
  <c r="L61" i="5"/>
  <c r="M61" i="5"/>
  <c r="N61" i="5"/>
  <c r="AC61" i="5" s="1"/>
  <c r="O61" i="5"/>
  <c r="P61" i="5"/>
  <c r="Q61" i="5"/>
  <c r="R61" i="5"/>
  <c r="S61" i="5"/>
  <c r="T61" i="5"/>
  <c r="U61" i="5"/>
  <c r="V61" i="5"/>
  <c r="W61" i="5"/>
  <c r="X61" i="5"/>
  <c r="B62" i="5"/>
  <c r="C62" i="5"/>
  <c r="D62" i="5"/>
  <c r="E62" i="5"/>
  <c r="F62" i="5"/>
  <c r="G62" i="5"/>
  <c r="H62" i="5"/>
  <c r="I62" i="5"/>
  <c r="J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B63" i="5"/>
  <c r="C63" i="5"/>
  <c r="D63" i="5"/>
  <c r="E63" i="5"/>
  <c r="F63" i="5"/>
  <c r="G63" i="5"/>
  <c r="H63" i="5"/>
  <c r="I63" i="5"/>
  <c r="J63" i="5"/>
  <c r="L63" i="5"/>
  <c r="M63" i="5"/>
  <c r="N63" i="5"/>
  <c r="O63" i="5"/>
  <c r="AC63" i="5" s="1"/>
  <c r="P63" i="5"/>
  <c r="Q63" i="5"/>
  <c r="R63" i="5"/>
  <c r="S63" i="5"/>
  <c r="T63" i="5"/>
  <c r="U63" i="5"/>
  <c r="V63" i="5"/>
  <c r="W63" i="5"/>
  <c r="X63" i="5"/>
  <c r="B64" i="5"/>
  <c r="C64" i="5"/>
  <c r="D64" i="5"/>
  <c r="E64" i="5"/>
  <c r="F64" i="5"/>
  <c r="G64" i="5"/>
  <c r="H64" i="5"/>
  <c r="I64" i="5"/>
  <c r="J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AB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B67" i="5"/>
  <c r="AB67" i="5" s="1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B69" i="5"/>
  <c r="C69" i="5"/>
  <c r="AB69" i="5" s="1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B71" i="5"/>
  <c r="C71" i="5"/>
  <c r="D71" i="5"/>
  <c r="AB71" i="5" s="1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AB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B75" i="5"/>
  <c r="AB75" i="5" s="1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B77" i="5"/>
  <c r="C77" i="5"/>
  <c r="AB77" i="5" s="1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B79" i="5"/>
  <c r="C79" i="5"/>
  <c r="D79" i="5"/>
  <c r="AB79" i="5" s="1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AB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B83" i="5"/>
  <c r="AB83" i="5" s="1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B85" i="5"/>
  <c r="C85" i="5"/>
  <c r="AB85" i="5" s="1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B87" i="5"/>
  <c r="C87" i="5"/>
  <c r="D87" i="5"/>
  <c r="AB87" i="5" s="1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AB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B91" i="5"/>
  <c r="AB91" i="5" s="1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B93" i="5"/>
  <c r="C93" i="5"/>
  <c r="AB93" i="5" s="1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B95" i="5"/>
  <c r="C95" i="5"/>
  <c r="D95" i="5"/>
  <c r="AB95" i="5" s="1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AB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B99" i="5"/>
  <c r="AB99" i="5" s="1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B101" i="5"/>
  <c r="C101" i="5"/>
  <c r="AB101" i="5" s="1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B103" i="5"/>
  <c r="C103" i="5"/>
  <c r="D103" i="5"/>
  <c r="AB103" i="5" s="1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AB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B107" i="5"/>
  <c r="AB107" i="5" s="1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B109" i="5"/>
  <c r="C109" i="5"/>
  <c r="AB109" i="5" s="1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AB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AB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B115" i="5"/>
  <c r="AB115" i="5" s="1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AB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AC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AB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AC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AB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AC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AB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AC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AB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AC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AB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AC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AB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AC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AB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AC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AB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AC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AB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AC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AB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AC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AB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AC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AB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AC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AB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AC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AB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AC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AB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AC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AB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AC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AB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AC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AB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AC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AB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AC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AB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AC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AB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AC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AB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AC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AB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AC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AB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AC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AB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AC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AB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AC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AB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AC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AB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AC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AB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AC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AB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AC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AB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AC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AB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AC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AB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AC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AB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AC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AB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AC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AB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AC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AB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AC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AB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AC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AB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AC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AB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AC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AB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AC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AB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AC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AB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AC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AB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AC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AB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AC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AB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AC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AB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AC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AB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AC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AB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AC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AB217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AC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AB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AC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AB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AC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AB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AC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AB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AC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AB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AC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AB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AC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AB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AC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AB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AC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AB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AC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AB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AC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AB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AC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AB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AC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AB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AC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AB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AC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AB247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AC24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AB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AC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AB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AC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AB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AC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AB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AC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AB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AC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AB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AC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AB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AC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AB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AC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AB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AC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AB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AC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AB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AC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AB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AC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AB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AC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AB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AC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AB277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AC278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AB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AC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AB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AC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AB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AC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AB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AC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AB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AC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AB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AC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AB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AC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AB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AC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AB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AC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AB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AC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AB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AC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AB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AC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AB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AC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AB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AC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AB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AC308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AB30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AC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AB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AC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AB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AC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AB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AC316" i="5"/>
  <c r="B317" i="5"/>
  <c r="C317" i="5"/>
  <c r="D317" i="5"/>
  <c r="E317" i="5"/>
  <c r="F317" i="5"/>
  <c r="G317" i="5"/>
  <c r="H317" i="5"/>
  <c r="I317" i="5"/>
  <c r="AB317" i="5" s="1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AC318" i="5" s="1"/>
  <c r="O318" i="5"/>
  <c r="P318" i="5"/>
  <c r="Q318" i="5"/>
  <c r="R318" i="5"/>
  <c r="S318" i="5"/>
  <c r="T318" i="5"/>
  <c r="U318" i="5"/>
  <c r="V318" i="5"/>
  <c r="W318" i="5"/>
  <c r="X318" i="5"/>
  <c r="B319" i="5"/>
  <c r="AB319" i="5" s="1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AC320" i="5" s="1"/>
  <c r="O320" i="5"/>
  <c r="P320" i="5"/>
  <c r="Q320" i="5"/>
  <c r="R320" i="5"/>
  <c r="S320" i="5"/>
  <c r="T320" i="5"/>
  <c r="U320" i="5"/>
  <c r="V320" i="5"/>
  <c r="W320" i="5"/>
  <c r="X320" i="5"/>
  <c r="B321" i="5"/>
  <c r="AB321" i="5" s="1"/>
  <c r="C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AC322" i="5" s="1"/>
  <c r="O322" i="5"/>
  <c r="P322" i="5"/>
  <c r="Q322" i="5"/>
  <c r="R322" i="5"/>
  <c r="S322" i="5"/>
  <c r="T322" i="5"/>
  <c r="U322" i="5"/>
  <c r="V322" i="5"/>
  <c r="W322" i="5"/>
  <c r="X322" i="5"/>
  <c r="B323" i="5"/>
  <c r="AB323" i="5" s="1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AC324" i="5" s="1"/>
  <c r="O324" i="5"/>
  <c r="P324" i="5"/>
  <c r="Q324" i="5"/>
  <c r="R324" i="5"/>
  <c r="S324" i="5"/>
  <c r="T324" i="5"/>
  <c r="U324" i="5"/>
  <c r="V324" i="5"/>
  <c r="W324" i="5"/>
  <c r="X324" i="5"/>
  <c r="B325" i="5"/>
  <c r="AB325" i="5" s="1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AC326" i="5" s="1"/>
  <c r="O326" i="5"/>
  <c r="P326" i="5"/>
  <c r="Q326" i="5"/>
  <c r="R326" i="5"/>
  <c r="S326" i="5"/>
  <c r="T326" i="5"/>
  <c r="U326" i="5"/>
  <c r="V326" i="5"/>
  <c r="W326" i="5"/>
  <c r="X326" i="5"/>
  <c r="B327" i="5"/>
  <c r="AB327" i="5" s="1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AC328" i="5" s="1"/>
  <c r="O328" i="5"/>
  <c r="P328" i="5"/>
  <c r="Q328" i="5"/>
  <c r="R328" i="5"/>
  <c r="S328" i="5"/>
  <c r="T328" i="5"/>
  <c r="U328" i="5"/>
  <c r="V328" i="5"/>
  <c r="W328" i="5"/>
  <c r="X328" i="5"/>
  <c r="B329" i="5"/>
  <c r="AB329" i="5" s="1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AC330" i="5" s="1"/>
  <c r="O330" i="5"/>
  <c r="P330" i="5"/>
  <c r="Q330" i="5"/>
  <c r="R330" i="5"/>
  <c r="S330" i="5"/>
  <c r="T330" i="5"/>
  <c r="U330" i="5"/>
  <c r="V330" i="5"/>
  <c r="W330" i="5"/>
  <c r="X330" i="5"/>
  <c r="B331" i="5"/>
  <c r="AB331" i="5" s="1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AC332" i="5" s="1"/>
  <c r="O332" i="5"/>
  <c r="P332" i="5"/>
  <c r="Q332" i="5"/>
  <c r="R332" i="5"/>
  <c r="S332" i="5"/>
  <c r="T332" i="5"/>
  <c r="U332" i="5"/>
  <c r="V332" i="5"/>
  <c r="W332" i="5"/>
  <c r="X332" i="5"/>
  <c r="B333" i="5"/>
  <c r="AB333" i="5" s="1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AC334" i="5" s="1"/>
  <c r="O334" i="5"/>
  <c r="P334" i="5"/>
  <c r="Q334" i="5"/>
  <c r="R334" i="5"/>
  <c r="S334" i="5"/>
  <c r="T334" i="5"/>
  <c r="U334" i="5"/>
  <c r="V334" i="5"/>
  <c r="W334" i="5"/>
  <c r="X334" i="5"/>
  <c r="B335" i="5"/>
  <c r="AB335" i="5" s="1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AC336" i="5" s="1"/>
  <c r="O336" i="5"/>
  <c r="P336" i="5"/>
  <c r="Q336" i="5"/>
  <c r="R336" i="5"/>
  <c r="S336" i="5"/>
  <c r="T336" i="5"/>
  <c r="U336" i="5"/>
  <c r="V336" i="5"/>
  <c r="W336" i="5"/>
  <c r="X336" i="5"/>
  <c r="B337" i="5"/>
  <c r="AB337" i="5" s="1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AC338" i="5" s="1"/>
  <c r="O338" i="5"/>
  <c r="P338" i="5"/>
  <c r="Q338" i="5"/>
  <c r="R338" i="5"/>
  <c r="S338" i="5"/>
  <c r="T338" i="5"/>
  <c r="U338" i="5"/>
  <c r="V338" i="5"/>
  <c r="W338" i="5"/>
  <c r="X338" i="5"/>
  <c r="B339" i="5"/>
  <c r="AB339" i="5" s="1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AC340" i="5" s="1"/>
  <c r="O340" i="5"/>
  <c r="P340" i="5"/>
  <c r="Q340" i="5"/>
  <c r="R340" i="5"/>
  <c r="S340" i="5"/>
  <c r="T340" i="5"/>
  <c r="U340" i="5"/>
  <c r="V340" i="5"/>
  <c r="W340" i="5"/>
  <c r="X340" i="5"/>
  <c r="B341" i="5"/>
  <c r="AB341" i="5" s="1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AC342" i="5" s="1"/>
  <c r="O342" i="5"/>
  <c r="P342" i="5"/>
  <c r="Q342" i="5"/>
  <c r="R342" i="5"/>
  <c r="S342" i="5"/>
  <c r="T342" i="5"/>
  <c r="U342" i="5"/>
  <c r="V342" i="5"/>
  <c r="W342" i="5"/>
  <c r="X342" i="5"/>
  <c r="B343" i="5"/>
  <c r="AB343" i="5" s="1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AC344" i="5" s="1"/>
  <c r="O344" i="5"/>
  <c r="P344" i="5"/>
  <c r="Q344" i="5"/>
  <c r="R344" i="5"/>
  <c r="S344" i="5"/>
  <c r="T344" i="5"/>
  <c r="U344" i="5"/>
  <c r="V344" i="5"/>
  <c r="W344" i="5"/>
  <c r="X344" i="5"/>
  <c r="B345" i="5"/>
  <c r="AB345" i="5" s="1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AC346" i="5" s="1"/>
  <c r="O346" i="5"/>
  <c r="P346" i="5"/>
  <c r="Q346" i="5"/>
  <c r="R346" i="5"/>
  <c r="S346" i="5"/>
  <c r="T346" i="5"/>
  <c r="U346" i="5"/>
  <c r="V346" i="5"/>
  <c r="W346" i="5"/>
  <c r="X346" i="5"/>
  <c r="B347" i="5"/>
  <c r="AB347" i="5" s="1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AC348" i="5" s="1"/>
  <c r="O348" i="5"/>
  <c r="P348" i="5"/>
  <c r="Q348" i="5"/>
  <c r="R348" i="5"/>
  <c r="S348" i="5"/>
  <c r="T348" i="5"/>
  <c r="U348" i="5"/>
  <c r="V348" i="5"/>
  <c r="W348" i="5"/>
  <c r="X348" i="5"/>
  <c r="B349" i="5"/>
  <c r="AB349" i="5" s="1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AC350" i="5" s="1"/>
  <c r="O350" i="5"/>
  <c r="P350" i="5"/>
  <c r="Q350" i="5"/>
  <c r="R350" i="5"/>
  <c r="S350" i="5"/>
  <c r="T350" i="5"/>
  <c r="U350" i="5"/>
  <c r="V350" i="5"/>
  <c r="W350" i="5"/>
  <c r="X350" i="5"/>
  <c r="B351" i="5"/>
  <c r="AB351" i="5" s="1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AC352" i="5" s="1"/>
  <c r="O352" i="5"/>
  <c r="P352" i="5"/>
  <c r="Q352" i="5"/>
  <c r="R352" i="5"/>
  <c r="S352" i="5"/>
  <c r="T352" i="5"/>
  <c r="U352" i="5"/>
  <c r="V352" i="5"/>
  <c r="W352" i="5"/>
  <c r="X352" i="5"/>
  <c r="B353" i="5"/>
  <c r="AB353" i="5" s="1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AC354" i="5" s="1"/>
  <c r="O354" i="5"/>
  <c r="P354" i="5"/>
  <c r="Q354" i="5"/>
  <c r="R354" i="5"/>
  <c r="S354" i="5"/>
  <c r="T354" i="5"/>
  <c r="U354" i="5"/>
  <c r="V354" i="5"/>
  <c r="W354" i="5"/>
  <c r="X354" i="5"/>
  <c r="B355" i="5"/>
  <c r="AB355" i="5" s="1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AC356" i="5" s="1"/>
  <c r="O356" i="5"/>
  <c r="P356" i="5"/>
  <c r="Q356" i="5"/>
  <c r="R356" i="5"/>
  <c r="S356" i="5"/>
  <c r="T356" i="5"/>
  <c r="U356" i="5"/>
  <c r="V356" i="5"/>
  <c r="W356" i="5"/>
  <c r="X356" i="5"/>
  <c r="B357" i="5"/>
  <c r="AB357" i="5" s="1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AC358" i="5" s="1"/>
  <c r="O358" i="5"/>
  <c r="P358" i="5"/>
  <c r="Q358" i="5"/>
  <c r="R358" i="5"/>
  <c r="S358" i="5"/>
  <c r="T358" i="5"/>
  <c r="U358" i="5"/>
  <c r="V358" i="5"/>
  <c r="W358" i="5"/>
  <c r="X358" i="5"/>
  <c r="B359" i="5"/>
  <c r="AB359" i="5" s="1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AC360" i="5" s="1"/>
  <c r="O360" i="5"/>
  <c r="P360" i="5"/>
  <c r="Q360" i="5"/>
  <c r="R360" i="5"/>
  <c r="S360" i="5"/>
  <c r="T360" i="5"/>
  <c r="U360" i="5"/>
  <c r="V360" i="5"/>
  <c r="W360" i="5"/>
  <c r="X360" i="5"/>
  <c r="B361" i="5"/>
  <c r="AB361" i="5" s="1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AC362" i="5" s="1"/>
  <c r="O362" i="5"/>
  <c r="P362" i="5"/>
  <c r="Q362" i="5"/>
  <c r="R362" i="5"/>
  <c r="S362" i="5"/>
  <c r="T362" i="5"/>
  <c r="U362" i="5"/>
  <c r="V362" i="5"/>
  <c r="W362" i="5"/>
  <c r="X362" i="5"/>
  <c r="B363" i="5"/>
  <c r="AB363" i="5" s="1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AC364" i="5" s="1"/>
  <c r="O364" i="5"/>
  <c r="P364" i="5"/>
  <c r="Q364" i="5"/>
  <c r="R364" i="5"/>
  <c r="S364" i="5"/>
  <c r="T364" i="5"/>
  <c r="U364" i="5"/>
  <c r="V364" i="5"/>
  <c r="W364" i="5"/>
  <c r="X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AC366" i="5" s="1"/>
  <c r="O366" i="5"/>
  <c r="P366" i="5"/>
  <c r="Q366" i="5"/>
  <c r="R366" i="5"/>
  <c r="S366" i="5"/>
  <c r="T366" i="5"/>
  <c r="U366" i="5"/>
  <c r="V366" i="5"/>
  <c r="W366" i="5"/>
  <c r="X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AC368" i="5" s="1"/>
  <c r="O368" i="5"/>
  <c r="P368" i="5"/>
  <c r="Q368" i="5"/>
  <c r="R368" i="5"/>
  <c r="S368" i="5"/>
  <c r="T368" i="5"/>
  <c r="U368" i="5"/>
  <c r="V368" i="5"/>
  <c r="W368" i="5"/>
  <c r="X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AC370" i="5" s="1"/>
  <c r="O370" i="5"/>
  <c r="P370" i="5"/>
  <c r="Q370" i="5"/>
  <c r="R370" i="5"/>
  <c r="S370" i="5"/>
  <c r="T370" i="5"/>
  <c r="U370" i="5"/>
  <c r="V370" i="5"/>
  <c r="W370" i="5"/>
  <c r="X370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AC372" i="5" s="1"/>
  <c r="O372" i="5"/>
  <c r="P372" i="5"/>
  <c r="Q372" i="5"/>
  <c r="R372" i="5"/>
  <c r="S372" i="5"/>
  <c r="T372" i="5"/>
  <c r="U372" i="5"/>
  <c r="V372" i="5"/>
  <c r="W372" i="5"/>
  <c r="X372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AC374" i="5" s="1"/>
  <c r="O374" i="5"/>
  <c r="P374" i="5"/>
  <c r="Q374" i="5"/>
  <c r="R374" i="5"/>
  <c r="S374" i="5"/>
  <c r="T374" i="5"/>
  <c r="U374" i="5"/>
  <c r="V374" i="5"/>
  <c r="W374" i="5"/>
  <c r="X374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N376" i="5"/>
  <c r="AC376" i="5" s="1"/>
  <c r="O376" i="5"/>
  <c r="P376" i="5"/>
  <c r="Q376" i="5"/>
  <c r="R376" i="5"/>
  <c r="S376" i="5"/>
  <c r="T376" i="5"/>
  <c r="U376" i="5"/>
  <c r="V376" i="5"/>
  <c r="W376" i="5"/>
  <c r="X376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AC378" i="5" s="1"/>
  <c r="O378" i="5"/>
  <c r="P378" i="5"/>
  <c r="Q378" i="5"/>
  <c r="R378" i="5"/>
  <c r="S378" i="5"/>
  <c r="T378" i="5"/>
  <c r="U378" i="5"/>
  <c r="V378" i="5"/>
  <c r="W378" i="5"/>
  <c r="X378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AC380" i="5" s="1"/>
  <c r="O380" i="5"/>
  <c r="P380" i="5"/>
  <c r="Q380" i="5"/>
  <c r="R380" i="5"/>
  <c r="S380" i="5"/>
  <c r="T380" i="5"/>
  <c r="U380" i="5"/>
  <c r="V380" i="5"/>
  <c r="W380" i="5"/>
  <c r="X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AC382" i="5" s="1"/>
  <c r="O382" i="5"/>
  <c r="P382" i="5"/>
  <c r="Q382" i="5"/>
  <c r="R382" i="5"/>
  <c r="S382" i="5"/>
  <c r="T382" i="5"/>
  <c r="U382" i="5"/>
  <c r="V382" i="5"/>
  <c r="W382" i="5"/>
  <c r="X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AC386" i="5" s="1"/>
  <c r="O386" i="5"/>
  <c r="P386" i="5"/>
  <c r="Q386" i="5"/>
  <c r="R386" i="5"/>
  <c r="S386" i="5"/>
  <c r="T386" i="5"/>
  <c r="U386" i="5"/>
  <c r="V386" i="5"/>
  <c r="W386" i="5"/>
  <c r="X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AC390" i="5" s="1"/>
  <c r="O390" i="5"/>
  <c r="P390" i="5"/>
  <c r="Q390" i="5"/>
  <c r="R390" i="5"/>
  <c r="S390" i="5"/>
  <c r="T390" i="5"/>
  <c r="U390" i="5"/>
  <c r="V390" i="5"/>
  <c r="W390" i="5"/>
  <c r="X390" i="5"/>
  <c r="B391" i="5"/>
  <c r="AB391" i="5" s="1"/>
  <c r="C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AC392" i="5" s="1"/>
  <c r="O392" i="5"/>
  <c r="P392" i="5"/>
  <c r="Q392" i="5"/>
  <c r="R392" i="5"/>
  <c r="S392" i="5"/>
  <c r="T392" i="5"/>
  <c r="U392" i="5"/>
  <c r="V392" i="5"/>
  <c r="W392" i="5"/>
  <c r="X392" i="5"/>
  <c r="B393" i="5"/>
  <c r="AB393" i="5" s="1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AC394" i="5" s="1"/>
  <c r="O394" i="5"/>
  <c r="P394" i="5"/>
  <c r="Q394" i="5"/>
  <c r="R394" i="5"/>
  <c r="S394" i="5"/>
  <c r="T394" i="5"/>
  <c r="U394" i="5"/>
  <c r="V394" i="5"/>
  <c r="W394" i="5"/>
  <c r="X394" i="5"/>
  <c r="B395" i="5"/>
  <c r="AB395" i="5" s="1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AC396" i="5" s="1"/>
  <c r="O396" i="5"/>
  <c r="P396" i="5"/>
  <c r="Q396" i="5"/>
  <c r="R396" i="5"/>
  <c r="S396" i="5"/>
  <c r="T396" i="5"/>
  <c r="U396" i="5"/>
  <c r="V396" i="5"/>
  <c r="W396" i="5"/>
  <c r="X396" i="5"/>
  <c r="B397" i="5"/>
  <c r="AB397" i="5" s="1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AB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AC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AC401" i="5" s="1"/>
  <c r="N401" i="5"/>
  <c r="O401" i="5"/>
  <c r="P401" i="5"/>
  <c r="Q401" i="5"/>
  <c r="R401" i="5"/>
  <c r="S401" i="5"/>
  <c r="T401" i="5"/>
  <c r="U401" i="5"/>
  <c r="V401" i="5"/>
  <c r="W401" i="5"/>
  <c r="X401" i="5"/>
  <c r="AB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AC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AC403" i="5" s="1"/>
  <c r="N403" i="5"/>
  <c r="O403" i="5"/>
  <c r="P403" i="5"/>
  <c r="Q403" i="5"/>
  <c r="R403" i="5"/>
  <c r="S403" i="5"/>
  <c r="T403" i="5"/>
  <c r="U403" i="5"/>
  <c r="V403" i="5"/>
  <c r="W403" i="5"/>
  <c r="X403" i="5"/>
  <c r="AB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AC404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AC405" i="5" s="1"/>
  <c r="N405" i="5"/>
  <c r="O405" i="5"/>
  <c r="P405" i="5"/>
  <c r="Q405" i="5"/>
  <c r="R405" i="5"/>
  <c r="S405" i="5"/>
  <c r="T405" i="5"/>
  <c r="U405" i="5"/>
  <c r="V405" i="5"/>
  <c r="W405" i="5"/>
  <c r="X405" i="5"/>
  <c r="AB405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AC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AB407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AC408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AC409" i="5" s="1"/>
  <c r="N409" i="5"/>
  <c r="O409" i="5"/>
  <c r="P409" i="5"/>
  <c r="Q409" i="5"/>
  <c r="R409" i="5"/>
  <c r="S409" i="5"/>
  <c r="T409" i="5"/>
  <c r="U409" i="5"/>
  <c r="V409" i="5"/>
  <c r="W409" i="5"/>
  <c r="X409" i="5"/>
  <c r="AB409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AC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AC411" i="5" s="1"/>
  <c r="N411" i="5"/>
  <c r="O411" i="5"/>
  <c r="P411" i="5"/>
  <c r="Q411" i="5"/>
  <c r="R411" i="5"/>
  <c r="S411" i="5"/>
  <c r="T411" i="5"/>
  <c r="U411" i="5"/>
  <c r="V411" i="5"/>
  <c r="W411" i="5"/>
  <c r="X411" i="5"/>
  <c r="AB411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AC412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AC413" i="5" s="1"/>
  <c r="N413" i="5"/>
  <c r="O413" i="5"/>
  <c r="P413" i="5"/>
  <c r="Q413" i="5"/>
  <c r="R413" i="5"/>
  <c r="S413" i="5"/>
  <c r="T413" i="5"/>
  <c r="U413" i="5"/>
  <c r="V413" i="5"/>
  <c r="W413" i="5"/>
  <c r="X413" i="5"/>
  <c r="AB413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AC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AC415" i="5" s="1"/>
  <c r="N415" i="5"/>
  <c r="O415" i="5"/>
  <c r="P415" i="5"/>
  <c r="Q415" i="5"/>
  <c r="R415" i="5"/>
  <c r="S415" i="5"/>
  <c r="T415" i="5"/>
  <c r="U415" i="5"/>
  <c r="V415" i="5"/>
  <c r="W415" i="5"/>
  <c r="X415" i="5"/>
  <c r="AB415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AC416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AC417" i="5" s="1"/>
  <c r="N417" i="5"/>
  <c r="O417" i="5"/>
  <c r="P417" i="5"/>
  <c r="Q417" i="5"/>
  <c r="R417" i="5"/>
  <c r="S417" i="5"/>
  <c r="T417" i="5"/>
  <c r="U417" i="5"/>
  <c r="V417" i="5"/>
  <c r="W417" i="5"/>
  <c r="X417" i="5"/>
  <c r="AB417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AC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AC419" i="5" s="1"/>
  <c r="N419" i="5"/>
  <c r="O419" i="5"/>
  <c r="P419" i="5"/>
  <c r="Q419" i="5"/>
  <c r="R419" i="5"/>
  <c r="S419" i="5"/>
  <c r="T419" i="5"/>
  <c r="U419" i="5"/>
  <c r="V419" i="5"/>
  <c r="W419" i="5"/>
  <c r="X419" i="5"/>
  <c r="AB419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AC420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AC421" i="5" s="1"/>
  <c r="N421" i="5"/>
  <c r="O421" i="5"/>
  <c r="P421" i="5"/>
  <c r="Q421" i="5"/>
  <c r="R421" i="5"/>
  <c r="S421" i="5"/>
  <c r="T421" i="5"/>
  <c r="U421" i="5"/>
  <c r="V421" i="5"/>
  <c r="W421" i="5"/>
  <c r="X421" i="5"/>
  <c r="AB421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B423" i="5"/>
  <c r="AB423" i="5" s="1"/>
  <c r="C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B424" i="5"/>
  <c r="C424" i="5"/>
  <c r="D424" i="5"/>
  <c r="E424" i="5"/>
  <c r="F424" i="5"/>
  <c r="G424" i="5"/>
  <c r="H424" i="5"/>
  <c r="I424" i="5"/>
  <c r="J424" i="5"/>
  <c r="K424" i="5"/>
  <c r="L424" i="5"/>
  <c r="M424" i="5"/>
  <c r="N424" i="5"/>
  <c r="AC424" i="5" s="1"/>
  <c r="O424" i="5"/>
  <c r="P424" i="5"/>
  <c r="Q424" i="5"/>
  <c r="R424" i="5"/>
  <c r="S424" i="5"/>
  <c r="T424" i="5"/>
  <c r="U424" i="5"/>
  <c r="V424" i="5"/>
  <c r="W424" i="5"/>
  <c r="X424" i="5"/>
  <c r="B425" i="5"/>
  <c r="AB425" i="5" s="1"/>
  <c r="C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B426" i="5"/>
  <c r="C426" i="5"/>
  <c r="D426" i="5"/>
  <c r="E426" i="5"/>
  <c r="F426" i="5"/>
  <c r="G426" i="5"/>
  <c r="H426" i="5"/>
  <c r="I426" i="5"/>
  <c r="J426" i="5"/>
  <c r="K426" i="5"/>
  <c r="L426" i="5"/>
  <c r="M426" i="5"/>
  <c r="N426" i="5"/>
  <c r="AC426" i="5" s="1"/>
  <c r="O426" i="5"/>
  <c r="P426" i="5"/>
  <c r="Q426" i="5"/>
  <c r="R426" i="5"/>
  <c r="S426" i="5"/>
  <c r="T426" i="5"/>
  <c r="U426" i="5"/>
  <c r="V426" i="5"/>
  <c r="W426" i="5"/>
  <c r="X426" i="5"/>
  <c r="B427" i="5"/>
  <c r="AB427" i="5" s="1"/>
  <c r="C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B428" i="5"/>
  <c r="C428" i="5"/>
  <c r="D428" i="5"/>
  <c r="E428" i="5"/>
  <c r="F428" i="5"/>
  <c r="G428" i="5"/>
  <c r="H428" i="5"/>
  <c r="I428" i="5"/>
  <c r="J428" i="5"/>
  <c r="K428" i="5"/>
  <c r="L428" i="5"/>
  <c r="M428" i="5"/>
  <c r="N428" i="5"/>
  <c r="AC428" i="5" s="1"/>
  <c r="O428" i="5"/>
  <c r="P428" i="5"/>
  <c r="Q428" i="5"/>
  <c r="R428" i="5"/>
  <c r="S428" i="5"/>
  <c r="T428" i="5"/>
  <c r="U428" i="5"/>
  <c r="V428" i="5"/>
  <c r="W428" i="5"/>
  <c r="X428" i="5"/>
  <c r="B429" i="5"/>
  <c r="AB429" i="5" s="1"/>
  <c r="C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B430" i="5"/>
  <c r="C430" i="5"/>
  <c r="D430" i="5"/>
  <c r="E430" i="5"/>
  <c r="F430" i="5"/>
  <c r="G430" i="5"/>
  <c r="H430" i="5"/>
  <c r="I430" i="5"/>
  <c r="J430" i="5"/>
  <c r="K430" i="5"/>
  <c r="L430" i="5"/>
  <c r="M430" i="5"/>
  <c r="N430" i="5"/>
  <c r="AC430" i="5" s="1"/>
  <c r="O430" i="5"/>
  <c r="P430" i="5"/>
  <c r="Q430" i="5"/>
  <c r="R430" i="5"/>
  <c r="S430" i="5"/>
  <c r="T430" i="5"/>
  <c r="U430" i="5"/>
  <c r="V430" i="5"/>
  <c r="W430" i="5"/>
  <c r="X430" i="5"/>
  <c r="B431" i="5"/>
  <c r="AB431" i="5" s="1"/>
  <c r="C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N432" i="5"/>
  <c r="AC432" i="5" s="1"/>
  <c r="O432" i="5"/>
  <c r="P432" i="5"/>
  <c r="Q432" i="5"/>
  <c r="R432" i="5"/>
  <c r="S432" i="5"/>
  <c r="T432" i="5"/>
  <c r="U432" i="5"/>
  <c r="V432" i="5"/>
  <c r="W432" i="5"/>
  <c r="X432" i="5"/>
  <c r="B433" i="5"/>
  <c r="AB433" i="5" s="1"/>
  <c r="C433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N434" i="5"/>
  <c r="AC434" i="5" s="1"/>
  <c r="O434" i="5"/>
  <c r="P434" i="5"/>
  <c r="Q434" i="5"/>
  <c r="R434" i="5"/>
  <c r="S434" i="5"/>
  <c r="T434" i="5"/>
  <c r="U434" i="5"/>
  <c r="V434" i="5"/>
  <c r="W434" i="5"/>
  <c r="X434" i="5"/>
  <c r="B435" i="5"/>
  <c r="AB435" i="5" s="1"/>
  <c r="C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N436" i="5"/>
  <c r="AC436" i="5" s="1"/>
  <c r="O436" i="5"/>
  <c r="P436" i="5"/>
  <c r="Q436" i="5"/>
  <c r="R436" i="5"/>
  <c r="S436" i="5"/>
  <c r="T436" i="5"/>
  <c r="U436" i="5"/>
  <c r="V436" i="5"/>
  <c r="W436" i="5"/>
  <c r="X436" i="5"/>
  <c r="B437" i="5"/>
  <c r="AB437" i="5" s="1"/>
  <c r="C437" i="5"/>
  <c r="D437" i="5"/>
  <c r="E437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B438" i="5"/>
  <c r="C438" i="5"/>
  <c r="D438" i="5"/>
  <c r="E438" i="5"/>
  <c r="F438" i="5"/>
  <c r="G438" i="5"/>
  <c r="H438" i="5"/>
  <c r="I438" i="5"/>
  <c r="J438" i="5"/>
  <c r="K438" i="5"/>
  <c r="L438" i="5"/>
  <c r="M438" i="5"/>
  <c r="N438" i="5"/>
  <c r="AC438" i="5" s="1"/>
  <c r="O438" i="5"/>
  <c r="P438" i="5"/>
  <c r="Q438" i="5"/>
  <c r="R438" i="5"/>
  <c r="S438" i="5"/>
  <c r="T438" i="5"/>
  <c r="U438" i="5"/>
  <c r="V438" i="5"/>
  <c r="W438" i="5"/>
  <c r="X438" i="5"/>
  <c r="B439" i="5"/>
  <c r="AB439" i="5" s="1"/>
  <c r="C439" i="5"/>
  <c r="D439" i="5"/>
  <c r="E439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N440" i="5"/>
  <c r="AC440" i="5" s="1"/>
  <c r="O440" i="5"/>
  <c r="P440" i="5"/>
  <c r="Q440" i="5"/>
  <c r="R440" i="5"/>
  <c r="S440" i="5"/>
  <c r="T440" i="5"/>
  <c r="U440" i="5"/>
  <c r="V440" i="5"/>
  <c r="W440" i="5"/>
  <c r="X440" i="5"/>
  <c r="B441" i="5"/>
  <c r="AB441" i="5" s="1"/>
  <c r="C441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N442" i="5"/>
  <c r="AC442" i="5" s="1"/>
  <c r="O442" i="5"/>
  <c r="P442" i="5"/>
  <c r="Q442" i="5"/>
  <c r="R442" i="5"/>
  <c r="S442" i="5"/>
  <c r="T442" i="5"/>
  <c r="U442" i="5"/>
  <c r="V442" i="5"/>
  <c r="W442" i="5"/>
  <c r="X442" i="5"/>
  <c r="B443" i="5"/>
  <c r="AB443" i="5" s="1"/>
  <c r="C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N444" i="5"/>
  <c r="AC444" i="5" s="1"/>
  <c r="O444" i="5"/>
  <c r="P444" i="5"/>
  <c r="Q444" i="5"/>
  <c r="R444" i="5"/>
  <c r="S444" i="5"/>
  <c r="T444" i="5"/>
  <c r="U444" i="5"/>
  <c r="V444" i="5"/>
  <c r="W444" i="5"/>
  <c r="X444" i="5"/>
  <c r="B445" i="5"/>
  <c r="AB445" i="5" s="1"/>
  <c r="C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B447" i="5"/>
  <c r="C447" i="5"/>
  <c r="AB447" i="5" s="1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AC448" i="5" s="1"/>
  <c r="P448" i="5"/>
  <c r="Q448" i="5"/>
  <c r="R448" i="5"/>
  <c r="S448" i="5"/>
  <c r="T448" i="5"/>
  <c r="U448" i="5"/>
  <c r="V448" i="5"/>
  <c r="W448" i="5"/>
  <c r="X448" i="5"/>
  <c r="B449" i="5"/>
  <c r="C449" i="5"/>
  <c r="AB449" i="5" s="1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AC450" i="5" s="1"/>
  <c r="P450" i="5"/>
  <c r="Q450" i="5"/>
  <c r="R450" i="5"/>
  <c r="S450" i="5"/>
  <c r="T450" i="5"/>
  <c r="U450" i="5"/>
  <c r="V450" i="5"/>
  <c r="W450" i="5"/>
  <c r="X450" i="5"/>
  <c r="B451" i="5"/>
  <c r="C451" i="5"/>
  <c r="AB451" i="5" s="1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AC452" i="5" s="1"/>
  <c r="P452" i="5"/>
  <c r="Q452" i="5"/>
  <c r="R452" i="5"/>
  <c r="S452" i="5"/>
  <c r="T452" i="5"/>
  <c r="U452" i="5"/>
  <c r="V452" i="5"/>
  <c r="W452" i="5"/>
  <c r="X452" i="5"/>
  <c r="B453" i="5"/>
  <c r="C453" i="5"/>
  <c r="AB453" i="5" s="1"/>
  <c r="D453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AC454" i="5" s="1"/>
  <c r="P454" i="5"/>
  <c r="Q454" i="5"/>
  <c r="R454" i="5"/>
  <c r="S454" i="5"/>
  <c r="T454" i="5"/>
  <c r="U454" i="5"/>
  <c r="V454" i="5"/>
  <c r="W454" i="5"/>
  <c r="X454" i="5"/>
  <c r="B455" i="5"/>
  <c r="C455" i="5"/>
  <c r="AB455" i="5" s="1"/>
  <c r="D455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AC456" i="5" s="1"/>
  <c r="P456" i="5"/>
  <c r="Q456" i="5"/>
  <c r="R456" i="5"/>
  <c r="S456" i="5"/>
  <c r="T456" i="5"/>
  <c r="U456" i="5"/>
  <c r="V456" i="5"/>
  <c r="W456" i="5"/>
  <c r="X456" i="5"/>
  <c r="B457" i="5"/>
  <c r="C457" i="5"/>
  <c r="AB457" i="5" s="1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AC458" i="5" s="1"/>
  <c r="P458" i="5"/>
  <c r="Q458" i="5"/>
  <c r="R458" i="5"/>
  <c r="S458" i="5"/>
  <c r="T458" i="5"/>
  <c r="U458" i="5"/>
  <c r="V458" i="5"/>
  <c r="W458" i="5"/>
  <c r="X458" i="5"/>
  <c r="B459" i="5"/>
  <c r="C459" i="5"/>
  <c r="AB459" i="5" s="1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AC460" i="5" s="1"/>
  <c r="P460" i="5"/>
  <c r="Q460" i="5"/>
  <c r="R460" i="5"/>
  <c r="S460" i="5"/>
  <c r="T460" i="5"/>
  <c r="U460" i="5"/>
  <c r="V460" i="5"/>
  <c r="W460" i="5"/>
  <c r="X460" i="5"/>
  <c r="B461" i="5"/>
  <c r="C461" i="5"/>
  <c r="AB461" i="5" s="1"/>
  <c r="D461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AC462" i="5" s="1"/>
  <c r="P462" i="5"/>
  <c r="Q462" i="5"/>
  <c r="R462" i="5"/>
  <c r="S462" i="5"/>
  <c r="T462" i="5"/>
  <c r="U462" i="5"/>
  <c r="V462" i="5"/>
  <c r="W462" i="5"/>
  <c r="X462" i="5"/>
  <c r="B463" i="5"/>
  <c r="C463" i="5"/>
  <c r="AB463" i="5" s="1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AC464" i="5" s="1"/>
  <c r="P464" i="5"/>
  <c r="Q464" i="5"/>
  <c r="R464" i="5"/>
  <c r="S464" i="5"/>
  <c r="T464" i="5"/>
  <c r="U464" i="5"/>
  <c r="V464" i="5"/>
  <c r="W464" i="5"/>
  <c r="X464" i="5"/>
  <c r="B465" i="5"/>
  <c r="C465" i="5"/>
  <c r="AB465" i="5" s="1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AC466" i="5" s="1"/>
  <c r="P466" i="5"/>
  <c r="Q466" i="5"/>
  <c r="R466" i="5"/>
  <c r="S466" i="5"/>
  <c r="T466" i="5"/>
  <c r="U466" i="5"/>
  <c r="V466" i="5"/>
  <c r="W466" i="5"/>
  <c r="X466" i="5"/>
  <c r="B467" i="5"/>
  <c r="C467" i="5"/>
  <c r="AB467" i="5" s="1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AC468" i="5" s="1"/>
  <c r="P468" i="5"/>
  <c r="Q468" i="5"/>
  <c r="R468" i="5"/>
  <c r="S468" i="5"/>
  <c r="T468" i="5"/>
  <c r="U468" i="5"/>
  <c r="V468" i="5"/>
  <c r="W468" i="5"/>
  <c r="X468" i="5"/>
  <c r="B469" i="5"/>
  <c r="C469" i="5"/>
  <c r="AB469" i="5" s="1"/>
  <c r="D469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B471" i="5"/>
  <c r="C471" i="5"/>
  <c r="D471" i="5"/>
  <c r="AB471" i="5" s="1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N472" i="5"/>
  <c r="AC472" i="5" s="1"/>
  <c r="O472" i="5"/>
  <c r="P472" i="5"/>
  <c r="Q472" i="5"/>
  <c r="R472" i="5"/>
  <c r="S472" i="5"/>
  <c r="T472" i="5"/>
  <c r="U472" i="5"/>
  <c r="V472" i="5"/>
  <c r="W472" i="5"/>
  <c r="X472" i="5"/>
  <c r="B473" i="5"/>
  <c r="C473" i="5"/>
  <c r="D473" i="5"/>
  <c r="AB473" i="5" s="1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N474" i="5"/>
  <c r="AC474" i="5" s="1"/>
  <c r="O474" i="5"/>
  <c r="P474" i="5"/>
  <c r="Q474" i="5"/>
  <c r="R474" i="5"/>
  <c r="S474" i="5"/>
  <c r="T474" i="5"/>
  <c r="U474" i="5"/>
  <c r="V474" i="5"/>
  <c r="W474" i="5"/>
  <c r="X474" i="5"/>
  <c r="B475" i="5"/>
  <c r="C475" i="5"/>
  <c r="D475" i="5"/>
  <c r="AB475" i="5" s="1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N476" i="5"/>
  <c r="AC476" i="5" s="1"/>
  <c r="O476" i="5"/>
  <c r="P476" i="5"/>
  <c r="Q476" i="5"/>
  <c r="R476" i="5"/>
  <c r="S476" i="5"/>
  <c r="T476" i="5"/>
  <c r="U476" i="5"/>
  <c r="V476" i="5"/>
  <c r="W476" i="5"/>
  <c r="X476" i="5"/>
  <c r="B477" i="5"/>
  <c r="C477" i="5"/>
  <c r="D477" i="5"/>
  <c r="AB477" i="5" s="1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N478" i="5"/>
  <c r="AC478" i="5" s="1"/>
  <c r="O478" i="5"/>
  <c r="P478" i="5"/>
  <c r="Q478" i="5"/>
  <c r="R478" i="5"/>
  <c r="S478" i="5"/>
  <c r="T478" i="5"/>
  <c r="U478" i="5"/>
  <c r="V478" i="5"/>
  <c r="W478" i="5"/>
  <c r="X478" i="5"/>
  <c r="B479" i="5"/>
  <c r="C479" i="5"/>
  <c r="D479" i="5"/>
  <c r="AB479" i="5" s="1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N480" i="5"/>
  <c r="AC480" i="5" s="1"/>
  <c r="O480" i="5"/>
  <c r="P480" i="5"/>
  <c r="Q480" i="5"/>
  <c r="R480" i="5"/>
  <c r="S480" i="5"/>
  <c r="T480" i="5"/>
  <c r="U480" i="5"/>
  <c r="V480" i="5"/>
  <c r="W480" i="5"/>
  <c r="X480" i="5"/>
  <c r="B481" i="5"/>
  <c r="C481" i="5"/>
  <c r="D481" i="5"/>
  <c r="AB481" i="5" s="1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N482" i="5"/>
  <c r="AC482" i="5" s="1"/>
  <c r="O482" i="5"/>
  <c r="P482" i="5"/>
  <c r="Q482" i="5"/>
  <c r="R482" i="5"/>
  <c r="S482" i="5"/>
  <c r="T482" i="5"/>
  <c r="U482" i="5"/>
  <c r="V482" i="5"/>
  <c r="W482" i="5"/>
  <c r="X482" i="5"/>
  <c r="B483" i="5"/>
  <c r="C483" i="5"/>
  <c r="D483" i="5"/>
  <c r="AB483" i="5" s="1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AC484" i="5" s="1"/>
  <c r="Q484" i="5"/>
  <c r="R484" i="5"/>
  <c r="S484" i="5"/>
  <c r="T484" i="5"/>
  <c r="U484" i="5"/>
  <c r="V484" i="5"/>
  <c r="W484" i="5"/>
  <c r="X484" i="5"/>
  <c r="B485" i="5"/>
  <c r="C485" i="5"/>
  <c r="D485" i="5"/>
  <c r="AB485" i="5" s="1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AC486" i="5" s="1"/>
  <c r="Q486" i="5"/>
  <c r="R486" i="5"/>
  <c r="S486" i="5"/>
  <c r="T486" i="5"/>
  <c r="U486" i="5"/>
  <c r="V486" i="5"/>
  <c r="W486" i="5"/>
  <c r="X486" i="5"/>
  <c r="B487" i="5"/>
  <c r="C487" i="5"/>
  <c r="D487" i="5"/>
  <c r="AB487" i="5" s="1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AC488" i="5" s="1"/>
  <c r="Q488" i="5"/>
  <c r="R488" i="5"/>
  <c r="S488" i="5"/>
  <c r="T488" i="5"/>
  <c r="U488" i="5"/>
  <c r="V488" i="5"/>
  <c r="W488" i="5"/>
  <c r="X488" i="5"/>
  <c r="B489" i="5"/>
  <c r="C489" i="5"/>
  <c r="D489" i="5"/>
  <c r="AB489" i="5" s="1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AC490" i="5" s="1"/>
  <c r="Q490" i="5"/>
  <c r="R490" i="5"/>
  <c r="S490" i="5"/>
  <c r="T490" i="5"/>
  <c r="U490" i="5"/>
  <c r="V490" i="5"/>
  <c r="W490" i="5"/>
  <c r="X490" i="5"/>
  <c r="B491" i="5"/>
  <c r="C491" i="5"/>
  <c r="D491" i="5"/>
  <c r="AB491" i="5" s="1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AC492" i="5" s="1"/>
  <c r="Q492" i="5"/>
  <c r="R492" i="5"/>
  <c r="S492" i="5"/>
  <c r="T492" i="5"/>
  <c r="U492" i="5"/>
  <c r="V492" i="5"/>
  <c r="W492" i="5"/>
  <c r="X492" i="5"/>
  <c r="B493" i="5"/>
  <c r="C493" i="5"/>
  <c r="D493" i="5"/>
  <c r="AB493" i="5" s="1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AC495" i="5" s="1"/>
  <c r="N495" i="5"/>
  <c r="O495" i="5"/>
  <c r="P495" i="5"/>
  <c r="Q495" i="5"/>
  <c r="R495" i="5"/>
  <c r="S495" i="5"/>
  <c r="T495" i="5"/>
  <c r="U495" i="5"/>
  <c r="V495" i="5"/>
  <c r="W495" i="5"/>
  <c r="X495" i="5"/>
  <c r="AB495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AC496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AC497" i="5" s="1"/>
  <c r="N497" i="5"/>
  <c r="O497" i="5"/>
  <c r="P497" i="5"/>
  <c r="Q497" i="5"/>
  <c r="R497" i="5"/>
  <c r="S497" i="5"/>
  <c r="T497" i="5"/>
  <c r="U497" i="5"/>
  <c r="V497" i="5"/>
  <c r="W497" i="5"/>
  <c r="X497" i="5"/>
  <c r="AB497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AC498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AB499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AC500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AC501" i="5" s="1"/>
  <c r="N501" i="5"/>
  <c r="O501" i="5"/>
  <c r="P501" i="5"/>
  <c r="Q501" i="5"/>
  <c r="R501" i="5"/>
  <c r="S501" i="5"/>
  <c r="T501" i="5"/>
  <c r="U501" i="5"/>
  <c r="V501" i="5"/>
  <c r="W501" i="5"/>
  <c r="X501" i="5"/>
  <c r="AB501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AC502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AC503" i="5" s="1"/>
  <c r="N503" i="5"/>
  <c r="O503" i="5"/>
  <c r="P503" i="5"/>
  <c r="Q503" i="5"/>
  <c r="R503" i="5"/>
  <c r="S503" i="5"/>
  <c r="T503" i="5"/>
  <c r="U503" i="5"/>
  <c r="V503" i="5"/>
  <c r="W503" i="5"/>
  <c r="X503" i="5"/>
  <c r="AB503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AC504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AC505" i="5" s="1"/>
  <c r="N505" i="5"/>
  <c r="O505" i="5"/>
  <c r="P505" i="5"/>
  <c r="Q505" i="5"/>
  <c r="R505" i="5"/>
  <c r="S505" i="5"/>
  <c r="T505" i="5"/>
  <c r="U505" i="5"/>
  <c r="V505" i="5"/>
  <c r="W505" i="5"/>
  <c r="X505" i="5"/>
  <c r="AB505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AC506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AC507" i="5" s="1"/>
  <c r="N507" i="5"/>
  <c r="O507" i="5"/>
  <c r="P507" i="5"/>
  <c r="Q507" i="5"/>
  <c r="R507" i="5"/>
  <c r="S507" i="5"/>
  <c r="T507" i="5"/>
  <c r="U507" i="5"/>
  <c r="V507" i="5"/>
  <c r="W507" i="5"/>
  <c r="X507" i="5"/>
  <c r="AB507" i="5"/>
  <c r="B508" i="5"/>
  <c r="C508" i="5"/>
  <c r="D508" i="5"/>
  <c r="E508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B509" i="5"/>
  <c r="AB509" i="5" s="1"/>
  <c r="C509" i="5"/>
  <c r="D509" i="5"/>
  <c r="E509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B511" i="5"/>
  <c r="C511" i="5"/>
  <c r="AB511" i="5" s="1"/>
  <c r="D511" i="5"/>
  <c r="E511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B513" i="5"/>
  <c r="C513" i="5"/>
  <c r="D513" i="5"/>
  <c r="AB513" i="5" s="1"/>
  <c r="E513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N514" i="5"/>
  <c r="O514" i="5"/>
  <c r="P514" i="5"/>
  <c r="AC514" i="5" s="1"/>
  <c r="Q514" i="5"/>
  <c r="R514" i="5"/>
  <c r="S514" i="5"/>
  <c r="T514" i="5"/>
  <c r="U514" i="5"/>
  <c r="V514" i="5"/>
  <c r="W514" i="5"/>
  <c r="X514" i="5"/>
  <c r="B515" i="5"/>
  <c r="C515" i="5"/>
  <c r="D515" i="5"/>
  <c r="AB515" i="5" s="1"/>
  <c r="E515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N516" i="5"/>
  <c r="O516" i="5"/>
  <c r="P516" i="5"/>
  <c r="AC516" i="5" s="1"/>
  <c r="Q516" i="5"/>
  <c r="R516" i="5"/>
  <c r="S516" i="5"/>
  <c r="T516" i="5"/>
  <c r="U516" i="5"/>
  <c r="V516" i="5"/>
  <c r="W516" i="5"/>
  <c r="X516" i="5"/>
  <c r="B517" i="5"/>
  <c r="C517" i="5"/>
  <c r="D517" i="5"/>
  <c r="AB517" i="5" s="1"/>
  <c r="E517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N518" i="5"/>
  <c r="O518" i="5"/>
  <c r="P518" i="5"/>
  <c r="AC518" i="5" s="1"/>
  <c r="Q518" i="5"/>
  <c r="R518" i="5"/>
  <c r="S518" i="5"/>
  <c r="T518" i="5"/>
  <c r="U518" i="5"/>
  <c r="V518" i="5"/>
  <c r="W518" i="5"/>
  <c r="X518" i="5"/>
  <c r="B519" i="5"/>
  <c r="C519" i="5"/>
  <c r="D519" i="5"/>
  <c r="AB519" i="5" s="1"/>
  <c r="E519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N520" i="5"/>
  <c r="O520" i="5"/>
  <c r="P520" i="5"/>
  <c r="AC520" i="5" s="1"/>
  <c r="Q520" i="5"/>
  <c r="R520" i="5"/>
  <c r="S520" i="5"/>
  <c r="T520" i="5"/>
  <c r="U520" i="5"/>
  <c r="V520" i="5"/>
  <c r="W520" i="5"/>
  <c r="X520" i="5"/>
  <c r="B521" i="5"/>
  <c r="C521" i="5"/>
  <c r="D521" i="5"/>
  <c r="AB521" i="5" s="1"/>
  <c r="E521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N522" i="5"/>
  <c r="O522" i="5"/>
  <c r="P522" i="5"/>
  <c r="AC522" i="5" s="1"/>
  <c r="Q522" i="5"/>
  <c r="R522" i="5"/>
  <c r="S522" i="5"/>
  <c r="T522" i="5"/>
  <c r="U522" i="5"/>
  <c r="V522" i="5"/>
  <c r="W522" i="5"/>
  <c r="X522" i="5"/>
  <c r="B523" i="5"/>
  <c r="C523" i="5"/>
  <c r="D523" i="5"/>
  <c r="AB523" i="5" s="1"/>
  <c r="E523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N524" i="5"/>
  <c r="O524" i="5"/>
  <c r="P524" i="5"/>
  <c r="AC524" i="5" s="1"/>
  <c r="Q524" i="5"/>
  <c r="R524" i="5"/>
  <c r="S524" i="5"/>
  <c r="T524" i="5"/>
  <c r="U524" i="5"/>
  <c r="V524" i="5"/>
  <c r="W524" i="5"/>
  <c r="X524" i="5"/>
  <c r="B525" i="5"/>
  <c r="C525" i="5"/>
  <c r="D525" i="5"/>
  <c r="AB525" i="5" s="1"/>
  <c r="E525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N526" i="5"/>
  <c r="O526" i="5"/>
  <c r="P526" i="5"/>
  <c r="AC526" i="5" s="1"/>
  <c r="Q526" i="5"/>
  <c r="R526" i="5"/>
  <c r="S526" i="5"/>
  <c r="T526" i="5"/>
  <c r="U526" i="5"/>
  <c r="V526" i="5"/>
  <c r="W526" i="5"/>
  <c r="X526" i="5"/>
  <c r="B527" i="5"/>
  <c r="C527" i="5"/>
  <c r="D527" i="5"/>
  <c r="AB527" i="5" s="1"/>
  <c r="E527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N528" i="5"/>
  <c r="O528" i="5"/>
  <c r="P528" i="5"/>
  <c r="AC528" i="5" s="1"/>
  <c r="Q528" i="5"/>
  <c r="R528" i="5"/>
  <c r="S528" i="5"/>
  <c r="T528" i="5"/>
  <c r="U528" i="5"/>
  <c r="V528" i="5"/>
  <c r="W528" i="5"/>
  <c r="X528" i="5"/>
  <c r="B529" i="5"/>
  <c r="C529" i="5"/>
  <c r="D529" i="5"/>
  <c r="AB529" i="5" s="1"/>
  <c r="E529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N530" i="5"/>
  <c r="O530" i="5"/>
  <c r="P530" i="5"/>
  <c r="AC530" i="5" s="1"/>
  <c r="Q530" i="5"/>
  <c r="R530" i="5"/>
  <c r="S530" i="5"/>
  <c r="T530" i="5"/>
  <c r="U530" i="5"/>
  <c r="V530" i="5"/>
  <c r="W530" i="5"/>
  <c r="X530" i="5"/>
  <c r="B531" i="5"/>
  <c r="C531" i="5"/>
  <c r="D531" i="5"/>
  <c r="AB531" i="5" s="1"/>
  <c r="E531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N532" i="5"/>
  <c r="O532" i="5"/>
  <c r="P532" i="5"/>
  <c r="AC532" i="5" s="1"/>
  <c r="Q532" i="5"/>
  <c r="R532" i="5"/>
  <c r="S532" i="5"/>
  <c r="T532" i="5"/>
  <c r="U532" i="5"/>
  <c r="V532" i="5"/>
  <c r="W532" i="5"/>
  <c r="X532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N534" i="5"/>
  <c r="O534" i="5"/>
  <c r="P534" i="5"/>
  <c r="AC534" i="5" s="1"/>
  <c r="Q534" i="5"/>
  <c r="R534" i="5"/>
  <c r="S534" i="5"/>
  <c r="T534" i="5"/>
  <c r="U534" i="5"/>
  <c r="V534" i="5"/>
  <c r="W534" i="5"/>
  <c r="X534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AC535" i="5" s="1"/>
  <c r="N535" i="5"/>
  <c r="O535" i="5"/>
  <c r="P535" i="5"/>
  <c r="Q535" i="5"/>
  <c r="R535" i="5"/>
  <c r="S535" i="5"/>
  <c r="T535" i="5"/>
  <c r="U535" i="5"/>
  <c r="V535" i="5"/>
  <c r="W535" i="5"/>
  <c r="X535" i="5"/>
  <c r="AB535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AC536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AC537" i="5" s="1"/>
  <c r="N537" i="5"/>
  <c r="O537" i="5"/>
  <c r="P537" i="5"/>
  <c r="Q537" i="5"/>
  <c r="R537" i="5"/>
  <c r="S537" i="5"/>
  <c r="T537" i="5"/>
  <c r="U537" i="5"/>
  <c r="V537" i="5"/>
  <c r="W537" i="5"/>
  <c r="X537" i="5"/>
  <c r="AB537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AC538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AC539" i="5" s="1"/>
  <c r="N539" i="5"/>
  <c r="O539" i="5"/>
  <c r="P539" i="5"/>
  <c r="Q539" i="5"/>
  <c r="R539" i="5"/>
  <c r="S539" i="5"/>
  <c r="T539" i="5"/>
  <c r="U539" i="5"/>
  <c r="V539" i="5"/>
  <c r="W539" i="5"/>
  <c r="X539" i="5"/>
  <c r="AB539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AC540" i="5"/>
  <c r="B541" i="5"/>
  <c r="C541" i="5"/>
  <c r="D541" i="5"/>
  <c r="E541" i="5"/>
  <c r="F541" i="5"/>
  <c r="G541" i="5"/>
  <c r="H541" i="5"/>
  <c r="I541" i="5"/>
  <c r="J541" i="5"/>
  <c r="K541" i="5"/>
  <c r="L541" i="5"/>
  <c r="M541" i="5"/>
  <c r="AC541" i="5" s="1"/>
  <c r="N541" i="5"/>
  <c r="O541" i="5"/>
  <c r="P541" i="5"/>
  <c r="Q541" i="5"/>
  <c r="R541" i="5"/>
  <c r="S541" i="5"/>
  <c r="T541" i="5"/>
  <c r="U541" i="5"/>
  <c r="V541" i="5"/>
  <c r="W541" i="5"/>
  <c r="X541" i="5"/>
  <c r="AB541" i="5"/>
  <c r="B542" i="5"/>
  <c r="C542" i="5"/>
  <c r="D542" i="5"/>
  <c r="E542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AC542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AC543" i="5" s="1"/>
  <c r="N543" i="5"/>
  <c r="O543" i="5"/>
  <c r="P543" i="5"/>
  <c r="Q543" i="5"/>
  <c r="R543" i="5"/>
  <c r="S543" i="5"/>
  <c r="T543" i="5"/>
  <c r="U543" i="5"/>
  <c r="V543" i="5"/>
  <c r="W543" i="5"/>
  <c r="X543" i="5"/>
  <c r="AB543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AC544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AC545" i="5" s="1"/>
  <c r="N545" i="5"/>
  <c r="O545" i="5"/>
  <c r="P545" i="5"/>
  <c r="Q545" i="5"/>
  <c r="R545" i="5"/>
  <c r="S545" i="5"/>
  <c r="T545" i="5"/>
  <c r="U545" i="5"/>
  <c r="V545" i="5"/>
  <c r="W545" i="5"/>
  <c r="X545" i="5"/>
  <c r="AB545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AC546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AC547" i="5" s="1"/>
  <c r="N547" i="5"/>
  <c r="O547" i="5"/>
  <c r="P547" i="5"/>
  <c r="Q547" i="5"/>
  <c r="R547" i="5"/>
  <c r="S547" i="5"/>
  <c r="T547" i="5"/>
  <c r="U547" i="5"/>
  <c r="V547" i="5"/>
  <c r="W547" i="5"/>
  <c r="X547" i="5"/>
  <c r="AB547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AC548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AC549" i="5" s="1"/>
  <c r="N549" i="5"/>
  <c r="O549" i="5"/>
  <c r="P549" i="5"/>
  <c r="Q549" i="5"/>
  <c r="R549" i="5"/>
  <c r="S549" i="5"/>
  <c r="T549" i="5"/>
  <c r="U549" i="5"/>
  <c r="V549" i="5"/>
  <c r="W549" i="5"/>
  <c r="X549" i="5"/>
  <c r="AB549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AC550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AC551" i="5" s="1"/>
  <c r="N551" i="5"/>
  <c r="O551" i="5"/>
  <c r="P551" i="5"/>
  <c r="Q551" i="5"/>
  <c r="R551" i="5"/>
  <c r="S551" i="5"/>
  <c r="T551" i="5"/>
  <c r="U551" i="5"/>
  <c r="V551" i="5"/>
  <c r="W551" i="5"/>
  <c r="X551" i="5"/>
  <c r="AB551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AC552" i="5"/>
  <c r="B553" i="5"/>
  <c r="C553" i="5"/>
  <c r="D553" i="5"/>
  <c r="E553" i="5"/>
  <c r="F553" i="5"/>
  <c r="G553" i="5"/>
  <c r="H553" i="5"/>
  <c r="I553" i="5"/>
  <c r="J553" i="5"/>
  <c r="K553" i="5"/>
  <c r="L553" i="5"/>
  <c r="M553" i="5"/>
  <c r="AC553" i="5" s="1"/>
  <c r="N553" i="5"/>
  <c r="O553" i="5"/>
  <c r="P553" i="5"/>
  <c r="Q553" i="5"/>
  <c r="R553" i="5"/>
  <c r="S553" i="5"/>
  <c r="T553" i="5"/>
  <c r="U553" i="5"/>
  <c r="V553" i="5"/>
  <c r="W553" i="5"/>
  <c r="X553" i="5"/>
  <c r="AB553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AC554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AC555" i="5" s="1"/>
  <c r="N555" i="5"/>
  <c r="O555" i="5"/>
  <c r="P555" i="5"/>
  <c r="Q555" i="5"/>
  <c r="R555" i="5"/>
  <c r="S555" i="5"/>
  <c r="T555" i="5"/>
  <c r="U555" i="5"/>
  <c r="V555" i="5"/>
  <c r="W555" i="5"/>
  <c r="X555" i="5"/>
  <c r="AB555" i="5"/>
  <c r="B556" i="5"/>
  <c r="C556" i="5"/>
  <c r="D556" i="5"/>
  <c r="E556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AC556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AC557" i="5" s="1"/>
  <c r="N557" i="5"/>
  <c r="O557" i="5"/>
  <c r="P557" i="5"/>
  <c r="Q557" i="5"/>
  <c r="R557" i="5"/>
  <c r="S557" i="5"/>
  <c r="T557" i="5"/>
  <c r="U557" i="5"/>
  <c r="V557" i="5"/>
  <c r="W557" i="5"/>
  <c r="X557" i="5"/>
  <c r="AB557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AC558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AC559" i="5" s="1"/>
  <c r="N559" i="5"/>
  <c r="O559" i="5"/>
  <c r="P559" i="5"/>
  <c r="Q559" i="5"/>
  <c r="R559" i="5"/>
  <c r="S559" i="5"/>
  <c r="T559" i="5"/>
  <c r="U559" i="5"/>
  <c r="V559" i="5"/>
  <c r="W559" i="5"/>
  <c r="X559" i="5"/>
  <c r="AB559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AC560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AC561" i="5" s="1"/>
  <c r="N561" i="5"/>
  <c r="O561" i="5"/>
  <c r="P561" i="5"/>
  <c r="Q561" i="5"/>
  <c r="R561" i="5"/>
  <c r="S561" i="5"/>
  <c r="T561" i="5"/>
  <c r="U561" i="5"/>
  <c r="V561" i="5"/>
  <c r="W561" i="5"/>
  <c r="X561" i="5"/>
  <c r="AB561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AC562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AC563" i="5" s="1"/>
  <c r="N563" i="5"/>
  <c r="O563" i="5"/>
  <c r="P563" i="5"/>
  <c r="Q563" i="5"/>
  <c r="R563" i="5"/>
  <c r="S563" i="5"/>
  <c r="T563" i="5"/>
  <c r="U563" i="5"/>
  <c r="V563" i="5"/>
  <c r="W563" i="5"/>
  <c r="X563" i="5"/>
  <c r="AB563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AC564" i="5"/>
  <c r="B565" i="5"/>
  <c r="C565" i="5"/>
  <c r="D565" i="5"/>
  <c r="E565" i="5"/>
  <c r="F565" i="5"/>
  <c r="G565" i="5"/>
  <c r="H565" i="5"/>
  <c r="I565" i="5"/>
  <c r="J565" i="5"/>
  <c r="K565" i="5"/>
  <c r="L565" i="5"/>
  <c r="M565" i="5"/>
  <c r="AC565" i="5" s="1"/>
  <c r="N565" i="5"/>
  <c r="O565" i="5"/>
  <c r="P565" i="5"/>
  <c r="Q565" i="5"/>
  <c r="R565" i="5"/>
  <c r="S565" i="5"/>
  <c r="T565" i="5"/>
  <c r="U565" i="5"/>
  <c r="V565" i="5"/>
  <c r="W565" i="5"/>
  <c r="X565" i="5"/>
  <c r="AB565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AC566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AC567" i="5" s="1"/>
  <c r="N567" i="5"/>
  <c r="O567" i="5"/>
  <c r="P567" i="5"/>
  <c r="Q567" i="5"/>
  <c r="R567" i="5"/>
  <c r="S567" i="5"/>
  <c r="T567" i="5"/>
  <c r="U567" i="5"/>
  <c r="V567" i="5"/>
  <c r="W567" i="5"/>
  <c r="X567" i="5"/>
  <c r="AB567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AC568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AC569" i="5" s="1"/>
  <c r="N569" i="5"/>
  <c r="O569" i="5"/>
  <c r="P569" i="5"/>
  <c r="Q569" i="5"/>
  <c r="R569" i="5"/>
  <c r="S569" i="5"/>
  <c r="T569" i="5"/>
  <c r="U569" i="5"/>
  <c r="V569" i="5"/>
  <c r="W569" i="5"/>
  <c r="X569" i="5"/>
  <c r="AB569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AC570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AC571" i="5" s="1"/>
  <c r="N571" i="5"/>
  <c r="O571" i="5"/>
  <c r="P571" i="5"/>
  <c r="Q571" i="5"/>
  <c r="R571" i="5"/>
  <c r="S571" i="5"/>
  <c r="T571" i="5"/>
  <c r="U571" i="5"/>
  <c r="V571" i="5"/>
  <c r="W571" i="5"/>
  <c r="X571" i="5"/>
  <c r="AB571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AC572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AC573" i="5" s="1"/>
  <c r="N573" i="5"/>
  <c r="O573" i="5"/>
  <c r="P573" i="5"/>
  <c r="Q573" i="5"/>
  <c r="R573" i="5"/>
  <c r="S573" i="5"/>
  <c r="T573" i="5"/>
  <c r="U573" i="5"/>
  <c r="V573" i="5"/>
  <c r="W573" i="5"/>
  <c r="X573" i="5"/>
  <c r="AB573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AC574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AC575" i="5" s="1"/>
  <c r="N575" i="5"/>
  <c r="O575" i="5"/>
  <c r="P575" i="5"/>
  <c r="Q575" i="5"/>
  <c r="R575" i="5"/>
  <c r="S575" i="5"/>
  <c r="T575" i="5"/>
  <c r="U575" i="5"/>
  <c r="V575" i="5"/>
  <c r="W575" i="5"/>
  <c r="X575" i="5"/>
  <c r="AB575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AC576" i="5"/>
  <c r="B577" i="5"/>
  <c r="C577" i="5"/>
  <c r="D577" i="5"/>
  <c r="E577" i="5"/>
  <c r="F577" i="5"/>
  <c r="G577" i="5"/>
  <c r="H577" i="5"/>
  <c r="I577" i="5"/>
  <c r="J577" i="5"/>
  <c r="K577" i="5"/>
  <c r="L577" i="5"/>
  <c r="M577" i="5"/>
  <c r="AC577" i="5" s="1"/>
  <c r="N577" i="5"/>
  <c r="O577" i="5"/>
  <c r="P577" i="5"/>
  <c r="Q577" i="5"/>
  <c r="R577" i="5"/>
  <c r="S577" i="5"/>
  <c r="T577" i="5"/>
  <c r="U577" i="5"/>
  <c r="V577" i="5"/>
  <c r="W577" i="5"/>
  <c r="X577" i="5"/>
  <c r="AB577" i="5"/>
  <c r="B578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AC578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AB579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AC580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AC581" i="5" s="1"/>
  <c r="N581" i="5"/>
  <c r="O581" i="5"/>
  <c r="P581" i="5"/>
  <c r="Q581" i="5"/>
  <c r="R581" i="5"/>
  <c r="S581" i="5"/>
  <c r="T581" i="5"/>
  <c r="U581" i="5"/>
  <c r="V581" i="5"/>
  <c r="W581" i="5"/>
  <c r="X581" i="5"/>
  <c r="AB581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AC582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AC583" i="5" s="1"/>
  <c r="N583" i="5"/>
  <c r="O583" i="5"/>
  <c r="P583" i="5"/>
  <c r="Q583" i="5"/>
  <c r="R583" i="5"/>
  <c r="S583" i="5"/>
  <c r="T583" i="5"/>
  <c r="U583" i="5"/>
  <c r="V583" i="5"/>
  <c r="W583" i="5"/>
  <c r="X583" i="5"/>
  <c r="AB583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AC584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AC585" i="5" s="1"/>
  <c r="N585" i="5"/>
  <c r="O585" i="5"/>
  <c r="P585" i="5"/>
  <c r="Q585" i="5"/>
  <c r="R585" i="5"/>
  <c r="S585" i="5"/>
  <c r="T585" i="5"/>
  <c r="U585" i="5"/>
  <c r="V585" i="5"/>
  <c r="W585" i="5"/>
  <c r="X585" i="5"/>
  <c r="AB585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AC586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AC587" i="5" s="1"/>
  <c r="N587" i="5"/>
  <c r="O587" i="5"/>
  <c r="P587" i="5"/>
  <c r="Q587" i="5"/>
  <c r="R587" i="5"/>
  <c r="S587" i="5"/>
  <c r="T587" i="5"/>
  <c r="U587" i="5"/>
  <c r="V587" i="5"/>
  <c r="W587" i="5"/>
  <c r="X587" i="5"/>
  <c r="AB587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AC588" i="5"/>
  <c r="B589" i="5"/>
  <c r="C589" i="5"/>
  <c r="D589" i="5"/>
  <c r="E589" i="5"/>
  <c r="F589" i="5"/>
  <c r="G589" i="5"/>
  <c r="H589" i="5"/>
  <c r="I589" i="5"/>
  <c r="J589" i="5"/>
  <c r="K589" i="5"/>
  <c r="L589" i="5"/>
  <c r="M589" i="5"/>
  <c r="AC589" i="5" s="1"/>
  <c r="N589" i="5"/>
  <c r="O589" i="5"/>
  <c r="P589" i="5"/>
  <c r="Q589" i="5"/>
  <c r="R589" i="5"/>
  <c r="S589" i="5"/>
  <c r="T589" i="5"/>
  <c r="U589" i="5"/>
  <c r="V589" i="5"/>
  <c r="W589" i="5"/>
  <c r="X589" i="5"/>
  <c r="AB589" i="5"/>
  <c r="B590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AC590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AC591" i="5" s="1"/>
  <c r="N591" i="5"/>
  <c r="O591" i="5"/>
  <c r="P591" i="5"/>
  <c r="Q591" i="5"/>
  <c r="R591" i="5"/>
  <c r="S591" i="5"/>
  <c r="T591" i="5"/>
  <c r="U591" i="5"/>
  <c r="V591" i="5"/>
  <c r="W591" i="5"/>
  <c r="X591" i="5"/>
  <c r="AB591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AC592" i="5"/>
  <c r="B593" i="5"/>
  <c r="C593" i="5"/>
  <c r="D593" i="5"/>
  <c r="E593" i="5"/>
  <c r="F593" i="5"/>
  <c r="G593" i="5"/>
  <c r="H593" i="5"/>
  <c r="I593" i="5"/>
  <c r="J593" i="5"/>
  <c r="K593" i="5"/>
  <c r="L593" i="5"/>
  <c r="M593" i="5"/>
  <c r="AC593" i="5" s="1"/>
  <c r="N593" i="5"/>
  <c r="O593" i="5"/>
  <c r="P593" i="5"/>
  <c r="Q593" i="5"/>
  <c r="R593" i="5"/>
  <c r="S593" i="5"/>
  <c r="T593" i="5"/>
  <c r="U593" i="5"/>
  <c r="V593" i="5"/>
  <c r="W593" i="5"/>
  <c r="X593" i="5"/>
  <c r="AB593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AC594" i="5"/>
  <c r="B595" i="5"/>
  <c r="C595" i="5"/>
  <c r="D595" i="5"/>
  <c r="E595" i="5"/>
  <c r="F595" i="5"/>
  <c r="G595" i="5"/>
  <c r="H595" i="5"/>
  <c r="I595" i="5"/>
  <c r="J595" i="5"/>
  <c r="K595" i="5"/>
  <c r="L595" i="5"/>
  <c r="M595" i="5"/>
  <c r="AC595" i="5" s="1"/>
  <c r="N595" i="5"/>
  <c r="O595" i="5"/>
  <c r="P595" i="5"/>
  <c r="Q595" i="5"/>
  <c r="R595" i="5"/>
  <c r="S595" i="5"/>
  <c r="T595" i="5"/>
  <c r="U595" i="5"/>
  <c r="V595" i="5"/>
  <c r="W595" i="5"/>
  <c r="X595" i="5"/>
  <c r="AB595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AC596" i="5"/>
  <c r="B597" i="5"/>
  <c r="C597" i="5"/>
  <c r="D597" i="5"/>
  <c r="E597" i="5"/>
  <c r="F597" i="5"/>
  <c r="G597" i="5"/>
  <c r="H597" i="5"/>
  <c r="I597" i="5"/>
  <c r="J597" i="5"/>
  <c r="K597" i="5"/>
  <c r="L597" i="5"/>
  <c r="M597" i="5"/>
  <c r="AC597" i="5" s="1"/>
  <c r="N597" i="5"/>
  <c r="O597" i="5"/>
  <c r="P597" i="5"/>
  <c r="Q597" i="5"/>
  <c r="R597" i="5"/>
  <c r="S597" i="5"/>
  <c r="T597" i="5"/>
  <c r="U597" i="5"/>
  <c r="V597" i="5"/>
  <c r="W597" i="5"/>
  <c r="X597" i="5"/>
  <c r="AB597" i="5"/>
  <c r="B598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AC598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AC599" i="5" s="1"/>
  <c r="N599" i="5"/>
  <c r="O599" i="5"/>
  <c r="P599" i="5"/>
  <c r="Q599" i="5"/>
  <c r="R599" i="5"/>
  <c r="S599" i="5"/>
  <c r="T599" i="5"/>
  <c r="U599" i="5"/>
  <c r="V599" i="5"/>
  <c r="W599" i="5"/>
  <c r="X599" i="5"/>
  <c r="AB599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AC600" i="5"/>
  <c r="E602" i="5"/>
  <c r="I602" i="5"/>
  <c r="N602" i="5"/>
  <c r="R602" i="5"/>
  <c r="V602" i="5"/>
  <c r="Y602" i="5"/>
  <c r="AA602" i="5"/>
  <c r="B603" i="5"/>
  <c r="F603" i="5"/>
  <c r="J603" i="5"/>
  <c r="O603" i="5"/>
  <c r="S603" i="5"/>
  <c r="W603" i="5"/>
  <c r="X603" i="5"/>
  <c r="Y603" i="5"/>
  <c r="AA603" i="5"/>
  <c r="B604" i="5"/>
  <c r="C604" i="5"/>
  <c r="D604" i="5"/>
  <c r="E604" i="5"/>
  <c r="F604" i="5"/>
  <c r="G604" i="5"/>
  <c r="H604" i="5"/>
  <c r="I604" i="5"/>
  <c r="J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B605" i="5"/>
  <c r="C605" i="5"/>
  <c r="D605" i="5"/>
  <c r="E605" i="5"/>
  <c r="F605" i="5"/>
  <c r="G605" i="5"/>
  <c r="H605" i="5"/>
  <c r="I605" i="5"/>
  <c r="J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C606" i="5"/>
  <c r="G606" i="5"/>
  <c r="K606" i="5"/>
  <c r="M606" i="5"/>
  <c r="O606" i="5"/>
  <c r="Q606" i="5"/>
  <c r="S606" i="5"/>
  <c r="U606" i="5"/>
  <c r="W606" i="5"/>
  <c r="B607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C608" i="5"/>
  <c r="E608" i="5"/>
  <c r="G608" i="5"/>
  <c r="I608" i="5"/>
  <c r="K608" i="5"/>
  <c r="M608" i="5"/>
  <c r="O608" i="5"/>
  <c r="Q608" i="5"/>
  <c r="S608" i="5"/>
  <c r="U608" i="5"/>
  <c r="W608" i="5"/>
  <c r="B609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C610" i="5"/>
  <c r="E610" i="5"/>
  <c r="G610" i="5"/>
  <c r="I610" i="5"/>
  <c r="K610" i="5"/>
  <c r="M610" i="5"/>
  <c r="O610" i="5"/>
  <c r="Q610" i="5"/>
  <c r="S610" i="5"/>
  <c r="U610" i="5"/>
  <c r="W610" i="5"/>
  <c r="B611" i="5"/>
  <c r="D611" i="5"/>
  <c r="F611" i="5"/>
  <c r="H611" i="5"/>
  <c r="J611" i="5"/>
  <c r="L611" i="5"/>
  <c r="N611" i="5"/>
  <c r="P611" i="5"/>
  <c r="R611" i="5"/>
  <c r="T611" i="5"/>
  <c r="V611" i="5"/>
  <c r="X611" i="5"/>
  <c r="B612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B613" i="5"/>
  <c r="D613" i="5"/>
  <c r="F613" i="5"/>
  <c r="H613" i="5"/>
  <c r="J613" i="5"/>
  <c r="L613" i="5"/>
  <c r="N613" i="5"/>
  <c r="P613" i="5"/>
  <c r="R613" i="5"/>
  <c r="T613" i="5"/>
  <c r="V613" i="5"/>
  <c r="X613" i="5"/>
  <c r="B614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B615" i="5"/>
  <c r="D615" i="5"/>
  <c r="F615" i="5"/>
  <c r="H615" i="5"/>
  <c r="J615" i="5"/>
  <c r="L615" i="5"/>
  <c r="N615" i="5"/>
  <c r="P615" i="5"/>
  <c r="R615" i="5"/>
  <c r="T615" i="5"/>
  <c r="V615" i="5"/>
  <c r="X615" i="5"/>
  <c r="B616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B617" i="5"/>
  <c r="D617" i="5"/>
  <c r="F617" i="5"/>
  <c r="H617" i="5"/>
  <c r="J617" i="5"/>
  <c r="L617" i="5"/>
  <c r="N617" i="5"/>
  <c r="P617" i="5"/>
  <c r="R617" i="5"/>
  <c r="T617" i="5"/>
  <c r="V617" i="5"/>
  <c r="X617" i="5"/>
  <c r="B618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B619" i="5"/>
  <c r="D619" i="5"/>
  <c r="F619" i="5"/>
  <c r="H619" i="5"/>
  <c r="J619" i="5"/>
  <c r="L619" i="5"/>
  <c r="N619" i="5"/>
  <c r="P619" i="5"/>
  <c r="R619" i="5"/>
  <c r="T619" i="5"/>
  <c r="V619" i="5"/>
  <c r="X619" i="5"/>
  <c r="B620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B621" i="5"/>
  <c r="D621" i="5"/>
  <c r="F621" i="5"/>
  <c r="H621" i="5"/>
  <c r="J621" i="5"/>
  <c r="L621" i="5"/>
  <c r="N621" i="5"/>
  <c r="P621" i="5"/>
  <c r="R621" i="5"/>
  <c r="T621" i="5"/>
  <c r="V621" i="5"/>
  <c r="X621" i="5"/>
  <c r="B622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B623" i="5"/>
  <c r="D623" i="5"/>
  <c r="F623" i="5"/>
  <c r="H623" i="5"/>
  <c r="J623" i="5"/>
  <c r="L623" i="5"/>
  <c r="N623" i="5"/>
  <c r="P623" i="5"/>
  <c r="R623" i="5"/>
  <c r="T623" i="5"/>
  <c r="V623" i="5"/>
  <c r="X623" i="5"/>
  <c r="B624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B625" i="5"/>
  <c r="D625" i="5"/>
  <c r="F625" i="5"/>
  <c r="H625" i="5"/>
  <c r="J625" i="5"/>
  <c r="L625" i="5"/>
  <c r="N625" i="5"/>
  <c r="P625" i="5"/>
  <c r="R625" i="5"/>
  <c r="T625" i="5"/>
  <c r="V625" i="5"/>
  <c r="X625" i="5"/>
  <c r="B626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A627" i="5"/>
  <c r="B627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A628" i="5"/>
  <c r="B628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A629" i="5"/>
  <c r="B629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A630" i="5"/>
  <c r="B630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A631" i="5"/>
  <c r="B631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A632" i="5"/>
  <c r="B632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A633" i="5"/>
  <c r="B633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A634" i="5"/>
  <c r="B634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A635" i="5"/>
  <c r="B635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A636" i="5"/>
  <c r="B636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A637" i="5"/>
  <c r="B637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A638" i="5"/>
  <c r="B638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A639" i="5"/>
  <c r="B639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A640" i="5"/>
  <c r="B640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A641" i="5"/>
  <c r="B641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A642" i="5"/>
  <c r="B642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A643" i="5"/>
  <c r="B643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A644" i="5"/>
  <c r="B644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A645" i="5"/>
  <c r="B645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A646" i="5"/>
  <c r="B646" i="5"/>
  <c r="C646" i="5"/>
  <c r="D646" i="5"/>
  <c r="E646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A647" i="5"/>
  <c r="B647" i="5"/>
  <c r="C647" i="5"/>
  <c r="D647" i="5"/>
  <c r="E647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A648" i="5"/>
  <c r="B648" i="5"/>
  <c r="C648" i="5"/>
  <c r="D648" i="5"/>
  <c r="E648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A649" i="5"/>
  <c r="B649" i="5"/>
  <c r="C649" i="5"/>
  <c r="D649" i="5"/>
  <c r="E649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A650" i="5"/>
  <c r="B650" i="5"/>
  <c r="C650" i="5"/>
  <c r="D650" i="5"/>
  <c r="E650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E9" i="4"/>
  <c r="J12" i="4"/>
  <c r="J13" i="4"/>
  <c r="J601" i="4" s="1"/>
  <c r="J14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I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I19" i="4"/>
  <c r="J19" i="4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B24" i="4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I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I27" i="4"/>
  <c r="J27" i="4"/>
  <c r="B28" i="4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I29" i="4"/>
  <c r="J29" i="4"/>
  <c r="B30" i="4"/>
  <c r="C30" i="4"/>
  <c r="D30" i="4"/>
  <c r="E30" i="4"/>
  <c r="F30" i="4"/>
  <c r="G30" i="4"/>
  <c r="H30" i="4"/>
  <c r="I30" i="4"/>
  <c r="J30" i="4"/>
  <c r="B31" i="4"/>
  <c r="C31" i="4"/>
  <c r="D31" i="4"/>
  <c r="E31" i="4"/>
  <c r="F31" i="4"/>
  <c r="G31" i="4"/>
  <c r="H31" i="4"/>
  <c r="I31" i="4"/>
  <c r="J31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I33" i="4"/>
  <c r="J33" i="4"/>
  <c r="B34" i="4"/>
  <c r="C34" i="4"/>
  <c r="D34" i="4"/>
  <c r="E34" i="4"/>
  <c r="F34" i="4"/>
  <c r="G34" i="4"/>
  <c r="H34" i="4"/>
  <c r="I34" i="4"/>
  <c r="J34" i="4"/>
  <c r="B35" i="4"/>
  <c r="C35" i="4"/>
  <c r="D35" i="4"/>
  <c r="E35" i="4"/>
  <c r="F35" i="4"/>
  <c r="G35" i="4"/>
  <c r="H35" i="4"/>
  <c r="I35" i="4"/>
  <c r="J35" i="4"/>
  <c r="B36" i="4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I37" i="4"/>
  <c r="J37" i="4"/>
  <c r="J603" i="4" s="1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I39" i="4"/>
  <c r="J39" i="4"/>
  <c r="B40" i="4"/>
  <c r="C40" i="4"/>
  <c r="D40" i="4"/>
  <c r="E40" i="4"/>
  <c r="F40" i="4"/>
  <c r="G40" i="4"/>
  <c r="H40" i="4"/>
  <c r="I40" i="4"/>
  <c r="J40" i="4"/>
  <c r="B41" i="4"/>
  <c r="C41" i="4"/>
  <c r="D41" i="4"/>
  <c r="E41" i="4"/>
  <c r="F41" i="4"/>
  <c r="G41" i="4"/>
  <c r="H41" i="4"/>
  <c r="I41" i="4"/>
  <c r="J41" i="4"/>
  <c r="B42" i="4"/>
  <c r="C42" i="4"/>
  <c r="D42" i="4"/>
  <c r="E42" i="4"/>
  <c r="F42" i="4"/>
  <c r="G42" i="4"/>
  <c r="H42" i="4"/>
  <c r="I42" i="4"/>
  <c r="J42" i="4"/>
  <c r="B43" i="4"/>
  <c r="C43" i="4"/>
  <c r="D43" i="4"/>
  <c r="E43" i="4"/>
  <c r="F43" i="4"/>
  <c r="G43" i="4"/>
  <c r="H43" i="4"/>
  <c r="I43" i="4"/>
  <c r="J43" i="4"/>
  <c r="B44" i="4"/>
  <c r="C44" i="4"/>
  <c r="D44" i="4"/>
  <c r="E44" i="4"/>
  <c r="F44" i="4"/>
  <c r="G44" i="4"/>
  <c r="H44" i="4"/>
  <c r="I44" i="4"/>
  <c r="J44" i="4"/>
  <c r="B45" i="4"/>
  <c r="C45" i="4"/>
  <c r="D45" i="4"/>
  <c r="E45" i="4"/>
  <c r="F45" i="4"/>
  <c r="G45" i="4"/>
  <c r="H45" i="4"/>
  <c r="I45" i="4"/>
  <c r="J45" i="4"/>
  <c r="B46" i="4"/>
  <c r="C46" i="4"/>
  <c r="D46" i="4"/>
  <c r="E46" i="4"/>
  <c r="F46" i="4"/>
  <c r="G46" i="4"/>
  <c r="H46" i="4"/>
  <c r="I46" i="4"/>
  <c r="J46" i="4"/>
  <c r="B47" i="4"/>
  <c r="C47" i="4"/>
  <c r="D47" i="4"/>
  <c r="E47" i="4"/>
  <c r="F47" i="4"/>
  <c r="G47" i="4"/>
  <c r="H47" i="4"/>
  <c r="I47" i="4"/>
  <c r="J47" i="4"/>
  <c r="B48" i="4"/>
  <c r="C48" i="4"/>
  <c r="D48" i="4"/>
  <c r="E48" i="4"/>
  <c r="F48" i="4"/>
  <c r="G48" i="4"/>
  <c r="H48" i="4"/>
  <c r="I48" i="4"/>
  <c r="J48" i="4"/>
  <c r="B49" i="4"/>
  <c r="C49" i="4"/>
  <c r="D49" i="4"/>
  <c r="E49" i="4"/>
  <c r="F49" i="4"/>
  <c r="G49" i="4"/>
  <c r="H49" i="4"/>
  <c r="I49" i="4"/>
  <c r="J49" i="4"/>
  <c r="B50" i="4"/>
  <c r="C50" i="4"/>
  <c r="D50" i="4"/>
  <c r="E50" i="4"/>
  <c r="F50" i="4"/>
  <c r="G50" i="4"/>
  <c r="H50" i="4"/>
  <c r="I50" i="4"/>
  <c r="J50" i="4"/>
  <c r="B51" i="4"/>
  <c r="C51" i="4"/>
  <c r="D51" i="4"/>
  <c r="E51" i="4"/>
  <c r="F51" i="4"/>
  <c r="G51" i="4"/>
  <c r="H51" i="4"/>
  <c r="I51" i="4"/>
  <c r="J51" i="4"/>
  <c r="B52" i="4"/>
  <c r="C52" i="4"/>
  <c r="D52" i="4"/>
  <c r="E52" i="4"/>
  <c r="F52" i="4"/>
  <c r="G52" i="4"/>
  <c r="H52" i="4"/>
  <c r="I52" i="4"/>
  <c r="J52" i="4"/>
  <c r="B53" i="4"/>
  <c r="C53" i="4"/>
  <c r="D53" i="4"/>
  <c r="E53" i="4"/>
  <c r="F53" i="4"/>
  <c r="G53" i="4"/>
  <c r="H53" i="4"/>
  <c r="I53" i="4"/>
  <c r="J53" i="4"/>
  <c r="B54" i="4"/>
  <c r="C54" i="4"/>
  <c r="D54" i="4"/>
  <c r="E54" i="4"/>
  <c r="F54" i="4"/>
  <c r="G54" i="4"/>
  <c r="H54" i="4"/>
  <c r="I54" i="4"/>
  <c r="J54" i="4"/>
  <c r="B55" i="4"/>
  <c r="C55" i="4"/>
  <c r="D55" i="4"/>
  <c r="E55" i="4"/>
  <c r="F55" i="4"/>
  <c r="G55" i="4"/>
  <c r="H55" i="4"/>
  <c r="I55" i="4"/>
  <c r="J55" i="4"/>
  <c r="B56" i="4"/>
  <c r="C56" i="4"/>
  <c r="D56" i="4"/>
  <c r="E56" i="4"/>
  <c r="F56" i="4"/>
  <c r="G56" i="4"/>
  <c r="H56" i="4"/>
  <c r="I56" i="4"/>
  <c r="J56" i="4"/>
  <c r="B57" i="4"/>
  <c r="C57" i="4"/>
  <c r="D57" i="4"/>
  <c r="E57" i="4"/>
  <c r="F57" i="4"/>
  <c r="G57" i="4"/>
  <c r="H57" i="4"/>
  <c r="I57" i="4"/>
  <c r="J57" i="4"/>
  <c r="B58" i="4"/>
  <c r="C58" i="4"/>
  <c r="D58" i="4"/>
  <c r="E58" i="4"/>
  <c r="F58" i="4"/>
  <c r="G58" i="4"/>
  <c r="H58" i="4"/>
  <c r="I58" i="4"/>
  <c r="J58" i="4"/>
  <c r="B59" i="4"/>
  <c r="C59" i="4"/>
  <c r="D59" i="4"/>
  <c r="E59" i="4"/>
  <c r="F59" i="4"/>
  <c r="G59" i="4"/>
  <c r="H59" i="4"/>
  <c r="I59" i="4"/>
  <c r="J59" i="4"/>
  <c r="B60" i="4"/>
  <c r="C60" i="4"/>
  <c r="D60" i="4"/>
  <c r="E60" i="4"/>
  <c r="F60" i="4"/>
  <c r="G60" i="4"/>
  <c r="H60" i="4"/>
  <c r="I60" i="4"/>
  <c r="J60" i="4"/>
  <c r="B61" i="4"/>
  <c r="C61" i="4"/>
  <c r="D61" i="4"/>
  <c r="E61" i="4"/>
  <c r="F61" i="4"/>
  <c r="G61" i="4"/>
  <c r="H61" i="4"/>
  <c r="I61" i="4"/>
  <c r="J61" i="4"/>
  <c r="J605" i="4" s="1"/>
  <c r="B62" i="4"/>
  <c r="C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I63" i="4"/>
  <c r="J63" i="4"/>
  <c r="B64" i="4"/>
  <c r="C64" i="4"/>
  <c r="D64" i="4"/>
  <c r="E64" i="4"/>
  <c r="F64" i="4"/>
  <c r="G64" i="4"/>
  <c r="H64" i="4"/>
  <c r="I64" i="4"/>
  <c r="J64" i="4"/>
  <c r="B65" i="4"/>
  <c r="C65" i="4"/>
  <c r="D65" i="4"/>
  <c r="E65" i="4"/>
  <c r="F65" i="4"/>
  <c r="G65" i="4"/>
  <c r="H65" i="4"/>
  <c r="I65" i="4"/>
  <c r="J65" i="4"/>
  <c r="B66" i="4"/>
  <c r="C66" i="4"/>
  <c r="D66" i="4"/>
  <c r="E66" i="4"/>
  <c r="F66" i="4"/>
  <c r="G66" i="4"/>
  <c r="H66" i="4"/>
  <c r="I66" i="4"/>
  <c r="J66" i="4"/>
  <c r="B67" i="4"/>
  <c r="C67" i="4"/>
  <c r="D67" i="4"/>
  <c r="E67" i="4"/>
  <c r="F67" i="4"/>
  <c r="G67" i="4"/>
  <c r="H67" i="4"/>
  <c r="I67" i="4"/>
  <c r="J67" i="4"/>
  <c r="B68" i="4"/>
  <c r="C68" i="4"/>
  <c r="D68" i="4"/>
  <c r="E68" i="4"/>
  <c r="F68" i="4"/>
  <c r="G68" i="4"/>
  <c r="H68" i="4"/>
  <c r="I68" i="4"/>
  <c r="J68" i="4"/>
  <c r="B69" i="4"/>
  <c r="C69" i="4"/>
  <c r="D69" i="4"/>
  <c r="E69" i="4"/>
  <c r="F69" i="4"/>
  <c r="G69" i="4"/>
  <c r="H69" i="4"/>
  <c r="I69" i="4"/>
  <c r="J69" i="4"/>
  <c r="B70" i="4"/>
  <c r="C70" i="4"/>
  <c r="D70" i="4"/>
  <c r="E70" i="4"/>
  <c r="F70" i="4"/>
  <c r="G70" i="4"/>
  <c r="H70" i="4"/>
  <c r="I70" i="4"/>
  <c r="J70" i="4"/>
  <c r="B71" i="4"/>
  <c r="C71" i="4"/>
  <c r="D71" i="4"/>
  <c r="E71" i="4"/>
  <c r="F71" i="4"/>
  <c r="G71" i="4"/>
  <c r="H71" i="4"/>
  <c r="I71" i="4"/>
  <c r="J71" i="4"/>
  <c r="B72" i="4"/>
  <c r="C72" i="4"/>
  <c r="D72" i="4"/>
  <c r="E72" i="4"/>
  <c r="F72" i="4"/>
  <c r="G72" i="4"/>
  <c r="H72" i="4"/>
  <c r="I72" i="4"/>
  <c r="J72" i="4"/>
  <c r="B73" i="4"/>
  <c r="C73" i="4"/>
  <c r="D73" i="4"/>
  <c r="E73" i="4"/>
  <c r="F73" i="4"/>
  <c r="G73" i="4"/>
  <c r="H73" i="4"/>
  <c r="I73" i="4"/>
  <c r="J73" i="4"/>
  <c r="B74" i="4"/>
  <c r="C74" i="4"/>
  <c r="D74" i="4"/>
  <c r="E74" i="4"/>
  <c r="F74" i="4"/>
  <c r="G74" i="4"/>
  <c r="H74" i="4"/>
  <c r="I74" i="4"/>
  <c r="J74" i="4"/>
  <c r="B75" i="4"/>
  <c r="C75" i="4"/>
  <c r="D75" i="4"/>
  <c r="E75" i="4"/>
  <c r="F75" i="4"/>
  <c r="G75" i="4"/>
  <c r="H75" i="4"/>
  <c r="I75" i="4"/>
  <c r="J75" i="4"/>
  <c r="B76" i="4"/>
  <c r="C76" i="4"/>
  <c r="D76" i="4"/>
  <c r="E76" i="4"/>
  <c r="F76" i="4"/>
  <c r="G76" i="4"/>
  <c r="H76" i="4"/>
  <c r="I76" i="4"/>
  <c r="J76" i="4"/>
  <c r="B77" i="4"/>
  <c r="C77" i="4"/>
  <c r="D77" i="4"/>
  <c r="E77" i="4"/>
  <c r="F77" i="4"/>
  <c r="G77" i="4"/>
  <c r="H77" i="4"/>
  <c r="I77" i="4"/>
  <c r="J77" i="4"/>
  <c r="B78" i="4"/>
  <c r="C78" i="4"/>
  <c r="D78" i="4"/>
  <c r="E78" i="4"/>
  <c r="F78" i="4"/>
  <c r="G78" i="4"/>
  <c r="H78" i="4"/>
  <c r="I78" i="4"/>
  <c r="J78" i="4"/>
  <c r="B79" i="4"/>
  <c r="C79" i="4"/>
  <c r="D79" i="4"/>
  <c r="E79" i="4"/>
  <c r="F79" i="4"/>
  <c r="G79" i="4"/>
  <c r="H79" i="4"/>
  <c r="I79" i="4"/>
  <c r="J79" i="4"/>
  <c r="B80" i="4"/>
  <c r="C80" i="4"/>
  <c r="D80" i="4"/>
  <c r="E80" i="4"/>
  <c r="F80" i="4"/>
  <c r="G80" i="4"/>
  <c r="H80" i="4"/>
  <c r="I80" i="4"/>
  <c r="J80" i="4"/>
  <c r="B81" i="4"/>
  <c r="C81" i="4"/>
  <c r="D81" i="4"/>
  <c r="E81" i="4"/>
  <c r="F81" i="4"/>
  <c r="G81" i="4"/>
  <c r="H81" i="4"/>
  <c r="I81" i="4"/>
  <c r="J81" i="4"/>
  <c r="B82" i="4"/>
  <c r="C82" i="4"/>
  <c r="D82" i="4"/>
  <c r="E82" i="4"/>
  <c r="F82" i="4"/>
  <c r="G82" i="4"/>
  <c r="H82" i="4"/>
  <c r="I82" i="4"/>
  <c r="J82" i="4"/>
  <c r="B83" i="4"/>
  <c r="C83" i="4"/>
  <c r="D83" i="4"/>
  <c r="E83" i="4"/>
  <c r="F83" i="4"/>
  <c r="G83" i="4"/>
  <c r="H83" i="4"/>
  <c r="I83" i="4"/>
  <c r="J83" i="4"/>
  <c r="B84" i="4"/>
  <c r="C84" i="4"/>
  <c r="D84" i="4"/>
  <c r="E84" i="4"/>
  <c r="F84" i="4"/>
  <c r="G84" i="4"/>
  <c r="H84" i="4"/>
  <c r="I84" i="4"/>
  <c r="J84" i="4"/>
  <c r="B85" i="4"/>
  <c r="C85" i="4"/>
  <c r="D85" i="4"/>
  <c r="E85" i="4"/>
  <c r="F85" i="4"/>
  <c r="G85" i="4"/>
  <c r="H85" i="4"/>
  <c r="I85" i="4"/>
  <c r="J85" i="4"/>
  <c r="J607" i="4" s="1"/>
  <c r="B86" i="4"/>
  <c r="C86" i="4"/>
  <c r="D86" i="4"/>
  <c r="E86" i="4"/>
  <c r="F86" i="4"/>
  <c r="G86" i="4"/>
  <c r="H86" i="4"/>
  <c r="I86" i="4"/>
  <c r="J86" i="4"/>
  <c r="B87" i="4"/>
  <c r="C87" i="4"/>
  <c r="D87" i="4"/>
  <c r="E87" i="4"/>
  <c r="F87" i="4"/>
  <c r="G87" i="4"/>
  <c r="H87" i="4"/>
  <c r="I87" i="4"/>
  <c r="J87" i="4"/>
  <c r="B88" i="4"/>
  <c r="C88" i="4"/>
  <c r="D88" i="4"/>
  <c r="E88" i="4"/>
  <c r="F88" i="4"/>
  <c r="G88" i="4"/>
  <c r="H88" i="4"/>
  <c r="I88" i="4"/>
  <c r="J88" i="4"/>
  <c r="B89" i="4"/>
  <c r="C89" i="4"/>
  <c r="D89" i="4"/>
  <c r="E89" i="4"/>
  <c r="F89" i="4"/>
  <c r="G89" i="4"/>
  <c r="H89" i="4"/>
  <c r="I89" i="4"/>
  <c r="J89" i="4"/>
  <c r="B90" i="4"/>
  <c r="C90" i="4"/>
  <c r="D90" i="4"/>
  <c r="E90" i="4"/>
  <c r="F90" i="4"/>
  <c r="G90" i="4"/>
  <c r="H90" i="4"/>
  <c r="I90" i="4"/>
  <c r="J90" i="4"/>
  <c r="B91" i="4"/>
  <c r="C91" i="4"/>
  <c r="D91" i="4"/>
  <c r="E91" i="4"/>
  <c r="F91" i="4"/>
  <c r="G91" i="4"/>
  <c r="H91" i="4"/>
  <c r="I91" i="4"/>
  <c r="J91" i="4"/>
  <c r="B92" i="4"/>
  <c r="C92" i="4"/>
  <c r="D92" i="4"/>
  <c r="E92" i="4"/>
  <c r="F92" i="4"/>
  <c r="G92" i="4"/>
  <c r="H92" i="4"/>
  <c r="I92" i="4"/>
  <c r="J92" i="4"/>
  <c r="B93" i="4"/>
  <c r="C93" i="4"/>
  <c r="D93" i="4"/>
  <c r="E93" i="4"/>
  <c r="F93" i="4"/>
  <c r="G93" i="4"/>
  <c r="H93" i="4"/>
  <c r="I93" i="4"/>
  <c r="J93" i="4"/>
  <c r="B94" i="4"/>
  <c r="C94" i="4"/>
  <c r="D94" i="4"/>
  <c r="E94" i="4"/>
  <c r="F94" i="4"/>
  <c r="G94" i="4"/>
  <c r="H94" i="4"/>
  <c r="I94" i="4"/>
  <c r="J94" i="4"/>
  <c r="B95" i="4"/>
  <c r="C95" i="4"/>
  <c r="D95" i="4"/>
  <c r="E95" i="4"/>
  <c r="F95" i="4"/>
  <c r="G95" i="4"/>
  <c r="H95" i="4"/>
  <c r="I95" i="4"/>
  <c r="J95" i="4"/>
  <c r="B96" i="4"/>
  <c r="C96" i="4"/>
  <c r="D96" i="4"/>
  <c r="E96" i="4"/>
  <c r="F96" i="4"/>
  <c r="G96" i="4"/>
  <c r="H96" i="4"/>
  <c r="I96" i="4"/>
  <c r="J96" i="4"/>
  <c r="B97" i="4"/>
  <c r="C97" i="4"/>
  <c r="D97" i="4"/>
  <c r="E97" i="4"/>
  <c r="F97" i="4"/>
  <c r="G97" i="4"/>
  <c r="H97" i="4"/>
  <c r="I97" i="4"/>
  <c r="J97" i="4"/>
  <c r="B98" i="4"/>
  <c r="C98" i="4"/>
  <c r="D98" i="4"/>
  <c r="E98" i="4"/>
  <c r="F98" i="4"/>
  <c r="G98" i="4"/>
  <c r="H98" i="4"/>
  <c r="I98" i="4"/>
  <c r="J98" i="4"/>
  <c r="B99" i="4"/>
  <c r="C99" i="4"/>
  <c r="D99" i="4"/>
  <c r="E99" i="4"/>
  <c r="F99" i="4"/>
  <c r="G99" i="4"/>
  <c r="H99" i="4"/>
  <c r="I99" i="4"/>
  <c r="J99" i="4"/>
  <c r="B100" i="4"/>
  <c r="C100" i="4"/>
  <c r="D100" i="4"/>
  <c r="E100" i="4"/>
  <c r="F100" i="4"/>
  <c r="G100" i="4"/>
  <c r="H100" i="4"/>
  <c r="I100" i="4"/>
  <c r="J100" i="4"/>
  <c r="B101" i="4"/>
  <c r="C101" i="4"/>
  <c r="D101" i="4"/>
  <c r="E101" i="4"/>
  <c r="F101" i="4"/>
  <c r="G101" i="4"/>
  <c r="H101" i="4"/>
  <c r="I101" i="4"/>
  <c r="J101" i="4"/>
  <c r="B102" i="4"/>
  <c r="C102" i="4"/>
  <c r="D102" i="4"/>
  <c r="E102" i="4"/>
  <c r="F102" i="4"/>
  <c r="G102" i="4"/>
  <c r="H102" i="4"/>
  <c r="I102" i="4"/>
  <c r="J102" i="4"/>
  <c r="B103" i="4"/>
  <c r="C103" i="4"/>
  <c r="D103" i="4"/>
  <c r="E103" i="4"/>
  <c r="F103" i="4"/>
  <c r="G103" i="4"/>
  <c r="H103" i="4"/>
  <c r="I103" i="4"/>
  <c r="J103" i="4"/>
  <c r="B104" i="4"/>
  <c r="C104" i="4"/>
  <c r="D104" i="4"/>
  <c r="E104" i="4"/>
  <c r="F104" i="4"/>
  <c r="G104" i="4"/>
  <c r="H104" i="4"/>
  <c r="I104" i="4"/>
  <c r="J104" i="4"/>
  <c r="B105" i="4"/>
  <c r="C105" i="4"/>
  <c r="D105" i="4"/>
  <c r="E105" i="4"/>
  <c r="F105" i="4"/>
  <c r="G105" i="4"/>
  <c r="H105" i="4"/>
  <c r="I105" i="4"/>
  <c r="J105" i="4"/>
  <c r="B106" i="4"/>
  <c r="C106" i="4"/>
  <c r="D106" i="4"/>
  <c r="E106" i="4"/>
  <c r="F106" i="4"/>
  <c r="G106" i="4"/>
  <c r="H106" i="4"/>
  <c r="I106" i="4"/>
  <c r="J106" i="4"/>
  <c r="B107" i="4"/>
  <c r="C107" i="4"/>
  <c r="D107" i="4"/>
  <c r="E107" i="4"/>
  <c r="F107" i="4"/>
  <c r="G107" i="4"/>
  <c r="H107" i="4"/>
  <c r="I107" i="4"/>
  <c r="J107" i="4"/>
  <c r="B108" i="4"/>
  <c r="C108" i="4"/>
  <c r="D108" i="4"/>
  <c r="E108" i="4"/>
  <c r="F108" i="4"/>
  <c r="G108" i="4"/>
  <c r="H108" i="4"/>
  <c r="I108" i="4"/>
  <c r="J108" i="4"/>
  <c r="B109" i="4"/>
  <c r="C109" i="4"/>
  <c r="D109" i="4"/>
  <c r="E109" i="4"/>
  <c r="F109" i="4"/>
  <c r="G109" i="4"/>
  <c r="H109" i="4"/>
  <c r="I109" i="4"/>
  <c r="J109" i="4"/>
  <c r="J609" i="4" s="1"/>
  <c r="B110" i="4"/>
  <c r="C110" i="4"/>
  <c r="D110" i="4"/>
  <c r="E110" i="4"/>
  <c r="F110" i="4"/>
  <c r="G110" i="4"/>
  <c r="H110" i="4"/>
  <c r="I110" i="4"/>
  <c r="J110" i="4"/>
  <c r="B111" i="4"/>
  <c r="C111" i="4"/>
  <c r="D111" i="4"/>
  <c r="E111" i="4"/>
  <c r="F111" i="4"/>
  <c r="G111" i="4"/>
  <c r="H111" i="4"/>
  <c r="I111" i="4"/>
  <c r="J111" i="4"/>
  <c r="B112" i="4"/>
  <c r="C112" i="4"/>
  <c r="D112" i="4"/>
  <c r="E112" i="4"/>
  <c r="F112" i="4"/>
  <c r="G112" i="4"/>
  <c r="H112" i="4"/>
  <c r="I112" i="4"/>
  <c r="J112" i="4"/>
  <c r="B113" i="4"/>
  <c r="C113" i="4"/>
  <c r="D113" i="4"/>
  <c r="E113" i="4"/>
  <c r="F113" i="4"/>
  <c r="G113" i="4"/>
  <c r="H113" i="4"/>
  <c r="I113" i="4"/>
  <c r="J113" i="4"/>
  <c r="B114" i="4"/>
  <c r="C114" i="4"/>
  <c r="D114" i="4"/>
  <c r="E114" i="4"/>
  <c r="F114" i="4"/>
  <c r="G114" i="4"/>
  <c r="H114" i="4"/>
  <c r="I114" i="4"/>
  <c r="J114" i="4"/>
  <c r="B115" i="4"/>
  <c r="C115" i="4"/>
  <c r="D115" i="4"/>
  <c r="E115" i="4"/>
  <c r="F115" i="4"/>
  <c r="G115" i="4"/>
  <c r="H115" i="4"/>
  <c r="I115" i="4"/>
  <c r="J115" i="4"/>
  <c r="B116" i="4"/>
  <c r="C116" i="4"/>
  <c r="D116" i="4"/>
  <c r="E116" i="4"/>
  <c r="F116" i="4"/>
  <c r="G116" i="4"/>
  <c r="H116" i="4"/>
  <c r="I116" i="4"/>
  <c r="J116" i="4"/>
  <c r="B117" i="4"/>
  <c r="C117" i="4"/>
  <c r="D117" i="4"/>
  <c r="E117" i="4"/>
  <c r="F117" i="4"/>
  <c r="G117" i="4"/>
  <c r="H117" i="4"/>
  <c r="I117" i="4"/>
  <c r="J117" i="4"/>
  <c r="B118" i="4"/>
  <c r="C118" i="4"/>
  <c r="D118" i="4"/>
  <c r="E118" i="4"/>
  <c r="F118" i="4"/>
  <c r="G118" i="4"/>
  <c r="H118" i="4"/>
  <c r="I118" i="4"/>
  <c r="J118" i="4"/>
  <c r="B119" i="4"/>
  <c r="C119" i="4"/>
  <c r="D119" i="4"/>
  <c r="E119" i="4"/>
  <c r="F119" i="4"/>
  <c r="G119" i="4"/>
  <c r="H119" i="4"/>
  <c r="I119" i="4"/>
  <c r="J119" i="4"/>
  <c r="B120" i="4"/>
  <c r="C120" i="4"/>
  <c r="D120" i="4"/>
  <c r="E120" i="4"/>
  <c r="F120" i="4"/>
  <c r="G120" i="4"/>
  <c r="H120" i="4"/>
  <c r="I120" i="4"/>
  <c r="J120" i="4"/>
  <c r="B121" i="4"/>
  <c r="C121" i="4"/>
  <c r="D121" i="4"/>
  <c r="E121" i="4"/>
  <c r="F121" i="4"/>
  <c r="G121" i="4"/>
  <c r="H121" i="4"/>
  <c r="I121" i="4"/>
  <c r="J121" i="4"/>
  <c r="B122" i="4"/>
  <c r="C122" i="4"/>
  <c r="D122" i="4"/>
  <c r="E122" i="4"/>
  <c r="F122" i="4"/>
  <c r="G122" i="4"/>
  <c r="H122" i="4"/>
  <c r="I122" i="4"/>
  <c r="J122" i="4"/>
  <c r="B123" i="4"/>
  <c r="C123" i="4"/>
  <c r="D123" i="4"/>
  <c r="E123" i="4"/>
  <c r="F123" i="4"/>
  <c r="G123" i="4"/>
  <c r="H123" i="4"/>
  <c r="I123" i="4"/>
  <c r="J123" i="4"/>
  <c r="B124" i="4"/>
  <c r="C124" i="4"/>
  <c r="D124" i="4"/>
  <c r="E124" i="4"/>
  <c r="F124" i="4"/>
  <c r="G124" i="4"/>
  <c r="H124" i="4"/>
  <c r="I124" i="4"/>
  <c r="J124" i="4"/>
  <c r="B125" i="4"/>
  <c r="C125" i="4"/>
  <c r="D125" i="4"/>
  <c r="E125" i="4"/>
  <c r="F125" i="4"/>
  <c r="G125" i="4"/>
  <c r="H125" i="4"/>
  <c r="I125" i="4"/>
  <c r="J125" i="4"/>
  <c r="B126" i="4"/>
  <c r="C126" i="4"/>
  <c r="D126" i="4"/>
  <c r="E126" i="4"/>
  <c r="F126" i="4"/>
  <c r="G126" i="4"/>
  <c r="H126" i="4"/>
  <c r="I126" i="4"/>
  <c r="J126" i="4"/>
  <c r="B127" i="4"/>
  <c r="C127" i="4"/>
  <c r="D127" i="4"/>
  <c r="E127" i="4"/>
  <c r="F127" i="4"/>
  <c r="G127" i="4"/>
  <c r="H127" i="4"/>
  <c r="I127" i="4"/>
  <c r="J127" i="4"/>
  <c r="B128" i="4"/>
  <c r="C128" i="4"/>
  <c r="D128" i="4"/>
  <c r="E128" i="4"/>
  <c r="F128" i="4"/>
  <c r="G128" i="4"/>
  <c r="H128" i="4"/>
  <c r="I128" i="4"/>
  <c r="J128" i="4"/>
  <c r="B129" i="4"/>
  <c r="C129" i="4"/>
  <c r="D129" i="4"/>
  <c r="E129" i="4"/>
  <c r="F129" i="4"/>
  <c r="G129" i="4"/>
  <c r="H129" i="4"/>
  <c r="I129" i="4"/>
  <c r="J129" i="4"/>
  <c r="B130" i="4"/>
  <c r="C130" i="4"/>
  <c r="D130" i="4"/>
  <c r="E130" i="4"/>
  <c r="F130" i="4"/>
  <c r="G130" i="4"/>
  <c r="H130" i="4"/>
  <c r="I130" i="4"/>
  <c r="J130" i="4"/>
  <c r="B131" i="4"/>
  <c r="C131" i="4"/>
  <c r="D131" i="4"/>
  <c r="E131" i="4"/>
  <c r="F131" i="4"/>
  <c r="G131" i="4"/>
  <c r="H131" i="4"/>
  <c r="I131" i="4"/>
  <c r="J131" i="4"/>
  <c r="B132" i="4"/>
  <c r="C132" i="4"/>
  <c r="D132" i="4"/>
  <c r="E132" i="4"/>
  <c r="F132" i="4"/>
  <c r="G132" i="4"/>
  <c r="H132" i="4"/>
  <c r="I132" i="4"/>
  <c r="J132" i="4"/>
  <c r="B133" i="4"/>
  <c r="C133" i="4"/>
  <c r="D133" i="4"/>
  <c r="E133" i="4"/>
  <c r="F133" i="4"/>
  <c r="G133" i="4"/>
  <c r="H133" i="4"/>
  <c r="I133" i="4"/>
  <c r="J133" i="4"/>
  <c r="J611" i="4" s="1"/>
  <c r="B134" i="4"/>
  <c r="C134" i="4"/>
  <c r="D134" i="4"/>
  <c r="E134" i="4"/>
  <c r="F134" i="4"/>
  <c r="G134" i="4"/>
  <c r="H134" i="4"/>
  <c r="I134" i="4"/>
  <c r="J134" i="4"/>
  <c r="B135" i="4"/>
  <c r="C135" i="4"/>
  <c r="D135" i="4"/>
  <c r="E135" i="4"/>
  <c r="F135" i="4"/>
  <c r="G135" i="4"/>
  <c r="H135" i="4"/>
  <c r="I135" i="4"/>
  <c r="J135" i="4"/>
  <c r="B136" i="4"/>
  <c r="C136" i="4"/>
  <c r="D136" i="4"/>
  <c r="E136" i="4"/>
  <c r="F136" i="4"/>
  <c r="G136" i="4"/>
  <c r="H136" i="4"/>
  <c r="I136" i="4"/>
  <c r="J136" i="4"/>
  <c r="B137" i="4"/>
  <c r="C137" i="4"/>
  <c r="D137" i="4"/>
  <c r="E137" i="4"/>
  <c r="F137" i="4"/>
  <c r="G137" i="4"/>
  <c r="H137" i="4"/>
  <c r="I137" i="4"/>
  <c r="J137" i="4"/>
  <c r="B138" i="4"/>
  <c r="C138" i="4"/>
  <c r="D138" i="4"/>
  <c r="E138" i="4"/>
  <c r="F138" i="4"/>
  <c r="G138" i="4"/>
  <c r="H138" i="4"/>
  <c r="I138" i="4"/>
  <c r="J138" i="4"/>
  <c r="B139" i="4"/>
  <c r="C139" i="4"/>
  <c r="D139" i="4"/>
  <c r="E139" i="4"/>
  <c r="F139" i="4"/>
  <c r="G139" i="4"/>
  <c r="H139" i="4"/>
  <c r="I139" i="4"/>
  <c r="J139" i="4"/>
  <c r="B140" i="4"/>
  <c r="C140" i="4"/>
  <c r="D140" i="4"/>
  <c r="E140" i="4"/>
  <c r="F140" i="4"/>
  <c r="G140" i="4"/>
  <c r="H140" i="4"/>
  <c r="I140" i="4"/>
  <c r="J140" i="4"/>
  <c r="B141" i="4"/>
  <c r="C141" i="4"/>
  <c r="D141" i="4"/>
  <c r="E141" i="4"/>
  <c r="F141" i="4"/>
  <c r="G141" i="4"/>
  <c r="H141" i="4"/>
  <c r="I141" i="4"/>
  <c r="J141" i="4"/>
  <c r="B142" i="4"/>
  <c r="C142" i="4"/>
  <c r="D142" i="4"/>
  <c r="E142" i="4"/>
  <c r="F142" i="4"/>
  <c r="G142" i="4"/>
  <c r="H142" i="4"/>
  <c r="I142" i="4"/>
  <c r="J142" i="4"/>
  <c r="B143" i="4"/>
  <c r="C143" i="4"/>
  <c r="D143" i="4"/>
  <c r="E143" i="4"/>
  <c r="F143" i="4"/>
  <c r="G143" i="4"/>
  <c r="H143" i="4"/>
  <c r="I143" i="4"/>
  <c r="J143" i="4"/>
  <c r="B144" i="4"/>
  <c r="C144" i="4"/>
  <c r="D144" i="4"/>
  <c r="E144" i="4"/>
  <c r="F144" i="4"/>
  <c r="G144" i="4"/>
  <c r="H144" i="4"/>
  <c r="I144" i="4"/>
  <c r="J144" i="4"/>
  <c r="B145" i="4"/>
  <c r="C145" i="4"/>
  <c r="D145" i="4"/>
  <c r="E145" i="4"/>
  <c r="F145" i="4"/>
  <c r="G145" i="4"/>
  <c r="H145" i="4"/>
  <c r="I145" i="4"/>
  <c r="J145" i="4"/>
  <c r="B146" i="4"/>
  <c r="C146" i="4"/>
  <c r="D146" i="4"/>
  <c r="E146" i="4"/>
  <c r="F146" i="4"/>
  <c r="G146" i="4"/>
  <c r="H146" i="4"/>
  <c r="I146" i="4"/>
  <c r="J146" i="4"/>
  <c r="B147" i="4"/>
  <c r="C147" i="4"/>
  <c r="D147" i="4"/>
  <c r="E147" i="4"/>
  <c r="F147" i="4"/>
  <c r="G147" i="4"/>
  <c r="H147" i="4"/>
  <c r="I147" i="4"/>
  <c r="J147" i="4"/>
  <c r="B148" i="4"/>
  <c r="C148" i="4"/>
  <c r="D148" i="4"/>
  <c r="E148" i="4"/>
  <c r="F148" i="4"/>
  <c r="G148" i="4"/>
  <c r="H148" i="4"/>
  <c r="I148" i="4"/>
  <c r="J148" i="4"/>
  <c r="B149" i="4"/>
  <c r="C149" i="4"/>
  <c r="D149" i="4"/>
  <c r="E149" i="4"/>
  <c r="F149" i="4"/>
  <c r="G149" i="4"/>
  <c r="H149" i="4"/>
  <c r="I149" i="4"/>
  <c r="J149" i="4"/>
  <c r="B150" i="4"/>
  <c r="C150" i="4"/>
  <c r="D150" i="4"/>
  <c r="E150" i="4"/>
  <c r="F150" i="4"/>
  <c r="G150" i="4"/>
  <c r="H150" i="4"/>
  <c r="I150" i="4"/>
  <c r="J150" i="4"/>
  <c r="B151" i="4"/>
  <c r="C151" i="4"/>
  <c r="D151" i="4"/>
  <c r="E151" i="4"/>
  <c r="F151" i="4"/>
  <c r="G151" i="4"/>
  <c r="H151" i="4"/>
  <c r="I151" i="4"/>
  <c r="J151" i="4"/>
  <c r="B152" i="4"/>
  <c r="C152" i="4"/>
  <c r="D152" i="4"/>
  <c r="E152" i="4"/>
  <c r="F152" i="4"/>
  <c r="G152" i="4"/>
  <c r="H152" i="4"/>
  <c r="I152" i="4"/>
  <c r="J152" i="4"/>
  <c r="B153" i="4"/>
  <c r="C153" i="4"/>
  <c r="D153" i="4"/>
  <c r="E153" i="4"/>
  <c r="F153" i="4"/>
  <c r="G153" i="4"/>
  <c r="H153" i="4"/>
  <c r="I153" i="4"/>
  <c r="J153" i="4"/>
  <c r="B154" i="4"/>
  <c r="C154" i="4"/>
  <c r="D154" i="4"/>
  <c r="E154" i="4"/>
  <c r="F154" i="4"/>
  <c r="G154" i="4"/>
  <c r="H154" i="4"/>
  <c r="I154" i="4"/>
  <c r="J154" i="4"/>
  <c r="B155" i="4"/>
  <c r="C155" i="4"/>
  <c r="D155" i="4"/>
  <c r="E155" i="4"/>
  <c r="F155" i="4"/>
  <c r="G155" i="4"/>
  <c r="H155" i="4"/>
  <c r="I155" i="4"/>
  <c r="J155" i="4"/>
  <c r="B156" i="4"/>
  <c r="C156" i="4"/>
  <c r="D156" i="4"/>
  <c r="E156" i="4"/>
  <c r="F156" i="4"/>
  <c r="G156" i="4"/>
  <c r="H156" i="4"/>
  <c r="I156" i="4"/>
  <c r="J156" i="4"/>
  <c r="B157" i="4"/>
  <c r="C157" i="4"/>
  <c r="D157" i="4"/>
  <c r="E157" i="4"/>
  <c r="F157" i="4"/>
  <c r="G157" i="4"/>
  <c r="H157" i="4"/>
  <c r="I157" i="4"/>
  <c r="J157" i="4"/>
  <c r="J613" i="4" s="1"/>
  <c r="B158" i="4"/>
  <c r="C158" i="4"/>
  <c r="D158" i="4"/>
  <c r="E158" i="4"/>
  <c r="F158" i="4"/>
  <c r="G158" i="4"/>
  <c r="H158" i="4"/>
  <c r="I158" i="4"/>
  <c r="J158" i="4"/>
  <c r="B159" i="4"/>
  <c r="C159" i="4"/>
  <c r="D159" i="4"/>
  <c r="E159" i="4"/>
  <c r="F159" i="4"/>
  <c r="G159" i="4"/>
  <c r="H159" i="4"/>
  <c r="I159" i="4"/>
  <c r="J159" i="4"/>
  <c r="B160" i="4"/>
  <c r="C160" i="4"/>
  <c r="D160" i="4"/>
  <c r="E160" i="4"/>
  <c r="F160" i="4"/>
  <c r="G160" i="4"/>
  <c r="H160" i="4"/>
  <c r="I160" i="4"/>
  <c r="J160" i="4"/>
  <c r="B161" i="4"/>
  <c r="C161" i="4"/>
  <c r="D161" i="4"/>
  <c r="E161" i="4"/>
  <c r="F161" i="4"/>
  <c r="G161" i="4"/>
  <c r="H161" i="4"/>
  <c r="I161" i="4"/>
  <c r="J161" i="4"/>
  <c r="B162" i="4"/>
  <c r="C162" i="4"/>
  <c r="D162" i="4"/>
  <c r="E162" i="4"/>
  <c r="F162" i="4"/>
  <c r="G162" i="4"/>
  <c r="H162" i="4"/>
  <c r="I162" i="4"/>
  <c r="J162" i="4"/>
  <c r="B163" i="4"/>
  <c r="C163" i="4"/>
  <c r="D163" i="4"/>
  <c r="E163" i="4"/>
  <c r="F163" i="4"/>
  <c r="G163" i="4"/>
  <c r="H163" i="4"/>
  <c r="I163" i="4"/>
  <c r="J163" i="4"/>
  <c r="B164" i="4"/>
  <c r="C164" i="4"/>
  <c r="D164" i="4"/>
  <c r="E164" i="4"/>
  <c r="F164" i="4"/>
  <c r="G164" i="4"/>
  <c r="H164" i="4"/>
  <c r="I164" i="4"/>
  <c r="J164" i="4"/>
  <c r="B165" i="4"/>
  <c r="C165" i="4"/>
  <c r="D165" i="4"/>
  <c r="E165" i="4"/>
  <c r="F165" i="4"/>
  <c r="G165" i="4"/>
  <c r="H165" i="4"/>
  <c r="I165" i="4"/>
  <c r="J165" i="4"/>
  <c r="B166" i="4"/>
  <c r="C166" i="4"/>
  <c r="D166" i="4"/>
  <c r="E166" i="4"/>
  <c r="F166" i="4"/>
  <c r="G166" i="4"/>
  <c r="H166" i="4"/>
  <c r="I166" i="4"/>
  <c r="J166" i="4"/>
  <c r="B167" i="4"/>
  <c r="C167" i="4"/>
  <c r="D167" i="4"/>
  <c r="E167" i="4"/>
  <c r="F167" i="4"/>
  <c r="G167" i="4"/>
  <c r="H167" i="4"/>
  <c r="I167" i="4"/>
  <c r="J167" i="4"/>
  <c r="B168" i="4"/>
  <c r="C168" i="4"/>
  <c r="D168" i="4"/>
  <c r="E168" i="4"/>
  <c r="F168" i="4"/>
  <c r="G168" i="4"/>
  <c r="H168" i="4"/>
  <c r="I168" i="4"/>
  <c r="J168" i="4"/>
  <c r="B169" i="4"/>
  <c r="C169" i="4"/>
  <c r="D169" i="4"/>
  <c r="E169" i="4"/>
  <c r="F169" i="4"/>
  <c r="G169" i="4"/>
  <c r="H169" i="4"/>
  <c r="I169" i="4"/>
  <c r="J169" i="4"/>
  <c r="B170" i="4"/>
  <c r="C170" i="4"/>
  <c r="D170" i="4"/>
  <c r="E170" i="4"/>
  <c r="F170" i="4"/>
  <c r="G170" i="4"/>
  <c r="H170" i="4"/>
  <c r="I170" i="4"/>
  <c r="J170" i="4"/>
  <c r="B171" i="4"/>
  <c r="C171" i="4"/>
  <c r="D171" i="4"/>
  <c r="E171" i="4"/>
  <c r="F171" i="4"/>
  <c r="G171" i="4"/>
  <c r="H171" i="4"/>
  <c r="I171" i="4"/>
  <c r="J171" i="4"/>
  <c r="B172" i="4"/>
  <c r="C172" i="4"/>
  <c r="D172" i="4"/>
  <c r="E172" i="4"/>
  <c r="F172" i="4"/>
  <c r="G172" i="4"/>
  <c r="H172" i="4"/>
  <c r="I172" i="4"/>
  <c r="J172" i="4"/>
  <c r="B173" i="4"/>
  <c r="C173" i="4"/>
  <c r="D173" i="4"/>
  <c r="E173" i="4"/>
  <c r="F173" i="4"/>
  <c r="G173" i="4"/>
  <c r="H173" i="4"/>
  <c r="I173" i="4"/>
  <c r="J173" i="4"/>
  <c r="B174" i="4"/>
  <c r="C174" i="4"/>
  <c r="D174" i="4"/>
  <c r="E174" i="4"/>
  <c r="F174" i="4"/>
  <c r="G174" i="4"/>
  <c r="H174" i="4"/>
  <c r="I174" i="4"/>
  <c r="J174" i="4"/>
  <c r="B175" i="4"/>
  <c r="C175" i="4"/>
  <c r="D175" i="4"/>
  <c r="E175" i="4"/>
  <c r="F175" i="4"/>
  <c r="G175" i="4"/>
  <c r="H175" i="4"/>
  <c r="I175" i="4"/>
  <c r="J175" i="4"/>
  <c r="B176" i="4"/>
  <c r="C176" i="4"/>
  <c r="D176" i="4"/>
  <c r="E176" i="4"/>
  <c r="F176" i="4"/>
  <c r="G176" i="4"/>
  <c r="H176" i="4"/>
  <c r="I176" i="4"/>
  <c r="J176" i="4"/>
  <c r="B177" i="4"/>
  <c r="C177" i="4"/>
  <c r="D177" i="4"/>
  <c r="E177" i="4"/>
  <c r="F177" i="4"/>
  <c r="G177" i="4"/>
  <c r="H177" i="4"/>
  <c r="I177" i="4"/>
  <c r="J177" i="4"/>
  <c r="B178" i="4"/>
  <c r="C178" i="4"/>
  <c r="D178" i="4"/>
  <c r="E178" i="4"/>
  <c r="F178" i="4"/>
  <c r="G178" i="4"/>
  <c r="H178" i="4"/>
  <c r="I178" i="4"/>
  <c r="J178" i="4"/>
  <c r="B179" i="4"/>
  <c r="C179" i="4"/>
  <c r="D179" i="4"/>
  <c r="E179" i="4"/>
  <c r="F179" i="4"/>
  <c r="G179" i="4"/>
  <c r="H179" i="4"/>
  <c r="I179" i="4"/>
  <c r="J179" i="4"/>
  <c r="B180" i="4"/>
  <c r="C180" i="4"/>
  <c r="D180" i="4"/>
  <c r="E180" i="4"/>
  <c r="F180" i="4"/>
  <c r="G180" i="4"/>
  <c r="H180" i="4"/>
  <c r="I180" i="4"/>
  <c r="J180" i="4"/>
  <c r="B181" i="4"/>
  <c r="C181" i="4"/>
  <c r="D181" i="4"/>
  <c r="E181" i="4"/>
  <c r="F181" i="4"/>
  <c r="G181" i="4"/>
  <c r="H181" i="4"/>
  <c r="I181" i="4"/>
  <c r="J181" i="4"/>
  <c r="J615" i="4" s="1"/>
  <c r="B182" i="4"/>
  <c r="C182" i="4"/>
  <c r="D182" i="4"/>
  <c r="E182" i="4"/>
  <c r="F182" i="4"/>
  <c r="G182" i="4"/>
  <c r="H182" i="4"/>
  <c r="I182" i="4"/>
  <c r="J182" i="4"/>
  <c r="B183" i="4"/>
  <c r="C183" i="4"/>
  <c r="D183" i="4"/>
  <c r="E183" i="4"/>
  <c r="F183" i="4"/>
  <c r="G183" i="4"/>
  <c r="H183" i="4"/>
  <c r="I183" i="4"/>
  <c r="J183" i="4"/>
  <c r="B184" i="4"/>
  <c r="C184" i="4"/>
  <c r="D184" i="4"/>
  <c r="E184" i="4"/>
  <c r="F184" i="4"/>
  <c r="G184" i="4"/>
  <c r="H184" i="4"/>
  <c r="I184" i="4"/>
  <c r="J184" i="4"/>
  <c r="B185" i="4"/>
  <c r="C185" i="4"/>
  <c r="D185" i="4"/>
  <c r="E185" i="4"/>
  <c r="F185" i="4"/>
  <c r="G185" i="4"/>
  <c r="H185" i="4"/>
  <c r="I185" i="4"/>
  <c r="J185" i="4"/>
  <c r="B186" i="4"/>
  <c r="C186" i="4"/>
  <c r="D186" i="4"/>
  <c r="E186" i="4"/>
  <c r="F186" i="4"/>
  <c r="G186" i="4"/>
  <c r="H186" i="4"/>
  <c r="I186" i="4"/>
  <c r="J186" i="4"/>
  <c r="B187" i="4"/>
  <c r="C187" i="4"/>
  <c r="D187" i="4"/>
  <c r="E187" i="4"/>
  <c r="F187" i="4"/>
  <c r="G187" i="4"/>
  <c r="H187" i="4"/>
  <c r="I187" i="4"/>
  <c r="J187" i="4"/>
  <c r="B188" i="4"/>
  <c r="C188" i="4"/>
  <c r="D188" i="4"/>
  <c r="E188" i="4"/>
  <c r="F188" i="4"/>
  <c r="G188" i="4"/>
  <c r="H188" i="4"/>
  <c r="I188" i="4"/>
  <c r="J188" i="4"/>
  <c r="B189" i="4"/>
  <c r="C189" i="4"/>
  <c r="D189" i="4"/>
  <c r="E189" i="4"/>
  <c r="F189" i="4"/>
  <c r="G189" i="4"/>
  <c r="H189" i="4"/>
  <c r="I189" i="4"/>
  <c r="J189" i="4"/>
  <c r="B190" i="4"/>
  <c r="C190" i="4"/>
  <c r="D190" i="4"/>
  <c r="E190" i="4"/>
  <c r="F190" i="4"/>
  <c r="G190" i="4"/>
  <c r="H190" i="4"/>
  <c r="I190" i="4"/>
  <c r="J190" i="4"/>
  <c r="B191" i="4"/>
  <c r="C191" i="4"/>
  <c r="D191" i="4"/>
  <c r="E191" i="4"/>
  <c r="F191" i="4"/>
  <c r="G191" i="4"/>
  <c r="H191" i="4"/>
  <c r="I191" i="4"/>
  <c r="J191" i="4"/>
  <c r="B192" i="4"/>
  <c r="C192" i="4"/>
  <c r="D192" i="4"/>
  <c r="E192" i="4"/>
  <c r="F192" i="4"/>
  <c r="G192" i="4"/>
  <c r="H192" i="4"/>
  <c r="I192" i="4"/>
  <c r="J192" i="4"/>
  <c r="B193" i="4"/>
  <c r="C193" i="4"/>
  <c r="D193" i="4"/>
  <c r="E193" i="4"/>
  <c r="F193" i="4"/>
  <c r="G193" i="4"/>
  <c r="H193" i="4"/>
  <c r="I193" i="4"/>
  <c r="J193" i="4"/>
  <c r="B194" i="4"/>
  <c r="C194" i="4"/>
  <c r="D194" i="4"/>
  <c r="E194" i="4"/>
  <c r="F194" i="4"/>
  <c r="G194" i="4"/>
  <c r="H194" i="4"/>
  <c r="I194" i="4"/>
  <c r="J194" i="4"/>
  <c r="B195" i="4"/>
  <c r="C195" i="4"/>
  <c r="D195" i="4"/>
  <c r="E195" i="4"/>
  <c r="F195" i="4"/>
  <c r="G195" i="4"/>
  <c r="H195" i="4"/>
  <c r="I195" i="4"/>
  <c r="J195" i="4"/>
  <c r="B196" i="4"/>
  <c r="C196" i="4"/>
  <c r="D196" i="4"/>
  <c r="E196" i="4"/>
  <c r="F196" i="4"/>
  <c r="G196" i="4"/>
  <c r="H196" i="4"/>
  <c r="I196" i="4"/>
  <c r="J196" i="4"/>
  <c r="B197" i="4"/>
  <c r="C197" i="4"/>
  <c r="D197" i="4"/>
  <c r="E197" i="4"/>
  <c r="F197" i="4"/>
  <c r="G197" i="4"/>
  <c r="H197" i="4"/>
  <c r="I197" i="4"/>
  <c r="J197" i="4"/>
  <c r="B198" i="4"/>
  <c r="C198" i="4"/>
  <c r="D198" i="4"/>
  <c r="E198" i="4"/>
  <c r="F198" i="4"/>
  <c r="G198" i="4"/>
  <c r="H198" i="4"/>
  <c r="I198" i="4"/>
  <c r="J198" i="4"/>
  <c r="B199" i="4"/>
  <c r="C199" i="4"/>
  <c r="D199" i="4"/>
  <c r="E199" i="4"/>
  <c r="F199" i="4"/>
  <c r="G199" i="4"/>
  <c r="H199" i="4"/>
  <c r="I199" i="4"/>
  <c r="J199" i="4"/>
  <c r="B200" i="4"/>
  <c r="C200" i="4"/>
  <c r="D200" i="4"/>
  <c r="E200" i="4"/>
  <c r="F200" i="4"/>
  <c r="G200" i="4"/>
  <c r="H200" i="4"/>
  <c r="I200" i="4"/>
  <c r="J200" i="4"/>
  <c r="B201" i="4"/>
  <c r="C201" i="4"/>
  <c r="D201" i="4"/>
  <c r="E201" i="4"/>
  <c r="F201" i="4"/>
  <c r="G201" i="4"/>
  <c r="H201" i="4"/>
  <c r="I201" i="4"/>
  <c r="J201" i="4"/>
  <c r="B202" i="4"/>
  <c r="C202" i="4"/>
  <c r="D202" i="4"/>
  <c r="E202" i="4"/>
  <c r="F202" i="4"/>
  <c r="G202" i="4"/>
  <c r="H202" i="4"/>
  <c r="I202" i="4"/>
  <c r="J202" i="4"/>
  <c r="B203" i="4"/>
  <c r="C203" i="4"/>
  <c r="D203" i="4"/>
  <c r="E203" i="4"/>
  <c r="F203" i="4"/>
  <c r="G203" i="4"/>
  <c r="H203" i="4"/>
  <c r="I203" i="4"/>
  <c r="J203" i="4"/>
  <c r="B204" i="4"/>
  <c r="C204" i="4"/>
  <c r="D204" i="4"/>
  <c r="E204" i="4"/>
  <c r="F204" i="4"/>
  <c r="G204" i="4"/>
  <c r="H204" i="4"/>
  <c r="I204" i="4"/>
  <c r="J204" i="4"/>
  <c r="B205" i="4"/>
  <c r="C205" i="4"/>
  <c r="D205" i="4"/>
  <c r="E205" i="4"/>
  <c r="F205" i="4"/>
  <c r="G205" i="4"/>
  <c r="H205" i="4"/>
  <c r="I205" i="4"/>
  <c r="J205" i="4"/>
  <c r="J617" i="4" s="1"/>
  <c r="B206" i="4"/>
  <c r="C206" i="4"/>
  <c r="D206" i="4"/>
  <c r="E206" i="4"/>
  <c r="F206" i="4"/>
  <c r="G206" i="4"/>
  <c r="H206" i="4"/>
  <c r="I206" i="4"/>
  <c r="J206" i="4"/>
  <c r="B207" i="4"/>
  <c r="C207" i="4"/>
  <c r="D207" i="4"/>
  <c r="E207" i="4"/>
  <c r="F207" i="4"/>
  <c r="G207" i="4"/>
  <c r="H207" i="4"/>
  <c r="I207" i="4"/>
  <c r="J207" i="4"/>
  <c r="B208" i="4"/>
  <c r="C208" i="4"/>
  <c r="D208" i="4"/>
  <c r="E208" i="4"/>
  <c r="F208" i="4"/>
  <c r="G208" i="4"/>
  <c r="H208" i="4"/>
  <c r="I208" i="4"/>
  <c r="J208" i="4"/>
  <c r="B209" i="4"/>
  <c r="C209" i="4"/>
  <c r="D209" i="4"/>
  <c r="E209" i="4"/>
  <c r="F209" i="4"/>
  <c r="G209" i="4"/>
  <c r="H209" i="4"/>
  <c r="I209" i="4"/>
  <c r="J209" i="4"/>
  <c r="B210" i="4"/>
  <c r="C210" i="4"/>
  <c r="D210" i="4"/>
  <c r="E210" i="4"/>
  <c r="F210" i="4"/>
  <c r="G210" i="4"/>
  <c r="H210" i="4"/>
  <c r="I210" i="4"/>
  <c r="J210" i="4"/>
  <c r="B211" i="4"/>
  <c r="C211" i="4"/>
  <c r="D211" i="4"/>
  <c r="E211" i="4"/>
  <c r="F211" i="4"/>
  <c r="G211" i="4"/>
  <c r="H211" i="4"/>
  <c r="I211" i="4"/>
  <c r="J211" i="4"/>
  <c r="B212" i="4"/>
  <c r="C212" i="4"/>
  <c r="D212" i="4"/>
  <c r="E212" i="4"/>
  <c r="F212" i="4"/>
  <c r="G212" i="4"/>
  <c r="H212" i="4"/>
  <c r="I212" i="4"/>
  <c r="J212" i="4"/>
  <c r="B213" i="4"/>
  <c r="C213" i="4"/>
  <c r="D213" i="4"/>
  <c r="E213" i="4"/>
  <c r="F213" i="4"/>
  <c r="G213" i="4"/>
  <c r="H213" i="4"/>
  <c r="I213" i="4"/>
  <c r="J213" i="4"/>
  <c r="B214" i="4"/>
  <c r="C214" i="4"/>
  <c r="D214" i="4"/>
  <c r="E214" i="4"/>
  <c r="F214" i="4"/>
  <c r="G214" i="4"/>
  <c r="H214" i="4"/>
  <c r="I214" i="4"/>
  <c r="J214" i="4"/>
  <c r="B215" i="4"/>
  <c r="C215" i="4"/>
  <c r="D215" i="4"/>
  <c r="E215" i="4"/>
  <c r="F215" i="4"/>
  <c r="G215" i="4"/>
  <c r="H215" i="4"/>
  <c r="I215" i="4"/>
  <c r="J215" i="4"/>
  <c r="B216" i="4"/>
  <c r="C216" i="4"/>
  <c r="D216" i="4"/>
  <c r="E216" i="4"/>
  <c r="F216" i="4"/>
  <c r="G216" i="4"/>
  <c r="H216" i="4"/>
  <c r="I216" i="4"/>
  <c r="J216" i="4"/>
  <c r="B217" i="4"/>
  <c r="C217" i="4"/>
  <c r="D217" i="4"/>
  <c r="E217" i="4"/>
  <c r="F217" i="4"/>
  <c r="G217" i="4"/>
  <c r="H217" i="4"/>
  <c r="I217" i="4"/>
  <c r="J217" i="4"/>
  <c r="B218" i="4"/>
  <c r="C218" i="4"/>
  <c r="D218" i="4"/>
  <c r="E218" i="4"/>
  <c r="F218" i="4"/>
  <c r="G218" i="4"/>
  <c r="H218" i="4"/>
  <c r="I218" i="4"/>
  <c r="J218" i="4"/>
  <c r="B219" i="4"/>
  <c r="C219" i="4"/>
  <c r="D219" i="4"/>
  <c r="E219" i="4"/>
  <c r="F219" i="4"/>
  <c r="G219" i="4"/>
  <c r="H219" i="4"/>
  <c r="I219" i="4"/>
  <c r="J219" i="4"/>
  <c r="B220" i="4"/>
  <c r="C220" i="4"/>
  <c r="D220" i="4"/>
  <c r="E220" i="4"/>
  <c r="F220" i="4"/>
  <c r="G220" i="4"/>
  <c r="H220" i="4"/>
  <c r="I220" i="4"/>
  <c r="J220" i="4"/>
  <c r="B221" i="4"/>
  <c r="C221" i="4"/>
  <c r="D221" i="4"/>
  <c r="E221" i="4"/>
  <c r="F221" i="4"/>
  <c r="G221" i="4"/>
  <c r="H221" i="4"/>
  <c r="I221" i="4"/>
  <c r="J221" i="4"/>
  <c r="B222" i="4"/>
  <c r="C222" i="4"/>
  <c r="D222" i="4"/>
  <c r="E222" i="4"/>
  <c r="F222" i="4"/>
  <c r="G222" i="4"/>
  <c r="H222" i="4"/>
  <c r="I222" i="4"/>
  <c r="J222" i="4"/>
  <c r="B223" i="4"/>
  <c r="C223" i="4"/>
  <c r="D223" i="4"/>
  <c r="E223" i="4"/>
  <c r="F223" i="4"/>
  <c r="G223" i="4"/>
  <c r="H223" i="4"/>
  <c r="I223" i="4"/>
  <c r="J223" i="4"/>
  <c r="B224" i="4"/>
  <c r="C224" i="4"/>
  <c r="D224" i="4"/>
  <c r="E224" i="4"/>
  <c r="F224" i="4"/>
  <c r="G224" i="4"/>
  <c r="H224" i="4"/>
  <c r="I224" i="4"/>
  <c r="J224" i="4"/>
  <c r="B225" i="4"/>
  <c r="C225" i="4"/>
  <c r="D225" i="4"/>
  <c r="E225" i="4"/>
  <c r="F225" i="4"/>
  <c r="G225" i="4"/>
  <c r="H225" i="4"/>
  <c r="I225" i="4"/>
  <c r="J225" i="4"/>
  <c r="B226" i="4"/>
  <c r="C226" i="4"/>
  <c r="D226" i="4"/>
  <c r="E226" i="4"/>
  <c r="F226" i="4"/>
  <c r="G226" i="4"/>
  <c r="H226" i="4"/>
  <c r="I226" i="4"/>
  <c r="J226" i="4"/>
  <c r="B227" i="4"/>
  <c r="C227" i="4"/>
  <c r="D227" i="4"/>
  <c r="E227" i="4"/>
  <c r="F227" i="4"/>
  <c r="G227" i="4"/>
  <c r="H227" i="4"/>
  <c r="I227" i="4"/>
  <c r="J227" i="4"/>
  <c r="B228" i="4"/>
  <c r="C228" i="4"/>
  <c r="D228" i="4"/>
  <c r="E228" i="4"/>
  <c r="F228" i="4"/>
  <c r="G228" i="4"/>
  <c r="H228" i="4"/>
  <c r="I228" i="4"/>
  <c r="J228" i="4"/>
  <c r="B229" i="4"/>
  <c r="C229" i="4"/>
  <c r="D229" i="4"/>
  <c r="E229" i="4"/>
  <c r="F229" i="4"/>
  <c r="G229" i="4"/>
  <c r="H229" i="4"/>
  <c r="I229" i="4"/>
  <c r="J229" i="4"/>
  <c r="J619" i="4" s="1"/>
  <c r="B230" i="4"/>
  <c r="C230" i="4"/>
  <c r="D230" i="4"/>
  <c r="E230" i="4"/>
  <c r="F230" i="4"/>
  <c r="G230" i="4"/>
  <c r="H230" i="4"/>
  <c r="I230" i="4"/>
  <c r="J230" i="4"/>
  <c r="B231" i="4"/>
  <c r="C231" i="4"/>
  <c r="D231" i="4"/>
  <c r="E231" i="4"/>
  <c r="F231" i="4"/>
  <c r="G231" i="4"/>
  <c r="H231" i="4"/>
  <c r="I231" i="4"/>
  <c r="J231" i="4"/>
  <c r="B232" i="4"/>
  <c r="C232" i="4"/>
  <c r="D232" i="4"/>
  <c r="E232" i="4"/>
  <c r="F232" i="4"/>
  <c r="G232" i="4"/>
  <c r="H232" i="4"/>
  <c r="I232" i="4"/>
  <c r="J232" i="4"/>
  <c r="B233" i="4"/>
  <c r="C233" i="4"/>
  <c r="D233" i="4"/>
  <c r="E233" i="4"/>
  <c r="F233" i="4"/>
  <c r="G233" i="4"/>
  <c r="H233" i="4"/>
  <c r="I233" i="4"/>
  <c r="J233" i="4"/>
  <c r="B234" i="4"/>
  <c r="C234" i="4"/>
  <c r="D234" i="4"/>
  <c r="E234" i="4"/>
  <c r="F234" i="4"/>
  <c r="G234" i="4"/>
  <c r="H234" i="4"/>
  <c r="I234" i="4"/>
  <c r="J234" i="4"/>
  <c r="B235" i="4"/>
  <c r="C235" i="4"/>
  <c r="D235" i="4"/>
  <c r="E235" i="4"/>
  <c r="F235" i="4"/>
  <c r="G235" i="4"/>
  <c r="H235" i="4"/>
  <c r="I235" i="4"/>
  <c r="J235" i="4"/>
  <c r="B236" i="4"/>
  <c r="C236" i="4"/>
  <c r="D236" i="4"/>
  <c r="E236" i="4"/>
  <c r="F236" i="4"/>
  <c r="G236" i="4"/>
  <c r="H236" i="4"/>
  <c r="I236" i="4"/>
  <c r="J236" i="4"/>
  <c r="B237" i="4"/>
  <c r="C237" i="4"/>
  <c r="D237" i="4"/>
  <c r="E237" i="4"/>
  <c r="F237" i="4"/>
  <c r="G237" i="4"/>
  <c r="H237" i="4"/>
  <c r="I237" i="4"/>
  <c r="J237" i="4"/>
  <c r="B238" i="4"/>
  <c r="C238" i="4"/>
  <c r="D238" i="4"/>
  <c r="E238" i="4"/>
  <c r="F238" i="4"/>
  <c r="G238" i="4"/>
  <c r="H238" i="4"/>
  <c r="I238" i="4"/>
  <c r="J238" i="4"/>
  <c r="B239" i="4"/>
  <c r="C239" i="4"/>
  <c r="D239" i="4"/>
  <c r="E239" i="4"/>
  <c r="F239" i="4"/>
  <c r="G239" i="4"/>
  <c r="H239" i="4"/>
  <c r="I239" i="4"/>
  <c r="J239" i="4"/>
  <c r="B240" i="4"/>
  <c r="C240" i="4"/>
  <c r="D240" i="4"/>
  <c r="E240" i="4"/>
  <c r="F240" i="4"/>
  <c r="G240" i="4"/>
  <c r="H240" i="4"/>
  <c r="I240" i="4"/>
  <c r="J240" i="4"/>
  <c r="B241" i="4"/>
  <c r="C241" i="4"/>
  <c r="D241" i="4"/>
  <c r="E241" i="4"/>
  <c r="F241" i="4"/>
  <c r="G241" i="4"/>
  <c r="H241" i="4"/>
  <c r="I241" i="4"/>
  <c r="J241" i="4"/>
  <c r="B242" i="4"/>
  <c r="C242" i="4"/>
  <c r="D242" i="4"/>
  <c r="E242" i="4"/>
  <c r="F242" i="4"/>
  <c r="G242" i="4"/>
  <c r="H242" i="4"/>
  <c r="I242" i="4"/>
  <c r="J242" i="4"/>
  <c r="B243" i="4"/>
  <c r="C243" i="4"/>
  <c r="D243" i="4"/>
  <c r="E243" i="4"/>
  <c r="F243" i="4"/>
  <c r="G243" i="4"/>
  <c r="H243" i="4"/>
  <c r="I243" i="4"/>
  <c r="J243" i="4"/>
  <c r="B244" i="4"/>
  <c r="C244" i="4"/>
  <c r="D244" i="4"/>
  <c r="E244" i="4"/>
  <c r="F244" i="4"/>
  <c r="G244" i="4"/>
  <c r="H244" i="4"/>
  <c r="I244" i="4"/>
  <c r="J244" i="4"/>
  <c r="B245" i="4"/>
  <c r="C245" i="4"/>
  <c r="D245" i="4"/>
  <c r="E245" i="4"/>
  <c r="F245" i="4"/>
  <c r="G245" i="4"/>
  <c r="H245" i="4"/>
  <c r="I245" i="4"/>
  <c r="J245" i="4"/>
  <c r="B246" i="4"/>
  <c r="C246" i="4"/>
  <c r="D246" i="4"/>
  <c r="E246" i="4"/>
  <c r="F246" i="4"/>
  <c r="G246" i="4"/>
  <c r="H246" i="4"/>
  <c r="I246" i="4"/>
  <c r="J246" i="4"/>
  <c r="B247" i="4"/>
  <c r="C247" i="4"/>
  <c r="D247" i="4"/>
  <c r="E247" i="4"/>
  <c r="F247" i="4"/>
  <c r="G247" i="4"/>
  <c r="H247" i="4"/>
  <c r="I247" i="4"/>
  <c r="J247" i="4"/>
  <c r="B248" i="4"/>
  <c r="C248" i="4"/>
  <c r="D248" i="4"/>
  <c r="E248" i="4"/>
  <c r="F248" i="4"/>
  <c r="G248" i="4"/>
  <c r="H248" i="4"/>
  <c r="I248" i="4"/>
  <c r="J248" i="4"/>
  <c r="B249" i="4"/>
  <c r="C249" i="4"/>
  <c r="D249" i="4"/>
  <c r="E249" i="4"/>
  <c r="F249" i="4"/>
  <c r="G249" i="4"/>
  <c r="H249" i="4"/>
  <c r="I249" i="4"/>
  <c r="J249" i="4"/>
  <c r="B250" i="4"/>
  <c r="C250" i="4"/>
  <c r="D250" i="4"/>
  <c r="E250" i="4"/>
  <c r="F250" i="4"/>
  <c r="G250" i="4"/>
  <c r="H250" i="4"/>
  <c r="I250" i="4"/>
  <c r="J250" i="4"/>
  <c r="B251" i="4"/>
  <c r="C251" i="4"/>
  <c r="D251" i="4"/>
  <c r="E251" i="4"/>
  <c r="F251" i="4"/>
  <c r="G251" i="4"/>
  <c r="H251" i="4"/>
  <c r="I251" i="4"/>
  <c r="J251" i="4"/>
  <c r="B252" i="4"/>
  <c r="C252" i="4"/>
  <c r="D252" i="4"/>
  <c r="E252" i="4"/>
  <c r="F252" i="4"/>
  <c r="G252" i="4"/>
  <c r="H252" i="4"/>
  <c r="I252" i="4"/>
  <c r="J252" i="4"/>
  <c r="B253" i="4"/>
  <c r="C253" i="4"/>
  <c r="D253" i="4"/>
  <c r="E253" i="4"/>
  <c r="F253" i="4"/>
  <c r="G253" i="4"/>
  <c r="H253" i="4"/>
  <c r="I253" i="4"/>
  <c r="J253" i="4"/>
  <c r="J621" i="4" s="1"/>
  <c r="B254" i="4"/>
  <c r="C254" i="4"/>
  <c r="D254" i="4"/>
  <c r="E254" i="4"/>
  <c r="F254" i="4"/>
  <c r="G254" i="4"/>
  <c r="H254" i="4"/>
  <c r="I254" i="4"/>
  <c r="J254" i="4"/>
  <c r="B255" i="4"/>
  <c r="C255" i="4"/>
  <c r="D255" i="4"/>
  <c r="E255" i="4"/>
  <c r="F255" i="4"/>
  <c r="G255" i="4"/>
  <c r="H255" i="4"/>
  <c r="I255" i="4"/>
  <c r="J255" i="4"/>
  <c r="B256" i="4"/>
  <c r="C256" i="4"/>
  <c r="D256" i="4"/>
  <c r="E256" i="4"/>
  <c r="F256" i="4"/>
  <c r="G256" i="4"/>
  <c r="H256" i="4"/>
  <c r="I256" i="4"/>
  <c r="J256" i="4"/>
  <c r="B257" i="4"/>
  <c r="C257" i="4"/>
  <c r="D257" i="4"/>
  <c r="E257" i="4"/>
  <c r="F257" i="4"/>
  <c r="G257" i="4"/>
  <c r="H257" i="4"/>
  <c r="I257" i="4"/>
  <c r="J257" i="4"/>
  <c r="B258" i="4"/>
  <c r="C258" i="4"/>
  <c r="D258" i="4"/>
  <c r="E258" i="4"/>
  <c r="F258" i="4"/>
  <c r="G258" i="4"/>
  <c r="H258" i="4"/>
  <c r="I258" i="4"/>
  <c r="J258" i="4"/>
  <c r="B259" i="4"/>
  <c r="C259" i="4"/>
  <c r="D259" i="4"/>
  <c r="E259" i="4"/>
  <c r="F259" i="4"/>
  <c r="G259" i="4"/>
  <c r="H259" i="4"/>
  <c r="I259" i="4"/>
  <c r="J259" i="4"/>
  <c r="B260" i="4"/>
  <c r="C260" i="4"/>
  <c r="D260" i="4"/>
  <c r="E260" i="4"/>
  <c r="F260" i="4"/>
  <c r="G260" i="4"/>
  <c r="H260" i="4"/>
  <c r="I260" i="4"/>
  <c r="J260" i="4"/>
  <c r="B261" i="4"/>
  <c r="C261" i="4"/>
  <c r="D261" i="4"/>
  <c r="E261" i="4"/>
  <c r="F261" i="4"/>
  <c r="G261" i="4"/>
  <c r="H261" i="4"/>
  <c r="I261" i="4"/>
  <c r="J261" i="4"/>
  <c r="B262" i="4"/>
  <c r="C262" i="4"/>
  <c r="D262" i="4"/>
  <c r="E262" i="4"/>
  <c r="F262" i="4"/>
  <c r="G262" i="4"/>
  <c r="H262" i="4"/>
  <c r="I262" i="4"/>
  <c r="J262" i="4"/>
  <c r="B263" i="4"/>
  <c r="C263" i="4"/>
  <c r="D263" i="4"/>
  <c r="E263" i="4"/>
  <c r="F263" i="4"/>
  <c r="G263" i="4"/>
  <c r="H263" i="4"/>
  <c r="I263" i="4"/>
  <c r="J263" i="4"/>
  <c r="B264" i="4"/>
  <c r="C264" i="4"/>
  <c r="D264" i="4"/>
  <c r="E264" i="4"/>
  <c r="F264" i="4"/>
  <c r="G264" i="4"/>
  <c r="H264" i="4"/>
  <c r="I264" i="4"/>
  <c r="J264" i="4"/>
  <c r="B265" i="4"/>
  <c r="C265" i="4"/>
  <c r="D265" i="4"/>
  <c r="E265" i="4"/>
  <c r="F265" i="4"/>
  <c r="G265" i="4"/>
  <c r="H265" i="4"/>
  <c r="I265" i="4"/>
  <c r="J265" i="4"/>
  <c r="B266" i="4"/>
  <c r="C266" i="4"/>
  <c r="D266" i="4"/>
  <c r="E266" i="4"/>
  <c r="F266" i="4"/>
  <c r="G266" i="4"/>
  <c r="H266" i="4"/>
  <c r="I266" i="4"/>
  <c r="J266" i="4"/>
  <c r="B267" i="4"/>
  <c r="C267" i="4"/>
  <c r="D267" i="4"/>
  <c r="E267" i="4"/>
  <c r="F267" i="4"/>
  <c r="G267" i="4"/>
  <c r="H267" i="4"/>
  <c r="I267" i="4"/>
  <c r="J267" i="4"/>
  <c r="B268" i="4"/>
  <c r="C268" i="4"/>
  <c r="D268" i="4"/>
  <c r="E268" i="4"/>
  <c r="F268" i="4"/>
  <c r="G268" i="4"/>
  <c r="H268" i="4"/>
  <c r="I268" i="4"/>
  <c r="J268" i="4"/>
  <c r="B269" i="4"/>
  <c r="C269" i="4"/>
  <c r="D269" i="4"/>
  <c r="E269" i="4"/>
  <c r="F269" i="4"/>
  <c r="G269" i="4"/>
  <c r="H269" i="4"/>
  <c r="I269" i="4"/>
  <c r="J269" i="4"/>
  <c r="B270" i="4"/>
  <c r="C270" i="4"/>
  <c r="D270" i="4"/>
  <c r="E270" i="4"/>
  <c r="F270" i="4"/>
  <c r="G270" i="4"/>
  <c r="H270" i="4"/>
  <c r="I270" i="4"/>
  <c r="J270" i="4"/>
  <c r="B271" i="4"/>
  <c r="C271" i="4"/>
  <c r="D271" i="4"/>
  <c r="E271" i="4"/>
  <c r="F271" i="4"/>
  <c r="G271" i="4"/>
  <c r="H271" i="4"/>
  <c r="I271" i="4"/>
  <c r="J271" i="4"/>
  <c r="B272" i="4"/>
  <c r="C272" i="4"/>
  <c r="D272" i="4"/>
  <c r="E272" i="4"/>
  <c r="F272" i="4"/>
  <c r="G272" i="4"/>
  <c r="H272" i="4"/>
  <c r="I272" i="4"/>
  <c r="J272" i="4"/>
  <c r="B273" i="4"/>
  <c r="C273" i="4"/>
  <c r="D273" i="4"/>
  <c r="E273" i="4"/>
  <c r="F273" i="4"/>
  <c r="G273" i="4"/>
  <c r="H273" i="4"/>
  <c r="I273" i="4"/>
  <c r="J273" i="4"/>
  <c r="B274" i="4"/>
  <c r="C274" i="4"/>
  <c r="D274" i="4"/>
  <c r="E274" i="4"/>
  <c r="F274" i="4"/>
  <c r="G274" i="4"/>
  <c r="H274" i="4"/>
  <c r="I274" i="4"/>
  <c r="J274" i="4"/>
  <c r="B275" i="4"/>
  <c r="C275" i="4"/>
  <c r="D275" i="4"/>
  <c r="E275" i="4"/>
  <c r="F275" i="4"/>
  <c r="G275" i="4"/>
  <c r="H275" i="4"/>
  <c r="I275" i="4"/>
  <c r="J275" i="4"/>
  <c r="B276" i="4"/>
  <c r="C276" i="4"/>
  <c r="D276" i="4"/>
  <c r="E276" i="4"/>
  <c r="F276" i="4"/>
  <c r="G276" i="4"/>
  <c r="H276" i="4"/>
  <c r="I276" i="4"/>
  <c r="J276" i="4"/>
  <c r="B277" i="4"/>
  <c r="C277" i="4"/>
  <c r="D277" i="4"/>
  <c r="E277" i="4"/>
  <c r="F277" i="4"/>
  <c r="G277" i="4"/>
  <c r="H277" i="4"/>
  <c r="I277" i="4"/>
  <c r="J277" i="4"/>
  <c r="J623" i="4" s="1"/>
  <c r="B278" i="4"/>
  <c r="C278" i="4"/>
  <c r="D278" i="4"/>
  <c r="E278" i="4"/>
  <c r="F278" i="4"/>
  <c r="G278" i="4"/>
  <c r="H278" i="4"/>
  <c r="I278" i="4"/>
  <c r="J278" i="4"/>
  <c r="B279" i="4"/>
  <c r="C279" i="4"/>
  <c r="D279" i="4"/>
  <c r="E279" i="4"/>
  <c r="F279" i="4"/>
  <c r="G279" i="4"/>
  <c r="H279" i="4"/>
  <c r="I279" i="4"/>
  <c r="J279" i="4"/>
  <c r="B280" i="4"/>
  <c r="C280" i="4"/>
  <c r="D280" i="4"/>
  <c r="E280" i="4"/>
  <c r="F280" i="4"/>
  <c r="G280" i="4"/>
  <c r="H280" i="4"/>
  <c r="I280" i="4"/>
  <c r="J280" i="4"/>
  <c r="B281" i="4"/>
  <c r="C281" i="4"/>
  <c r="D281" i="4"/>
  <c r="E281" i="4"/>
  <c r="F281" i="4"/>
  <c r="G281" i="4"/>
  <c r="H281" i="4"/>
  <c r="I281" i="4"/>
  <c r="J281" i="4"/>
  <c r="B282" i="4"/>
  <c r="C282" i="4"/>
  <c r="D282" i="4"/>
  <c r="E282" i="4"/>
  <c r="F282" i="4"/>
  <c r="G282" i="4"/>
  <c r="H282" i="4"/>
  <c r="I282" i="4"/>
  <c r="J282" i="4"/>
  <c r="B283" i="4"/>
  <c r="C283" i="4"/>
  <c r="D283" i="4"/>
  <c r="E283" i="4"/>
  <c r="F283" i="4"/>
  <c r="G283" i="4"/>
  <c r="H283" i="4"/>
  <c r="I283" i="4"/>
  <c r="J283" i="4"/>
  <c r="B284" i="4"/>
  <c r="C284" i="4"/>
  <c r="D284" i="4"/>
  <c r="E284" i="4"/>
  <c r="F284" i="4"/>
  <c r="G284" i="4"/>
  <c r="H284" i="4"/>
  <c r="I284" i="4"/>
  <c r="J284" i="4"/>
  <c r="B285" i="4"/>
  <c r="C285" i="4"/>
  <c r="D285" i="4"/>
  <c r="E285" i="4"/>
  <c r="F285" i="4"/>
  <c r="G285" i="4"/>
  <c r="H285" i="4"/>
  <c r="I285" i="4"/>
  <c r="J285" i="4"/>
  <c r="B286" i="4"/>
  <c r="C286" i="4"/>
  <c r="D286" i="4"/>
  <c r="E286" i="4"/>
  <c r="F286" i="4"/>
  <c r="G286" i="4"/>
  <c r="H286" i="4"/>
  <c r="I286" i="4"/>
  <c r="J286" i="4"/>
  <c r="B287" i="4"/>
  <c r="C287" i="4"/>
  <c r="D287" i="4"/>
  <c r="E287" i="4"/>
  <c r="F287" i="4"/>
  <c r="G287" i="4"/>
  <c r="H287" i="4"/>
  <c r="I287" i="4"/>
  <c r="J287" i="4"/>
  <c r="B288" i="4"/>
  <c r="C288" i="4"/>
  <c r="D288" i="4"/>
  <c r="E288" i="4"/>
  <c r="F288" i="4"/>
  <c r="G288" i="4"/>
  <c r="H288" i="4"/>
  <c r="I288" i="4"/>
  <c r="J288" i="4"/>
  <c r="B289" i="4"/>
  <c r="C289" i="4"/>
  <c r="D289" i="4"/>
  <c r="E289" i="4"/>
  <c r="F289" i="4"/>
  <c r="G289" i="4"/>
  <c r="H289" i="4"/>
  <c r="I289" i="4"/>
  <c r="J289" i="4"/>
  <c r="B290" i="4"/>
  <c r="C290" i="4"/>
  <c r="D290" i="4"/>
  <c r="E290" i="4"/>
  <c r="F290" i="4"/>
  <c r="G290" i="4"/>
  <c r="H290" i="4"/>
  <c r="I290" i="4"/>
  <c r="J290" i="4"/>
  <c r="B291" i="4"/>
  <c r="C291" i="4"/>
  <c r="D291" i="4"/>
  <c r="E291" i="4"/>
  <c r="F291" i="4"/>
  <c r="G291" i="4"/>
  <c r="H291" i="4"/>
  <c r="I291" i="4"/>
  <c r="J291" i="4"/>
  <c r="B292" i="4"/>
  <c r="C292" i="4"/>
  <c r="D292" i="4"/>
  <c r="E292" i="4"/>
  <c r="F292" i="4"/>
  <c r="G292" i="4"/>
  <c r="H292" i="4"/>
  <c r="I292" i="4"/>
  <c r="J292" i="4"/>
  <c r="B293" i="4"/>
  <c r="C293" i="4"/>
  <c r="D293" i="4"/>
  <c r="E293" i="4"/>
  <c r="F293" i="4"/>
  <c r="G293" i="4"/>
  <c r="H293" i="4"/>
  <c r="I293" i="4"/>
  <c r="J293" i="4"/>
  <c r="B294" i="4"/>
  <c r="C294" i="4"/>
  <c r="D294" i="4"/>
  <c r="E294" i="4"/>
  <c r="F294" i="4"/>
  <c r="G294" i="4"/>
  <c r="H294" i="4"/>
  <c r="I294" i="4"/>
  <c r="J294" i="4"/>
  <c r="B295" i="4"/>
  <c r="C295" i="4"/>
  <c r="D295" i="4"/>
  <c r="E295" i="4"/>
  <c r="F295" i="4"/>
  <c r="G295" i="4"/>
  <c r="H295" i="4"/>
  <c r="I295" i="4"/>
  <c r="J295" i="4"/>
  <c r="B296" i="4"/>
  <c r="C296" i="4"/>
  <c r="D296" i="4"/>
  <c r="E296" i="4"/>
  <c r="F296" i="4"/>
  <c r="G296" i="4"/>
  <c r="H296" i="4"/>
  <c r="I296" i="4"/>
  <c r="J296" i="4"/>
  <c r="B297" i="4"/>
  <c r="C297" i="4"/>
  <c r="D297" i="4"/>
  <c r="E297" i="4"/>
  <c r="F297" i="4"/>
  <c r="G297" i="4"/>
  <c r="H297" i="4"/>
  <c r="I297" i="4"/>
  <c r="J297" i="4"/>
  <c r="B298" i="4"/>
  <c r="C298" i="4"/>
  <c r="D298" i="4"/>
  <c r="E298" i="4"/>
  <c r="F298" i="4"/>
  <c r="G298" i="4"/>
  <c r="H298" i="4"/>
  <c r="I298" i="4"/>
  <c r="J298" i="4"/>
  <c r="B299" i="4"/>
  <c r="C299" i="4"/>
  <c r="D299" i="4"/>
  <c r="E299" i="4"/>
  <c r="F299" i="4"/>
  <c r="G299" i="4"/>
  <c r="H299" i="4"/>
  <c r="I299" i="4"/>
  <c r="J299" i="4"/>
  <c r="B300" i="4"/>
  <c r="C300" i="4"/>
  <c r="D300" i="4"/>
  <c r="E300" i="4"/>
  <c r="F300" i="4"/>
  <c r="G300" i="4"/>
  <c r="H300" i="4"/>
  <c r="I300" i="4"/>
  <c r="J300" i="4"/>
  <c r="B301" i="4"/>
  <c r="C301" i="4"/>
  <c r="D301" i="4"/>
  <c r="E301" i="4"/>
  <c r="F301" i="4"/>
  <c r="G301" i="4"/>
  <c r="H301" i="4"/>
  <c r="I301" i="4"/>
  <c r="J301" i="4"/>
  <c r="J625" i="4" s="1"/>
  <c r="B302" i="4"/>
  <c r="C302" i="4"/>
  <c r="D302" i="4"/>
  <c r="E302" i="4"/>
  <c r="F302" i="4"/>
  <c r="G302" i="4"/>
  <c r="H302" i="4"/>
  <c r="I302" i="4"/>
  <c r="J302" i="4"/>
  <c r="B303" i="4"/>
  <c r="C303" i="4"/>
  <c r="D303" i="4"/>
  <c r="E303" i="4"/>
  <c r="F303" i="4"/>
  <c r="G303" i="4"/>
  <c r="H303" i="4"/>
  <c r="I303" i="4"/>
  <c r="J303" i="4"/>
  <c r="B304" i="4"/>
  <c r="C304" i="4"/>
  <c r="D304" i="4"/>
  <c r="E304" i="4"/>
  <c r="F304" i="4"/>
  <c r="G304" i="4"/>
  <c r="H304" i="4"/>
  <c r="I304" i="4"/>
  <c r="J304" i="4"/>
  <c r="B305" i="4"/>
  <c r="C305" i="4"/>
  <c r="D305" i="4"/>
  <c r="E305" i="4"/>
  <c r="F305" i="4"/>
  <c r="G305" i="4"/>
  <c r="H305" i="4"/>
  <c r="I305" i="4"/>
  <c r="J305" i="4"/>
  <c r="B306" i="4"/>
  <c r="C306" i="4"/>
  <c r="D306" i="4"/>
  <c r="E306" i="4"/>
  <c r="F306" i="4"/>
  <c r="G306" i="4"/>
  <c r="H306" i="4"/>
  <c r="I306" i="4"/>
  <c r="J306" i="4"/>
  <c r="B307" i="4"/>
  <c r="C307" i="4"/>
  <c r="D307" i="4"/>
  <c r="E307" i="4"/>
  <c r="F307" i="4"/>
  <c r="G307" i="4"/>
  <c r="H307" i="4"/>
  <c r="I307" i="4"/>
  <c r="J307" i="4"/>
  <c r="B308" i="4"/>
  <c r="C308" i="4"/>
  <c r="D308" i="4"/>
  <c r="E308" i="4"/>
  <c r="F308" i="4"/>
  <c r="G308" i="4"/>
  <c r="H308" i="4"/>
  <c r="I308" i="4"/>
  <c r="J308" i="4"/>
  <c r="B309" i="4"/>
  <c r="C309" i="4"/>
  <c r="D309" i="4"/>
  <c r="E309" i="4"/>
  <c r="F309" i="4"/>
  <c r="G309" i="4"/>
  <c r="H309" i="4"/>
  <c r="I309" i="4"/>
  <c r="J309" i="4"/>
  <c r="B310" i="4"/>
  <c r="C310" i="4"/>
  <c r="D310" i="4"/>
  <c r="E310" i="4"/>
  <c r="F310" i="4"/>
  <c r="G310" i="4"/>
  <c r="H310" i="4"/>
  <c r="I310" i="4"/>
  <c r="J310" i="4"/>
  <c r="B311" i="4"/>
  <c r="C311" i="4"/>
  <c r="D311" i="4"/>
  <c r="E311" i="4"/>
  <c r="F311" i="4"/>
  <c r="G311" i="4"/>
  <c r="H311" i="4"/>
  <c r="I311" i="4"/>
  <c r="J311" i="4"/>
  <c r="B312" i="4"/>
  <c r="C312" i="4"/>
  <c r="D312" i="4"/>
  <c r="E312" i="4"/>
  <c r="F312" i="4"/>
  <c r="G312" i="4"/>
  <c r="H312" i="4"/>
  <c r="I312" i="4"/>
  <c r="J312" i="4"/>
  <c r="B313" i="4"/>
  <c r="C313" i="4"/>
  <c r="D313" i="4"/>
  <c r="E313" i="4"/>
  <c r="F313" i="4"/>
  <c r="G313" i="4"/>
  <c r="H313" i="4"/>
  <c r="I313" i="4"/>
  <c r="J313" i="4"/>
  <c r="J626" i="4" s="1"/>
  <c r="B314" i="4"/>
  <c r="C314" i="4"/>
  <c r="D314" i="4"/>
  <c r="E314" i="4"/>
  <c r="F314" i="4"/>
  <c r="G314" i="4"/>
  <c r="H314" i="4"/>
  <c r="I314" i="4"/>
  <c r="J314" i="4"/>
  <c r="B315" i="4"/>
  <c r="C315" i="4"/>
  <c r="D315" i="4"/>
  <c r="E315" i="4"/>
  <c r="F315" i="4"/>
  <c r="G315" i="4"/>
  <c r="H315" i="4"/>
  <c r="I315" i="4"/>
  <c r="J315" i="4"/>
  <c r="B316" i="4"/>
  <c r="C316" i="4"/>
  <c r="D316" i="4"/>
  <c r="E316" i="4"/>
  <c r="F316" i="4"/>
  <c r="G316" i="4"/>
  <c r="H316" i="4"/>
  <c r="I316" i="4"/>
  <c r="J316" i="4"/>
  <c r="B317" i="4"/>
  <c r="C317" i="4"/>
  <c r="D317" i="4"/>
  <c r="E317" i="4"/>
  <c r="F317" i="4"/>
  <c r="G317" i="4"/>
  <c r="H317" i="4"/>
  <c r="I317" i="4"/>
  <c r="J317" i="4"/>
  <c r="B318" i="4"/>
  <c r="C318" i="4"/>
  <c r="D318" i="4"/>
  <c r="E318" i="4"/>
  <c r="F318" i="4"/>
  <c r="G318" i="4"/>
  <c r="H318" i="4"/>
  <c r="I318" i="4"/>
  <c r="J318" i="4"/>
  <c r="B319" i="4"/>
  <c r="C319" i="4"/>
  <c r="D319" i="4"/>
  <c r="E319" i="4"/>
  <c r="F319" i="4"/>
  <c r="G319" i="4"/>
  <c r="H319" i="4"/>
  <c r="I319" i="4"/>
  <c r="J319" i="4"/>
  <c r="B320" i="4"/>
  <c r="C320" i="4"/>
  <c r="D320" i="4"/>
  <c r="E320" i="4"/>
  <c r="F320" i="4"/>
  <c r="G320" i="4"/>
  <c r="H320" i="4"/>
  <c r="I320" i="4"/>
  <c r="J320" i="4"/>
  <c r="B321" i="4"/>
  <c r="C321" i="4"/>
  <c r="D321" i="4"/>
  <c r="E321" i="4"/>
  <c r="F321" i="4"/>
  <c r="G321" i="4"/>
  <c r="H321" i="4"/>
  <c r="I321" i="4"/>
  <c r="J321" i="4"/>
  <c r="B322" i="4"/>
  <c r="C322" i="4"/>
  <c r="D322" i="4"/>
  <c r="E322" i="4"/>
  <c r="F322" i="4"/>
  <c r="G322" i="4"/>
  <c r="H322" i="4"/>
  <c r="I322" i="4"/>
  <c r="J322" i="4"/>
  <c r="B323" i="4"/>
  <c r="C323" i="4"/>
  <c r="D323" i="4"/>
  <c r="E323" i="4"/>
  <c r="F323" i="4"/>
  <c r="G323" i="4"/>
  <c r="H323" i="4"/>
  <c r="I323" i="4"/>
  <c r="J323" i="4"/>
  <c r="B324" i="4"/>
  <c r="C324" i="4"/>
  <c r="D324" i="4"/>
  <c r="E324" i="4"/>
  <c r="F324" i="4"/>
  <c r="G324" i="4"/>
  <c r="H324" i="4"/>
  <c r="I324" i="4"/>
  <c r="J324" i="4"/>
  <c r="B325" i="4"/>
  <c r="C325" i="4"/>
  <c r="D325" i="4"/>
  <c r="E325" i="4"/>
  <c r="F325" i="4"/>
  <c r="G325" i="4"/>
  <c r="H325" i="4"/>
  <c r="I325" i="4"/>
  <c r="J325" i="4"/>
  <c r="J627" i="4" s="1"/>
  <c r="B326" i="4"/>
  <c r="C326" i="4"/>
  <c r="D326" i="4"/>
  <c r="E326" i="4"/>
  <c r="F326" i="4"/>
  <c r="G326" i="4"/>
  <c r="H326" i="4"/>
  <c r="I326" i="4"/>
  <c r="J326" i="4"/>
  <c r="B327" i="4"/>
  <c r="C327" i="4"/>
  <c r="D327" i="4"/>
  <c r="E327" i="4"/>
  <c r="F327" i="4"/>
  <c r="G327" i="4"/>
  <c r="H327" i="4"/>
  <c r="I327" i="4"/>
  <c r="J327" i="4"/>
  <c r="B328" i="4"/>
  <c r="C328" i="4"/>
  <c r="D328" i="4"/>
  <c r="E328" i="4"/>
  <c r="F328" i="4"/>
  <c r="G328" i="4"/>
  <c r="H328" i="4"/>
  <c r="I328" i="4"/>
  <c r="J328" i="4"/>
  <c r="B329" i="4"/>
  <c r="C329" i="4"/>
  <c r="D329" i="4"/>
  <c r="E329" i="4"/>
  <c r="F329" i="4"/>
  <c r="G329" i="4"/>
  <c r="H329" i="4"/>
  <c r="I329" i="4"/>
  <c r="J329" i="4"/>
  <c r="B330" i="4"/>
  <c r="C330" i="4"/>
  <c r="D330" i="4"/>
  <c r="E330" i="4"/>
  <c r="F330" i="4"/>
  <c r="G330" i="4"/>
  <c r="H330" i="4"/>
  <c r="I330" i="4"/>
  <c r="J330" i="4"/>
  <c r="B331" i="4"/>
  <c r="C331" i="4"/>
  <c r="D331" i="4"/>
  <c r="E331" i="4"/>
  <c r="F331" i="4"/>
  <c r="G331" i="4"/>
  <c r="H331" i="4"/>
  <c r="I331" i="4"/>
  <c r="J331" i="4"/>
  <c r="B332" i="4"/>
  <c r="C332" i="4"/>
  <c r="D332" i="4"/>
  <c r="E332" i="4"/>
  <c r="F332" i="4"/>
  <c r="G332" i="4"/>
  <c r="H332" i="4"/>
  <c r="I332" i="4"/>
  <c r="J332" i="4"/>
  <c r="B333" i="4"/>
  <c r="C333" i="4"/>
  <c r="D333" i="4"/>
  <c r="E333" i="4"/>
  <c r="F333" i="4"/>
  <c r="G333" i="4"/>
  <c r="H333" i="4"/>
  <c r="I333" i="4"/>
  <c r="J333" i="4"/>
  <c r="B334" i="4"/>
  <c r="C334" i="4"/>
  <c r="D334" i="4"/>
  <c r="E334" i="4"/>
  <c r="F334" i="4"/>
  <c r="G334" i="4"/>
  <c r="H334" i="4"/>
  <c r="I334" i="4"/>
  <c r="J334" i="4"/>
  <c r="B335" i="4"/>
  <c r="C335" i="4"/>
  <c r="D335" i="4"/>
  <c r="E335" i="4"/>
  <c r="F335" i="4"/>
  <c r="G335" i="4"/>
  <c r="H335" i="4"/>
  <c r="I335" i="4"/>
  <c r="J335" i="4"/>
  <c r="B336" i="4"/>
  <c r="C336" i="4"/>
  <c r="D336" i="4"/>
  <c r="E336" i="4"/>
  <c r="F336" i="4"/>
  <c r="G336" i="4"/>
  <c r="H336" i="4"/>
  <c r="I336" i="4"/>
  <c r="J336" i="4"/>
  <c r="B337" i="4"/>
  <c r="C337" i="4"/>
  <c r="D337" i="4"/>
  <c r="E337" i="4"/>
  <c r="F337" i="4"/>
  <c r="G337" i="4"/>
  <c r="H337" i="4"/>
  <c r="I337" i="4"/>
  <c r="J337" i="4"/>
  <c r="J628" i="4" s="1"/>
  <c r="B338" i="4"/>
  <c r="C338" i="4"/>
  <c r="D338" i="4"/>
  <c r="E338" i="4"/>
  <c r="F338" i="4"/>
  <c r="G338" i="4"/>
  <c r="H338" i="4"/>
  <c r="I338" i="4"/>
  <c r="J338" i="4"/>
  <c r="B339" i="4"/>
  <c r="C339" i="4"/>
  <c r="D339" i="4"/>
  <c r="E339" i="4"/>
  <c r="F339" i="4"/>
  <c r="G339" i="4"/>
  <c r="H339" i="4"/>
  <c r="I339" i="4"/>
  <c r="J339" i="4"/>
  <c r="B340" i="4"/>
  <c r="C340" i="4"/>
  <c r="D340" i="4"/>
  <c r="E340" i="4"/>
  <c r="F340" i="4"/>
  <c r="G340" i="4"/>
  <c r="H340" i="4"/>
  <c r="I340" i="4"/>
  <c r="J340" i="4"/>
  <c r="B341" i="4"/>
  <c r="C341" i="4"/>
  <c r="D341" i="4"/>
  <c r="E341" i="4"/>
  <c r="F341" i="4"/>
  <c r="G341" i="4"/>
  <c r="H341" i="4"/>
  <c r="I341" i="4"/>
  <c r="J341" i="4"/>
  <c r="B342" i="4"/>
  <c r="C342" i="4"/>
  <c r="D342" i="4"/>
  <c r="E342" i="4"/>
  <c r="F342" i="4"/>
  <c r="G342" i="4"/>
  <c r="H342" i="4"/>
  <c r="I342" i="4"/>
  <c r="J342" i="4"/>
  <c r="B343" i="4"/>
  <c r="C343" i="4"/>
  <c r="D343" i="4"/>
  <c r="E343" i="4"/>
  <c r="F343" i="4"/>
  <c r="G343" i="4"/>
  <c r="H343" i="4"/>
  <c r="I343" i="4"/>
  <c r="J343" i="4"/>
  <c r="B344" i="4"/>
  <c r="C344" i="4"/>
  <c r="D344" i="4"/>
  <c r="E344" i="4"/>
  <c r="F344" i="4"/>
  <c r="G344" i="4"/>
  <c r="H344" i="4"/>
  <c r="I344" i="4"/>
  <c r="J344" i="4"/>
  <c r="B345" i="4"/>
  <c r="C345" i="4"/>
  <c r="D345" i="4"/>
  <c r="E345" i="4"/>
  <c r="F345" i="4"/>
  <c r="G345" i="4"/>
  <c r="H345" i="4"/>
  <c r="I345" i="4"/>
  <c r="J345" i="4"/>
  <c r="B346" i="4"/>
  <c r="C346" i="4"/>
  <c r="D346" i="4"/>
  <c r="E346" i="4"/>
  <c r="F346" i="4"/>
  <c r="G346" i="4"/>
  <c r="H346" i="4"/>
  <c r="I346" i="4"/>
  <c r="J346" i="4"/>
  <c r="B347" i="4"/>
  <c r="C347" i="4"/>
  <c r="D347" i="4"/>
  <c r="E347" i="4"/>
  <c r="F347" i="4"/>
  <c r="G347" i="4"/>
  <c r="H347" i="4"/>
  <c r="I347" i="4"/>
  <c r="J347" i="4"/>
  <c r="B348" i="4"/>
  <c r="C348" i="4"/>
  <c r="D348" i="4"/>
  <c r="E348" i="4"/>
  <c r="F348" i="4"/>
  <c r="G348" i="4"/>
  <c r="H348" i="4"/>
  <c r="I348" i="4"/>
  <c r="J348" i="4"/>
  <c r="B349" i="4"/>
  <c r="C349" i="4"/>
  <c r="D349" i="4"/>
  <c r="E349" i="4"/>
  <c r="F349" i="4"/>
  <c r="G349" i="4"/>
  <c r="H349" i="4"/>
  <c r="I349" i="4"/>
  <c r="J349" i="4"/>
  <c r="J629" i="4" s="1"/>
  <c r="B350" i="4"/>
  <c r="C350" i="4"/>
  <c r="D350" i="4"/>
  <c r="E350" i="4"/>
  <c r="F350" i="4"/>
  <c r="G350" i="4"/>
  <c r="H350" i="4"/>
  <c r="I350" i="4"/>
  <c r="J350" i="4"/>
  <c r="B351" i="4"/>
  <c r="C351" i="4"/>
  <c r="D351" i="4"/>
  <c r="E351" i="4"/>
  <c r="F351" i="4"/>
  <c r="G351" i="4"/>
  <c r="H351" i="4"/>
  <c r="I351" i="4"/>
  <c r="J351" i="4"/>
  <c r="B352" i="4"/>
  <c r="C352" i="4"/>
  <c r="D352" i="4"/>
  <c r="E352" i="4"/>
  <c r="F352" i="4"/>
  <c r="G352" i="4"/>
  <c r="H352" i="4"/>
  <c r="I352" i="4"/>
  <c r="J352" i="4"/>
  <c r="B353" i="4"/>
  <c r="C353" i="4"/>
  <c r="D353" i="4"/>
  <c r="E353" i="4"/>
  <c r="F353" i="4"/>
  <c r="G353" i="4"/>
  <c r="H353" i="4"/>
  <c r="I353" i="4"/>
  <c r="J353" i="4"/>
  <c r="B354" i="4"/>
  <c r="C354" i="4"/>
  <c r="D354" i="4"/>
  <c r="E354" i="4"/>
  <c r="F354" i="4"/>
  <c r="G354" i="4"/>
  <c r="H354" i="4"/>
  <c r="I354" i="4"/>
  <c r="J354" i="4"/>
  <c r="B355" i="4"/>
  <c r="C355" i="4"/>
  <c r="D355" i="4"/>
  <c r="E355" i="4"/>
  <c r="F355" i="4"/>
  <c r="G355" i="4"/>
  <c r="H355" i="4"/>
  <c r="I355" i="4"/>
  <c r="J355" i="4"/>
  <c r="B356" i="4"/>
  <c r="C356" i="4"/>
  <c r="D356" i="4"/>
  <c r="E356" i="4"/>
  <c r="F356" i="4"/>
  <c r="G356" i="4"/>
  <c r="H356" i="4"/>
  <c r="I356" i="4"/>
  <c r="J356" i="4"/>
  <c r="B357" i="4"/>
  <c r="C357" i="4"/>
  <c r="D357" i="4"/>
  <c r="E357" i="4"/>
  <c r="F357" i="4"/>
  <c r="G357" i="4"/>
  <c r="H357" i="4"/>
  <c r="I357" i="4"/>
  <c r="J357" i="4"/>
  <c r="B358" i="4"/>
  <c r="C358" i="4"/>
  <c r="D358" i="4"/>
  <c r="E358" i="4"/>
  <c r="F358" i="4"/>
  <c r="G358" i="4"/>
  <c r="H358" i="4"/>
  <c r="I358" i="4"/>
  <c r="J358" i="4"/>
  <c r="B359" i="4"/>
  <c r="C359" i="4"/>
  <c r="D359" i="4"/>
  <c r="E359" i="4"/>
  <c r="F359" i="4"/>
  <c r="G359" i="4"/>
  <c r="H359" i="4"/>
  <c r="I359" i="4"/>
  <c r="J359" i="4"/>
  <c r="B360" i="4"/>
  <c r="C360" i="4"/>
  <c r="D360" i="4"/>
  <c r="E360" i="4"/>
  <c r="F360" i="4"/>
  <c r="G360" i="4"/>
  <c r="H360" i="4"/>
  <c r="I360" i="4"/>
  <c r="J360" i="4"/>
  <c r="B361" i="4"/>
  <c r="C361" i="4"/>
  <c r="D361" i="4"/>
  <c r="E361" i="4"/>
  <c r="F361" i="4"/>
  <c r="G361" i="4"/>
  <c r="H361" i="4"/>
  <c r="I361" i="4"/>
  <c r="J361" i="4"/>
  <c r="J630" i="4" s="1"/>
  <c r="B362" i="4"/>
  <c r="C362" i="4"/>
  <c r="D362" i="4"/>
  <c r="E362" i="4"/>
  <c r="F362" i="4"/>
  <c r="G362" i="4"/>
  <c r="H362" i="4"/>
  <c r="I362" i="4"/>
  <c r="J362" i="4"/>
  <c r="B363" i="4"/>
  <c r="C363" i="4"/>
  <c r="D363" i="4"/>
  <c r="E363" i="4"/>
  <c r="F363" i="4"/>
  <c r="G363" i="4"/>
  <c r="H363" i="4"/>
  <c r="I363" i="4"/>
  <c r="J363" i="4"/>
  <c r="B364" i="4"/>
  <c r="C364" i="4"/>
  <c r="D364" i="4"/>
  <c r="E364" i="4"/>
  <c r="F364" i="4"/>
  <c r="G364" i="4"/>
  <c r="H364" i="4"/>
  <c r="I364" i="4"/>
  <c r="J364" i="4"/>
  <c r="B365" i="4"/>
  <c r="C365" i="4"/>
  <c r="D365" i="4"/>
  <c r="E365" i="4"/>
  <c r="F365" i="4"/>
  <c r="G365" i="4"/>
  <c r="H365" i="4"/>
  <c r="I365" i="4"/>
  <c r="J365" i="4"/>
  <c r="B366" i="4"/>
  <c r="C366" i="4"/>
  <c r="D366" i="4"/>
  <c r="E366" i="4"/>
  <c r="F366" i="4"/>
  <c r="G366" i="4"/>
  <c r="H366" i="4"/>
  <c r="I366" i="4"/>
  <c r="J366" i="4"/>
  <c r="B367" i="4"/>
  <c r="C367" i="4"/>
  <c r="D367" i="4"/>
  <c r="E367" i="4"/>
  <c r="F367" i="4"/>
  <c r="G367" i="4"/>
  <c r="H367" i="4"/>
  <c r="I367" i="4"/>
  <c r="J367" i="4"/>
  <c r="B368" i="4"/>
  <c r="C368" i="4"/>
  <c r="D368" i="4"/>
  <c r="E368" i="4"/>
  <c r="F368" i="4"/>
  <c r="G368" i="4"/>
  <c r="H368" i="4"/>
  <c r="I368" i="4"/>
  <c r="J368" i="4"/>
  <c r="B369" i="4"/>
  <c r="C369" i="4"/>
  <c r="D369" i="4"/>
  <c r="E369" i="4"/>
  <c r="F369" i="4"/>
  <c r="G369" i="4"/>
  <c r="H369" i="4"/>
  <c r="I369" i="4"/>
  <c r="J369" i="4"/>
  <c r="B370" i="4"/>
  <c r="C370" i="4"/>
  <c r="D370" i="4"/>
  <c r="E370" i="4"/>
  <c r="F370" i="4"/>
  <c r="G370" i="4"/>
  <c r="H370" i="4"/>
  <c r="I370" i="4"/>
  <c r="J370" i="4"/>
  <c r="B371" i="4"/>
  <c r="C371" i="4"/>
  <c r="D371" i="4"/>
  <c r="E371" i="4"/>
  <c r="F371" i="4"/>
  <c r="G371" i="4"/>
  <c r="H371" i="4"/>
  <c r="I371" i="4"/>
  <c r="J371" i="4"/>
  <c r="B372" i="4"/>
  <c r="C372" i="4"/>
  <c r="D372" i="4"/>
  <c r="E372" i="4"/>
  <c r="F372" i="4"/>
  <c r="G372" i="4"/>
  <c r="H372" i="4"/>
  <c r="I372" i="4"/>
  <c r="J372" i="4"/>
  <c r="B373" i="4"/>
  <c r="C373" i="4"/>
  <c r="D373" i="4"/>
  <c r="E373" i="4"/>
  <c r="F373" i="4"/>
  <c r="G373" i="4"/>
  <c r="H373" i="4"/>
  <c r="I373" i="4"/>
  <c r="J373" i="4"/>
  <c r="J631" i="4" s="1"/>
  <c r="B374" i="4"/>
  <c r="C374" i="4"/>
  <c r="D374" i="4"/>
  <c r="E374" i="4"/>
  <c r="F374" i="4"/>
  <c r="G374" i="4"/>
  <c r="H374" i="4"/>
  <c r="I374" i="4"/>
  <c r="J374" i="4"/>
  <c r="B375" i="4"/>
  <c r="C375" i="4"/>
  <c r="D375" i="4"/>
  <c r="E375" i="4"/>
  <c r="F375" i="4"/>
  <c r="G375" i="4"/>
  <c r="H375" i="4"/>
  <c r="I375" i="4"/>
  <c r="J375" i="4"/>
  <c r="B376" i="4"/>
  <c r="C376" i="4"/>
  <c r="D376" i="4"/>
  <c r="E376" i="4"/>
  <c r="F376" i="4"/>
  <c r="G376" i="4"/>
  <c r="H376" i="4"/>
  <c r="I376" i="4"/>
  <c r="J376" i="4"/>
  <c r="B377" i="4"/>
  <c r="C377" i="4"/>
  <c r="D377" i="4"/>
  <c r="E377" i="4"/>
  <c r="F377" i="4"/>
  <c r="G377" i="4"/>
  <c r="H377" i="4"/>
  <c r="I377" i="4"/>
  <c r="J377" i="4"/>
  <c r="B378" i="4"/>
  <c r="C378" i="4"/>
  <c r="D378" i="4"/>
  <c r="E378" i="4"/>
  <c r="F378" i="4"/>
  <c r="G378" i="4"/>
  <c r="H378" i="4"/>
  <c r="I378" i="4"/>
  <c r="J378" i="4"/>
  <c r="B379" i="4"/>
  <c r="C379" i="4"/>
  <c r="D379" i="4"/>
  <c r="E379" i="4"/>
  <c r="F379" i="4"/>
  <c r="G379" i="4"/>
  <c r="H379" i="4"/>
  <c r="I379" i="4"/>
  <c r="J379" i="4"/>
  <c r="B380" i="4"/>
  <c r="C380" i="4"/>
  <c r="D380" i="4"/>
  <c r="E380" i="4"/>
  <c r="F380" i="4"/>
  <c r="G380" i="4"/>
  <c r="H380" i="4"/>
  <c r="I380" i="4"/>
  <c r="J380" i="4"/>
  <c r="B381" i="4"/>
  <c r="C381" i="4"/>
  <c r="D381" i="4"/>
  <c r="E381" i="4"/>
  <c r="F381" i="4"/>
  <c r="G381" i="4"/>
  <c r="H381" i="4"/>
  <c r="I381" i="4"/>
  <c r="J381" i="4"/>
  <c r="B382" i="4"/>
  <c r="C382" i="4"/>
  <c r="D382" i="4"/>
  <c r="E382" i="4"/>
  <c r="F382" i="4"/>
  <c r="G382" i="4"/>
  <c r="H382" i="4"/>
  <c r="I382" i="4"/>
  <c r="J382" i="4"/>
  <c r="B383" i="4"/>
  <c r="C383" i="4"/>
  <c r="D383" i="4"/>
  <c r="E383" i="4"/>
  <c r="F383" i="4"/>
  <c r="G383" i="4"/>
  <c r="H383" i="4"/>
  <c r="I383" i="4"/>
  <c r="J383" i="4"/>
  <c r="B384" i="4"/>
  <c r="C384" i="4"/>
  <c r="D384" i="4"/>
  <c r="E384" i="4"/>
  <c r="F384" i="4"/>
  <c r="G384" i="4"/>
  <c r="H384" i="4"/>
  <c r="I384" i="4"/>
  <c r="J384" i="4"/>
  <c r="B385" i="4"/>
  <c r="C385" i="4"/>
  <c r="D385" i="4"/>
  <c r="E385" i="4"/>
  <c r="F385" i="4"/>
  <c r="G385" i="4"/>
  <c r="H385" i="4"/>
  <c r="I385" i="4"/>
  <c r="J385" i="4"/>
  <c r="J632" i="4" s="1"/>
  <c r="B386" i="4"/>
  <c r="C386" i="4"/>
  <c r="D386" i="4"/>
  <c r="E386" i="4"/>
  <c r="F386" i="4"/>
  <c r="G386" i="4"/>
  <c r="H386" i="4"/>
  <c r="I386" i="4"/>
  <c r="J386" i="4"/>
  <c r="B387" i="4"/>
  <c r="C387" i="4"/>
  <c r="D387" i="4"/>
  <c r="E387" i="4"/>
  <c r="F387" i="4"/>
  <c r="G387" i="4"/>
  <c r="H387" i="4"/>
  <c r="I387" i="4"/>
  <c r="J387" i="4"/>
  <c r="B388" i="4"/>
  <c r="C388" i="4"/>
  <c r="D388" i="4"/>
  <c r="E388" i="4"/>
  <c r="F388" i="4"/>
  <c r="G388" i="4"/>
  <c r="H388" i="4"/>
  <c r="I388" i="4"/>
  <c r="J388" i="4"/>
  <c r="B389" i="4"/>
  <c r="C389" i="4"/>
  <c r="D389" i="4"/>
  <c r="E389" i="4"/>
  <c r="F389" i="4"/>
  <c r="G389" i="4"/>
  <c r="H389" i="4"/>
  <c r="I389" i="4"/>
  <c r="J389" i="4"/>
  <c r="B390" i="4"/>
  <c r="C390" i="4"/>
  <c r="D390" i="4"/>
  <c r="E390" i="4"/>
  <c r="F390" i="4"/>
  <c r="G390" i="4"/>
  <c r="H390" i="4"/>
  <c r="I390" i="4"/>
  <c r="J390" i="4"/>
  <c r="B391" i="4"/>
  <c r="C391" i="4"/>
  <c r="D391" i="4"/>
  <c r="E391" i="4"/>
  <c r="F391" i="4"/>
  <c r="G391" i="4"/>
  <c r="H391" i="4"/>
  <c r="I391" i="4"/>
  <c r="J391" i="4"/>
  <c r="B392" i="4"/>
  <c r="C392" i="4"/>
  <c r="D392" i="4"/>
  <c r="E392" i="4"/>
  <c r="F392" i="4"/>
  <c r="G392" i="4"/>
  <c r="H392" i="4"/>
  <c r="I392" i="4"/>
  <c r="J392" i="4"/>
  <c r="B393" i="4"/>
  <c r="C393" i="4"/>
  <c r="D393" i="4"/>
  <c r="E393" i="4"/>
  <c r="F393" i="4"/>
  <c r="G393" i="4"/>
  <c r="H393" i="4"/>
  <c r="I393" i="4"/>
  <c r="J393" i="4"/>
  <c r="B394" i="4"/>
  <c r="C394" i="4"/>
  <c r="D394" i="4"/>
  <c r="E394" i="4"/>
  <c r="F394" i="4"/>
  <c r="G394" i="4"/>
  <c r="H394" i="4"/>
  <c r="I394" i="4"/>
  <c r="J394" i="4"/>
  <c r="B395" i="4"/>
  <c r="C395" i="4"/>
  <c r="D395" i="4"/>
  <c r="E395" i="4"/>
  <c r="F395" i="4"/>
  <c r="G395" i="4"/>
  <c r="H395" i="4"/>
  <c r="I395" i="4"/>
  <c r="J395" i="4"/>
  <c r="B396" i="4"/>
  <c r="C396" i="4"/>
  <c r="D396" i="4"/>
  <c r="E396" i="4"/>
  <c r="F396" i="4"/>
  <c r="G396" i="4"/>
  <c r="H396" i="4"/>
  <c r="I396" i="4"/>
  <c r="J396" i="4"/>
  <c r="B397" i="4"/>
  <c r="C397" i="4"/>
  <c r="D397" i="4"/>
  <c r="E397" i="4"/>
  <c r="F397" i="4"/>
  <c r="G397" i="4"/>
  <c r="H397" i="4"/>
  <c r="I397" i="4"/>
  <c r="J397" i="4"/>
  <c r="J633" i="4" s="1"/>
  <c r="B398" i="4"/>
  <c r="C398" i="4"/>
  <c r="D398" i="4"/>
  <c r="E398" i="4"/>
  <c r="F398" i="4"/>
  <c r="G398" i="4"/>
  <c r="H398" i="4"/>
  <c r="I398" i="4"/>
  <c r="J398" i="4"/>
  <c r="B399" i="4"/>
  <c r="C399" i="4"/>
  <c r="D399" i="4"/>
  <c r="E399" i="4"/>
  <c r="F399" i="4"/>
  <c r="G399" i="4"/>
  <c r="H399" i="4"/>
  <c r="I399" i="4"/>
  <c r="J399" i="4"/>
  <c r="B400" i="4"/>
  <c r="C400" i="4"/>
  <c r="D400" i="4"/>
  <c r="E400" i="4"/>
  <c r="F400" i="4"/>
  <c r="G400" i="4"/>
  <c r="H400" i="4"/>
  <c r="I400" i="4"/>
  <c r="J400" i="4"/>
  <c r="B401" i="4"/>
  <c r="C401" i="4"/>
  <c r="D401" i="4"/>
  <c r="E401" i="4"/>
  <c r="F401" i="4"/>
  <c r="G401" i="4"/>
  <c r="H401" i="4"/>
  <c r="I401" i="4"/>
  <c r="J401" i="4"/>
  <c r="B402" i="4"/>
  <c r="C402" i="4"/>
  <c r="D402" i="4"/>
  <c r="E402" i="4"/>
  <c r="F402" i="4"/>
  <c r="G402" i="4"/>
  <c r="H402" i="4"/>
  <c r="I402" i="4"/>
  <c r="J402" i="4"/>
  <c r="B403" i="4"/>
  <c r="C403" i="4"/>
  <c r="D403" i="4"/>
  <c r="E403" i="4"/>
  <c r="F403" i="4"/>
  <c r="G403" i="4"/>
  <c r="H403" i="4"/>
  <c r="I403" i="4"/>
  <c r="J403" i="4"/>
  <c r="B404" i="4"/>
  <c r="C404" i="4"/>
  <c r="D404" i="4"/>
  <c r="E404" i="4"/>
  <c r="F404" i="4"/>
  <c r="G404" i="4"/>
  <c r="H404" i="4"/>
  <c r="I404" i="4"/>
  <c r="J404" i="4"/>
  <c r="B405" i="4"/>
  <c r="C405" i="4"/>
  <c r="D405" i="4"/>
  <c r="E405" i="4"/>
  <c r="F405" i="4"/>
  <c r="G405" i="4"/>
  <c r="H405" i="4"/>
  <c r="I405" i="4"/>
  <c r="J405" i="4"/>
  <c r="B406" i="4"/>
  <c r="C406" i="4"/>
  <c r="D406" i="4"/>
  <c r="E406" i="4"/>
  <c r="F406" i="4"/>
  <c r="G406" i="4"/>
  <c r="H406" i="4"/>
  <c r="I406" i="4"/>
  <c r="J406" i="4"/>
  <c r="B407" i="4"/>
  <c r="C407" i="4"/>
  <c r="D407" i="4"/>
  <c r="E407" i="4"/>
  <c r="F407" i="4"/>
  <c r="G407" i="4"/>
  <c r="H407" i="4"/>
  <c r="I407" i="4"/>
  <c r="J407" i="4"/>
  <c r="B408" i="4"/>
  <c r="C408" i="4"/>
  <c r="D408" i="4"/>
  <c r="E408" i="4"/>
  <c r="F408" i="4"/>
  <c r="G408" i="4"/>
  <c r="H408" i="4"/>
  <c r="I408" i="4"/>
  <c r="J408" i="4"/>
  <c r="B409" i="4"/>
  <c r="C409" i="4"/>
  <c r="D409" i="4"/>
  <c r="E409" i="4"/>
  <c r="F409" i="4"/>
  <c r="G409" i="4"/>
  <c r="H409" i="4"/>
  <c r="I409" i="4"/>
  <c r="J409" i="4"/>
  <c r="J634" i="4" s="1"/>
  <c r="B410" i="4"/>
  <c r="C410" i="4"/>
  <c r="D410" i="4"/>
  <c r="E410" i="4"/>
  <c r="F410" i="4"/>
  <c r="G410" i="4"/>
  <c r="H410" i="4"/>
  <c r="I410" i="4"/>
  <c r="J410" i="4"/>
  <c r="B411" i="4"/>
  <c r="C411" i="4"/>
  <c r="D411" i="4"/>
  <c r="E411" i="4"/>
  <c r="F411" i="4"/>
  <c r="G411" i="4"/>
  <c r="H411" i="4"/>
  <c r="I411" i="4"/>
  <c r="J411" i="4"/>
  <c r="B412" i="4"/>
  <c r="C412" i="4"/>
  <c r="D412" i="4"/>
  <c r="E412" i="4"/>
  <c r="F412" i="4"/>
  <c r="G412" i="4"/>
  <c r="H412" i="4"/>
  <c r="I412" i="4"/>
  <c r="J412" i="4"/>
  <c r="B413" i="4"/>
  <c r="C413" i="4"/>
  <c r="D413" i="4"/>
  <c r="E413" i="4"/>
  <c r="F413" i="4"/>
  <c r="G413" i="4"/>
  <c r="H413" i="4"/>
  <c r="I413" i="4"/>
  <c r="J413" i="4"/>
  <c r="B414" i="4"/>
  <c r="C414" i="4"/>
  <c r="D414" i="4"/>
  <c r="E414" i="4"/>
  <c r="F414" i="4"/>
  <c r="G414" i="4"/>
  <c r="H414" i="4"/>
  <c r="I414" i="4"/>
  <c r="J414" i="4"/>
  <c r="B415" i="4"/>
  <c r="C415" i="4"/>
  <c r="D415" i="4"/>
  <c r="E415" i="4"/>
  <c r="F415" i="4"/>
  <c r="G415" i="4"/>
  <c r="H415" i="4"/>
  <c r="I415" i="4"/>
  <c r="J415" i="4"/>
  <c r="B416" i="4"/>
  <c r="C416" i="4"/>
  <c r="D416" i="4"/>
  <c r="E416" i="4"/>
  <c r="F416" i="4"/>
  <c r="G416" i="4"/>
  <c r="H416" i="4"/>
  <c r="I416" i="4"/>
  <c r="J416" i="4"/>
  <c r="B417" i="4"/>
  <c r="C417" i="4"/>
  <c r="D417" i="4"/>
  <c r="E417" i="4"/>
  <c r="F417" i="4"/>
  <c r="G417" i="4"/>
  <c r="H417" i="4"/>
  <c r="I417" i="4"/>
  <c r="J417" i="4"/>
  <c r="B418" i="4"/>
  <c r="C418" i="4"/>
  <c r="D418" i="4"/>
  <c r="E418" i="4"/>
  <c r="F418" i="4"/>
  <c r="G418" i="4"/>
  <c r="H418" i="4"/>
  <c r="I418" i="4"/>
  <c r="J418" i="4"/>
  <c r="B419" i="4"/>
  <c r="C419" i="4"/>
  <c r="D419" i="4"/>
  <c r="E419" i="4"/>
  <c r="F419" i="4"/>
  <c r="G419" i="4"/>
  <c r="H419" i="4"/>
  <c r="I419" i="4"/>
  <c r="J419" i="4"/>
  <c r="B420" i="4"/>
  <c r="C420" i="4"/>
  <c r="D420" i="4"/>
  <c r="E420" i="4"/>
  <c r="F420" i="4"/>
  <c r="G420" i="4"/>
  <c r="H420" i="4"/>
  <c r="I420" i="4"/>
  <c r="J420" i="4"/>
  <c r="B421" i="4"/>
  <c r="C421" i="4"/>
  <c r="D421" i="4"/>
  <c r="E421" i="4"/>
  <c r="F421" i="4"/>
  <c r="G421" i="4"/>
  <c r="H421" i="4"/>
  <c r="I421" i="4"/>
  <c r="J421" i="4"/>
  <c r="J635" i="4" s="1"/>
  <c r="B422" i="4"/>
  <c r="C422" i="4"/>
  <c r="D422" i="4"/>
  <c r="E422" i="4"/>
  <c r="F422" i="4"/>
  <c r="G422" i="4"/>
  <c r="H422" i="4"/>
  <c r="I422" i="4"/>
  <c r="J422" i="4"/>
  <c r="B423" i="4"/>
  <c r="C423" i="4"/>
  <c r="D423" i="4"/>
  <c r="E423" i="4"/>
  <c r="F423" i="4"/>
  <c r="G423" i="4"/>
  <c r="H423" i="4"/>
  <c r="I423" i="4"/>
  <c r="J423" i="4"/>
  <c r="B424" i="4"/>
  <c r="C424" i="4"/>
  <c r="D424" i="4"/>
  <c r="E424" i="4"/>
  <c r="F424" i="4"/>
  <c r="G424" i="4"/>
  <c r="H424" i="4"/>
  <c r="I424" i="4"/>
  <c r="J424" i="4"/>
  <c r="B425" i="4"/>
  <c r="C425" i="4"/>
  <c r="D425" i="4"/>
  <c r="E425" i="4"/>
  <c r="F425" i="4"/>
  <c r="G425" i="4"/>
  <c r="H425" i="4"/>
  <c r="I425" i="4"/>
  <c r="J425" i="4"/>
  <c r="B426" i="4"/>
  <c r="C426" i="4"/>
  <c r="D426" i="4"/>
  <c r="E426" i="4"/>
  <c r="F426" i="4"/>
  <c r="G426" i="4"/>
  <c r="H426" i="4"/>
  <c r="I426" i="4"/>
  <c r="J426" i="4"/>
  <c r="B427" i="4"/>
  <c r="C427" i="4"/>
  <c r="D427" i="4"/>
  <c r="E427" i="4"/>
  <c r="F427" i="4"/>
  <c r="G427" i="4"/>
  <c r="H427" i="4"/>
  <c r="I427" i="4"/>
  <c r="J427" i="4"/>
  <c r="B428" i="4"/>
  <c r="C428" i="4"/>
  <c r="D428" i="4"/>
  <c r="E428" i="4"/>
  <c r="F428" i="4"/>
  <c r="G428" i="4"/>
  <c r="H428" i="4"/>
  <c r="I428" i="4"/>
  <c r="J428" i="4"/>
  <c r="B429" i="4"/>
  <c r="C429" i="4"/>
  <c r="D429" i="4"/>
  <c r="E429" i="4"/>
  <c r="F429" i="4"/>
  <c r="G429" i="4"/>
  <c r="H429" i="4"/>
  <c r="I429" i="4"/>
  <c r="J429" i="4"/>
  <c r="B430" i="4"/>
  <c r="C430" i="4"/>
  <c r="D430" i="4"/>
  <c r="E430" i="4"/>
  <c r="F430" i="4"/>
  <c r="G430" i="4"/>
  <c r="H430" i="4"/>
  <c r="I430" i="4"/>
  <c r="J430" i="4"/>
  <c r="B431" i="4"/>
  <c r="C431" i="4"/>
  <c r="D431" i="4"/>
  <c r="E431" i="4"/>
  <c r="F431" i="4"/>
  <c r="G431" i="4"/>
  <c r="H431" i="4"/>
  <c r="I431" i="4"/>
  <c r="J431" i="4"/>
  <c r="B432" i="4"/>
  <c r="C432" i="4"/>
  <c r="D432" i="4"/>
  <c r="E432" i="4"/>
  <c r="F432" i="4"/>
  <c r="G432" i="4"/>
  <c r="H432" i="4"/>
  <c r="I432" i="4"/>
  <c r="J432" i="4"/>
  <c r="B433" i="4"/>
  <c r="C433" i="4"/>
  <c r="D433" i="4"/>
  <c r="E433" i="4"/>
  <c r="F433" i="4"/>
  <c r="G433" i="4"/>
  <c r="H433" i="4"/>
  <c r="I433" i="4"/>
  <c r="J433" i="4"/>
  <c r="J636" i="4" s="1"/>
  <c r="B434" i="4"/>
  <c r="C434" i="4"/>
  <c r="D434" i="4"/>
  <c r="E434" i="4"/>
  <c r="F434" i="4"/>
  <c r="G434" i="4"/>
  <c r="H434" i="4"/>
  <c r="I434" i="4"/>
  <c r="J434" i="4"/>
  <c r="B435" i="4"/>
  <c r="C435" i="4"/>
  <c r="D435" i="4"/>
  <c r="E435" i="4"/>
  <c r="F435" i="4"/>
  <c r="G435" i="4"/>
  <c r="H435" i="4"/>
  <c r="I435" i="4"/>
  <c r="J435" i="4"/>
  <c r="B436" i="4"/>
  <c r="C436" i="4"/>
  <c r="D436" i="4"/>
  <c r="E436" i="4"/>
  <c r="F436" i="4"/>
  <c r="G436" i="4"/>
  <c r="H436" i="4"/>
  <c r="I436" i="4"/>
  <c r="J436" i="4"/>
  <c r="B437" i="4"/>
  <c r="C437" i="4"/>
  <c r="D437" i="4"/>
  <c r="E437" i="4"/>
  <c r="F437" i="4"/>
  <c r="G437" i="4"/>
  <c r="H437" i="4"/>
  <c r="I437" i="4"/>
  <c r="J437" i="4"/>
  <c r="B438" i="4"/>
  <c r="C438" i="4"/>
  <c r="D438" i="4"/>
  <c r="E438" i="4"/>
  <c r="F438" i="4"/>
  <c r="G438" i="4"/>
  <c r="H438" i="4"/>
  <c r="I438" i="4"/>
  <c r="J438" i="4"/>
  <c r="B439" i="4"/>
  <c r="C439" i="4"/>
  <c r="D439" i="4"/>
  <c r="E439" i="4"/>
  <c r="F439" i="4"/>
  <c r="G439" i="4"/>
  <c r="H439" i="4"/>
  <c r="I439" i="4"/>
  <c r="J439" i="4"/>
  <c r="B440" i="4"/>
  <c r="C440" i="4"/>
  <c r="D440" i="4"/>
  <c r="E440" i="4"/>
  <c r="F440" i="4"/>
  <c r="G440" i="4"/>
  <c r="H440" i="4"/>
  <c r="I440" i="4"/>
  <c r="J440" i="4"/>
  <c r="B441" i="4"/>
  <c r="C441" i="4"/>
  <c r="D441" i="4"/>
  <c r="E441" i="4"/>
  <c r="F441" i="4"/>
  <c r="G441" i="4"/>
  <c r="H441" i="4"/>
  <c r="I441" i="4"/>
  <c r="J441" i="4"/>
  <c r="B442" i="4"/>
  <c r="C442" i="4"/>
  <c r="D442" i="4"/>
  <c r="E442" i="4"/>
  <c r="F442" i="4"/>
  <c r="G442" i="4"/>
  <c r="H442" i="4"/>
  <c r="I442" i="4"/>
  <c r="J442" i="4"/>
  <c r="B443" i="4"/>
  <c r="C443" i="4"/>
  <c r="D443" i="4"/>
  <c r="E443" i="4"/>
  <c r="F443" i="4"/>
  <c r="G443" i="4"/>
  <c r="H443" i="4"/>
  <c r="I443" i="4"/>
  <c r="J443" i="4"/>
  <c r="B444" i="4"/>
  <c r="C444" i="4"/>
  <c r="D444" i="4"/>
  <c r="E444" i="4"/>
  <c r="F444" i="4"/>
  <c r="G444" i="4"/>
  <c r="H444" i="4"/>
  <c r="I444" i="4"/>
  <c r="J444" i="4"/>
  <c r="B445" i="4"/>
  <c r="C445" i="4"/>
  <c r="D445" i="4"/>
  <c r="E445" i="4"/>
  <c r="F445" i="4"/>
  <c r="G445" i="4"/>
  <c r="H445" i="4"/>
  <c r="I445" i="4"/>
  <c r="J445" i="4"/>
  <c r="J637" i="4" s="1"/>
  <c r="B446" i="4"/>
  <c r="C446" i="4"/>
  <c r="D446" i="4"/>
  <c r="E446" i="4"/>
  <c r="F446" i="4"/>
  <c r="G446" i="4"/>
  <c r="H446" i="4"/>
  <c r="I446" i="4"/>
  <c r="J446" i="4"/>
  <c r="B447" i="4"/>
  <c r="C447" i="4"/>
  <c r="D447" i="4"/>
  <c r="E447" i="4"/>
  <c r="F447" i="4"/>
  <c r="G447" i="4"/>
  <c r="H447" i="4"/>
  <c r="I447" i="4"/>
  <c r="J447" i="4"/>
  <c r="B448" i="4"/>
  <c r="C448" i="4"/>
  <c r="D448" i="4"/>
  <c r="E448" i="4"/>
  <c r="F448" i="4"/>
  <c r="G448" i="4"/>
  <c r="H448" i="4"/>
  <c r="I448" i="4"/>
  <c r="J448" i="4"/>
  <c r="B449" i="4"/>
  <c r="C449" i="4"/>
  <c r="D449" i="4"/>
  <c r="E449" i="4"/>
  <c r="F449" i="4"/>
  <c r="G449" i="4"/>
  <c r="H449" i="4"/>
  <c r="I449" i="4"/>
  <c r="J449" i="4"/>
  <c r="B450" i="4"/>
  <c r="C450" i="4"/>
  <c r="D450" i="4"/>
  <c r="E450" i="4"/>
  <c r="F450" i="4"/>
  <c r="G450" i="4"/>
  <c r="H450" i="4"/>
  <c r="I450" i="4"/>
  <c r="J450" i="4"/>
  <c r="B451" i="4"/>
  <c r="C451" i="4"/>
  <c r="D451" i="4"/>
  <c r="E451" i="4"/>
  <c r="F451" i="4"/>
  <c r="G451" i="4"/>
  <c r="H451" i="4"/>
  <c r="I451" i="4"/>
  <c r="J451" i="4"/>
  <c r="B452" i="4"/>
  <c r="C452" i="4"/>
  <c r="D452" i="4"/>
  <c r="E452" i="4"/>
  <c r="F452" i="4"/>
  <c r="G452" i="4"/>
  <c r="H452" i="4"/>
  <c r="I452" i="4"/>
  <c r="J452" i="4"/>
  <c r="B453" i="4"/>
  <c r="C453" i="4"/>
  <c r="D453" i="4"/>
  <c r="E453" i="4"/>
  <c r="F453" i="4"/>
  <c r="G453" i="4"/>
  <c r="H453" i="4"/>
  <c r="I453" i="4"/>
  <c r="J453" i="4"/>
  <c r="B454" i="4"/>
  <c r="C454" i="4"/>
  <c r="D454" i="4"/>
  <c r="E454" i="4"/>
  <c r="F454" i="4"/>
  <c r="G454" i="4"/>
  <c r="H454" i="4"/>
  <c r="I454" i="4"/>
  <c r="J454" i="4"/>
  <c r="B455" i="4"/>
  <c r="C455" i="4"/>
  <c r="D455" i="4"/>
  <c r="E455" i="4"/>
  <c r="F455" i="4"/>
  <c r="G455" i="4"/>
  <c r="H455" i="4"/>
  <c r="I455" i="4"/>
  <c r="J455" i="4"/>
  <c r="B456" i="4"/>
  <c r="C456" i="4"/>
  <c r="D456" i="4"/>
  <c r="E456" i="4"/>
  <c r="F456" i="4"/>
  <c r="G456" i="4"/>
  <c r="H456" i="4"/>
  <c r="I456" i="4"/>
  <c r="J456" i="4"/>
  <c r="B457" i="4"/>
  <c r="C457" i="4"/>
  <c r="D457" i="4"/>
  <c r="E457" i="4"/>
  <c r="F457" i="4"/>
  <c r="G457" i="4"/>
  <c r="H457" i="4"/>
  <c r="I457" i="4"/>
  <c r="J457" i="4"/>
  <c r="J638" i="4" s="1"/>
  <c r="B458" i="4"/>
  <c r="C458" i="4"/>
  <c r="D458" i="4"/>
  <c r="E458" i="4"/>
  <c r="F458" i="4"/>
  <c r="G458" i="4"/>
  <c r="H458" i="4"/>
  <c r="I458" i="4"/>
  <c r="J458" i="4"/>
  <c r="B459" i="4"/>
  <c r="C459" i="4"/>
  <c r="D459" i="4"/>
  <c r="E459" i="4"/>
  <c r="F459" i="4"/>
  <c r="G459" i="4"/>
  <c r="H459" i="4"/>
  <c r="I459" i="4"/>
  <c r="J459" i="4"/>
  <c r="B460" i="4"/>
  <c r="C460" i="4"/>
  <c r="D460" i="4"/>
  <c r="E460" i="4"/>
  <c r="F460" i="4"/>
  <c r="G460" i="4"/>
  <c r="H460" i="4"/>
  <c r="I460" i="4"/>
  <c r="J460" i="4"/>
  <c r="B461" i="4"/>
  <c r="C461" i="4"/>
  <c r="D461" i="4"/>
  <c r="E461" i="4"/>
  <c r="F461" i="4"/>
  <c r="G461" i="4"/>
  <c r="H461" i="4"/>
  <c r="I461" i="4"/>
  <c r="J461" i="4"/>
  <c r="B462" i="4"/>
  <c r="C462" i="4"/>
  <c r="D462" i="4"/>
  <c r="E462" i="4"/>
  <c r="F462" i="4"/>
  <c r="G462" i="4"/>
  <c r="H462" i="4"/>
  <c r="I462" i="4"/>
  <c r="J462" i="4"/>
  <c r="B463" i="4"/>
  <c r="C463" i="4"/>
  <c r="D463" i="4"/>
  <c r="E463" i="4"/>
  <c r="F463" i="4"/>
  <c r="G463" i="4"/>
  <c r="H463" i="4"/>
  <c r="I463" i="4"/>
  <c r="J463" i="4"/>
  <c r="B464" i="4"/>
  <c r="C464" i="4"/>
  <c r="D464" i="4"/>
  <c r="E464" i="4"/>
  <c r="F464" i="4"/>
  <c r="G464" i="4"/>
  <c r="H464" i="4"/>
  <c r="I464" i="4"/>
  <c r="J464" i="4"/>
  <c r="B465" i="4"/>
  <c r="C465" i="4"/>
  <c r="D465" i="4"/>
  <c r="E465" i="4"/>
  <c r="F465" i="4"/>
  <c r="G465" i="4"/>
  <c r="H465" i="4"/>
  <c r="I465" i="4"/>
  <c r="J465" i="4"/>
  <c r="B466" i="4"/>
  <c r="C466" i="4"/>
  <c r="D466" i="4"/>
  <c r="E466" i="4"/>
  <c r="F466" i="4"/>
  <c r="G466" i="4"/>
  <c r="H466" i="4"/>
  <c r="I466" i="4"/>
  <c r="J466" i="4"/>
  <c r="B467" i="4"/>
  <c r="C467" i="4"/>
  <c r="D467" i="4"/>
  <c r="E467" i="4"/>
  <c r="F467" i="4"/>
  <c r="G467" i="4"/>
  <c r="H467" i="4"/>
  <c r="I467" i="4"/>
  <c r="J467" i="4"/>
  <c r="B468" i="4"/>
  <c r="C468" i="4"/>
  <c r="D468" i="4"/>
  <c r="E468" i="4"/>
  <c r="F468" i="4"/>
  <c r="G468" i="4"/>
  <c r="H468" i="4"/>
  <c r="I468" i="4"/>
  <c r="J468" i="4"/>
  <c r="B469" i="4"/>
  <c r="C469" i="4"/>
  <c r="D469" i="4"/>
  <c r="E469" i="4"/>
  <c r="F469" i="4"/>
  <c r="G469" i="4"/>
  <c r="H469" i="4"/>
  <c r="I469" i="4"/>
  <c r="J469" i="4"/>
  <c r="J639" i="4" s="1"/>
  <c r="B470" i="4"/>
  <c r="C470" i="4"/>
  <c r="D470" i="4"/>
  <c r="E470" i="4"/>
  <c r="F470" i="4"/>
  <c r="G470" i="4"/>
  <c r="H470" i="4"/>
  <c r="I470" i="4"/>
  <c r="J470" i="4"/>
  <c r="B471" i="4"/>
  <c r="C471" i="4"/>
  <c r="D471" i="4"/>
  <c r="E471" i="4"/>
  <c r="F471" i="4"/>
  <c r="G471" i="4"/>
  <c r="H471" i="4"/>
  <c r="I471" i="4"/>
  <c r="J471" i="4"/>
  <c r="B472" i="4"/>
  <c r="C472" i="4"/>
  <c r="D472" i="4"/>
  <c r="E472" i="4"/>
  <c r="F472" i="4"/>
  <c r="G472" i="4"/>
  <c r="H472" i="4"/>
  <c r="I472" i="4"/>
  <c r="J472" i="4"/>
  <c r="B473" i="4"/>
  <c r="C473" i="4"/>
  <c r="D473" i="4"/>
  <c r="E473" i="4"/>
  <c r="F473" i="4"/>
  <c r="G473" i="4"/>
  <c r="H473" i="4"/>
  <c r="I473" i="4"/>
  <c r="J473" i="4"/>
  <c r="B474" i="4"/>
  <c r="C474" i="4"/>
  <c r="D474" i="4"/>
  <c r="E474" i="4"/>
  <c r="F474" i="4"/>
  <c r="G474" i="4"/>
  <c r="H474" i="4"/>
  <c r="I474" i="4"/>
  <c r="J474" i="4"/>
  <c r="B475" i="4"/>
  <c r="C475" i="4"/>
  <c r="D475" i="4"/>
  <c r="E475" i="4"/>
  <c r="F475" i="4"/>
  <c r="G475" i="4"/>
  <c r="H475" i="4"/>
  <c r="I475" i="4"/>
  <c r="J475" i="4"/>
  <c r="B476" i="4"/>
  <c r="C476" i="4"/>
  <c r="D476" i="4"/>
  <c r="E476" i="4"/>
  <c r="F476" i="4"/>
  <c r="G476" i="4"/>
  <c r="H476" i="4"/>
  <c r="I476" i="4"/>
  <c r="J476" i="4"/>
  <c r="B477" i="4"/>
  <c r="C477" i="4"/>
  <c r="D477" i="4"/>
  <c r="E477" i="4"/>
  <c r="F477" i="4"/>
  <c r="G477" i="4"/>
  <c r="H477" i="4"/>
  <c r="I477" i="4"/>
  <c r="J477" i="4"/>
  <c r="B478" i="4"/>
  <c r="C478" i="4"/>
  <c r="D478" i="4"/>
  <c r="E478" i="4"/>
  <c r="F478" i="4"/>
  <c r="G478" i="4"/>
  <c r="H478" i="4"/>
  <c r="I478" i="4"/>
  <c r="J478" i="4"/>
  <c r="B479" i="4"/>
  <c r="C479" i="4"/>
  <c r="D479" i="4"/>
  <c r="E479" i="4"/>
  <c r="F479" i="4"/>
  <c r="G479" i="4"/>
  <c r="H479" i="4"/>
  <c r="I479" i="4"/>
  <c r="J479" i="4"/>
  <c r="B480" i="4"/>
  <c r="C480" i="4"/>
  <c r="D480" i="4"/>
  <c r="E480" i="4"/>
  <c r="F480" i="4"/>
  <c r="G480" i="4"/>
  <c r="H480" i="4"/>
  <c r="I480" i="4"/>
  <c r="J480" i="4"/>
  <c r="B481" i="4"/>
  <c r="C481" i="4"/>
  <c r="D481" i="4"/>
  <c r="E481" i="4"/>
  <c r="F481" i="4"/>
  <c r="G481" i="4"/>
  <c r="H481" i="4"/>
  <c r="I481" i="4"/>
  <c r="J481" i="4"/>
  <c r="J640" i="4" s="1"/>
  <c r="B482" i="4"/>
  <c r="C482" i="4"/>
  <c r="D482" i="4"/>
  <c r="E482" i="4"/>
  <c r="F482" i="4"/>
  <c r="G482" i="4"/>
  <c r="H482" i="4"/>
  <c r="I482" i="4"/>
  <c r="J482" i="4"/>
  <c r="B483" i="4"/>
  <c r="C483" i="4"/>
  <c r="D483" i="4"/>
  <c r="E483" i="4"/>
  <c r="F483" i="4"/>
  <c r="G483" i="4"/>
  <c r="H483" i="4"/>
  <c r="I483" i="4"/>
  <c r="J483" i="4"/>
  <c r="B484" i="4"/>
  <c r="C484" i="4"/>
  <c r="D484" i="4"/>
  <c r="E484" i="4"/>
  <c r="F484" i="4"/>
  <c r="G484" i="4"/>
  <c r="H484" i="4"/>
  <c r="I484" i="4"/>
  <c r="J484" i="4"/>
  <c r="B485" i="4"/>
  <c r="C485" i="4"/>
  <c r="D485" i="4"/>
  <c r="E485" i="4"/>
  <c r="F485" i="4"/>
  <c r="G485" i="4"/>
  <c r="H485" i="4"/>
  <c r="I485" i="4"/>
  <c r="J485" i="4"/>
  <c r="B486" i="4"/>
  <c r="C486" i="4"/>
  <c r="D486" i="4"/>
  <c r="E486" i="4"/>
  <c r="F486" i="4"/>
  <c r="G486" i="4"/>
  <c r="H486" i="4"/>
  <c r="I486" i="4"/>
  <c r="J486" i="4"/>
  <c r="B487" i="4"/>
  <c r="C487" i="4"/>
  <c r="D487" i="4"/>
  <c r="E487" i="4"/>
  <c r="F487" i="4"/>
  <c r="G487" i="4"/>
  <c r="H487" i="4"/>
  <c r="I487" i="4"/>
  <c r="J487" i="4"/>
  <c r="B488" i="4"/>
  <c r="C488" i="4"/>
  <c r="D488" i="4"/>
  <c r="E488" i="4"/>
  <c r="F488" i="4"/>
  <c r="G488" i="4"/>
  <c r="H488" i="4"/>
  <c r="I488" i="4"/>
  <c r="J488" i="4"/>
  <c r="B489" i="4"/>
  <c r="C489" i="4"/>
  <c r="D489" i="4"/>
  <c r="E489" i="4"/>
  <c r="F489" i="4"/>
  <c r="G489" i="4"/>
  <c r="H489" i="4"/>
  <c r="I489" i="4"/>
  <c r="J489" i="4"/>
  <c r="B490" i="4"/>
  <c r="C490" i="4"/>
  <c r="D490" i="4"/>
  <c r="E490" i="4"/>
  <c r="F490" i="4"/>
  <c r="G490" i="4"/>
  <c r="H490" i="4"/>
  <c r="I490" i="4"/>
  <c r="J490" i="4"/>
  <c r="B491" i="4"/>
  <c r="C491" i="4"/>
  <c r="D491" i="4"/>
  <c r="E491" i="4"/>
  <c r="F491" i="4"/>
  <c r="G491" i="4"/>
  <c r="H491" i="4"/>
  <c r="I491" i="4"/>
  <c r="J491" i="4"/>
  <c r="B492" i="4"/>
  <c r="C492" i="4"/>
  <c r="D492" i="4"/>
  <c r="E492" i="4"/>
  <c r="F492" i="4"/>
  <c r="G492" i="4"/>
  <c r="H492" i="4"/>
  <c r="I492" i="4"/>
  <c r="J492" i="4"/>
  <c r="B493" i="4"/>
  <c r="C493" i="4"/>
  <c r="D493" i="4"/>
  <c r="E493" i="4"/>
  <c r="F493" i="4"/>
  <c r="G493" i="4"/>
  <c r="H493" i="4"/>
  <c r="I493" i="4"/>
  <c r="J493" i="4"/>
  <c r="J641" i="4" s="1"/>
  <c r="B494" i="4"/>
  <c r="C494" i="4"/>
  <c r="D494" i="4"/>
  <c r="E494" i="4"/>
  <c r="F494" i="4"/>
  <c r="G494" i="4"/>
  <c r="H494" i="4"/>
  <c r="I494" i="4"/>
  <c r="J494" i="4"/>
  <c r="B495" i="4"/>
  <c r="C495" i="4"/>
  <c r="D495" i="4"/>
  <c r="E495" i="4"/>
  <c r="F495" i="4"/>
  <c r="G495" i="4"/>
  <c r="H495" i="4"/>
  <c r="I495" i="4"/>
  <c r="J495" i="4"/>
  <c r="B496" i="4"/>
  <c r="C496" i="4"/>
  <c r="D496" i="4"/>
  <c r="E496" i="4"/>
  <c r="F496" i="4"/>
  <c r="G496" i="4"/>
  <c r="H496" i="4"/>
  <c r="I496" i="4"/>
  <c r="J496" i="4"/>
  <c r="B497" i="4"/>
  <c r="C497" i="4"/>
  <c r="D497" i="4"/>
  <c r="E497" i="4"/>
  <c r="F497" i="4"/>
  <c r="G497" i="4"/>
  <c r="H497" i="4"/>
  <c r="I497" i="4"/>
  <c r="J497" i="4"/>
  <c r="B498" i="4"/>
  <c r="C498" i="4"/>
  <c r="D498" i="4"/>
  <c r="E498" i="4"/>
  <c r="F498" i="4"/>
  <c r="G498" i="4"/>
  <c r="H498" i="4"/>
  <c r="I498" i="4"/>
  <c r="J498" i="4"/>
  <c r="B499" i="4"/>
  <c r="C499" i="4"/>
  <c r="D499" i="4"/>
  <c r="E499" i="4"/>
  <c r="F499" i="4"/>
  <c r="G499" i="4"/>
  <c r="H499" i="4"/>
  <c r="I499" i="4"/>
  <c r="J499" i="4"/>
  <c r="B500" i="4"/>
  <c r="C500" i="4"/>
  <c r="D500" i="4"/>
  <c r="E500" i="4"/>
  <c r="F500" i="4"/>
  <c r="G500" i="4"/>
  <c r="H500" i="4"/>
  <c r="I500" i="4"/>
  <c r="J500" i="4"/>
  <c r="B501" i="4"/>
  <c r="C501" i="4"/>
  <c r="D501" i="4"/>
  <c r="E501" i="4"/>
  <c r="F501" i="4"/>
  <c r="G501" i="4"/>
  <c r="H501" i="4"/>
  <c r="I501" i="4"/>
  <c r="J501" i="4"/>
  <c r="B502" i="4"/>
  <c r="C502" i="4"/>
  <c r="D502" i="4"/>
  <c r="E502" i="4"/>
  <c r="F502" i="4"/>
  <c r="G502" i="4"/>
  <c r="H502" i="4"/>
  <c r="I502" i="4"/>
  <c r="J502" i="4"/>
  <c r="B503" i="4"/>
  <c r="C503" i="4"/>
  <c r="D503" i="4"/>
  <c r="E503" i="4"/>
  <c r="F503" i="4"/>
  <c r="G503" i="4"/>
  <c r="H503" i="4"/>
  <c r="I503" i="4"/>
  <c r="J503" i="4"/>
  <c r="B504" i="4"/>
  <c r="C504" i="4"/>
  <c r="D504" i="4"/>
  <c r="E504" i="4"/>
  <c r="F504" i="4"/>
  <c r="G504" i="4"/>
  <c r="H504" i="4"/>
  <c r="I504" i="4"/>
  <c r="J504" i="4"/>
  <c r="B505" i="4"/>
  <c r="C505" i="4"/>
  <c r="D505" i="4"/>
  <c r="E505" i="4"/>
  <c r="F505" i="4"/>
  <c r="G505" i="4"/>
  <c r="H505" i="4"/>
  <c r="I505" i="4"/>
  <c r="J505" i="4"/>
  <c r="J642" i="4" s="1"/>
  <c r="B506" i="4"/>
  <c r="C506" i="4"/>
  <c r="D506" i="4"/>
  <c r="E506" i="4"/>
  <c r="F506" i="4"/>
  <c r="G506" i="4"/>
  <c r="H506" i="4"/>
  <c r="I506" i="4"/>
  <c r="J506" i="4"/>
  <c r="B507" i="4"/>
  <c r="C507" i="4"/>
  <c r="D507" i="4"/>
  <c r="E507" i="4"/>
  <c r="F507" i="4"/>
  <c r="G507" i="4"/>
  <c r="H507" i="4"/>
  <c r="I507" i="4"/>
  <c r="J507" i="4"/>
  <c r="B508" i="4"/>
  <c r="C508" i="4"/>
  <c r="D508" i="4"/>
  <c r="E508" i="4"/>
  <c r="F508" i="4"/>
  <c r="G508" i="4"/>
  <c r="H508" i="4"/>
  <c r="I508" i="4"/>
  <c r="J508" i="4"/>
  <c r="B509" i="4"/>
  <c r="C509" i="4"/>
  <c r="D509" i="4"/>
  <c r="E509" i="4"/>
  <c r="F509" i="4"/>
  <c r="G509" i="4"/>
  <c r="H509" i="4"/>
  <c r="I509" i="4"/>
  <c r="J509" i="4"/>
  <c r="B510" i="4"/>
  <c r="C510" i="4"/>
  <c r="D510" i="4"/>
  <c r="E510" i="4"/>
  <c r="F510" i="4"/>
  <c r="G510" i="4"/>
  <c r="H510" i="4"/>
  <c r="I510" i="4"/>
  <c r="J510" i="4"/>
  <c r="B511" i="4"/>
  <c r="C511" i="4"/>
  <c r="D511" i="4"/>
  <c r="E511" i="4"/>
  <c r="F511" i="4"/>
  <c r="G511" i="4"/>
  <c r="H511" i="4"/>
  <c r="I511" i="4"/>
  <c r="J511" i="4"/>
  <c r="B512" i="4"/>
  <c r="C512" i="4"/>
  <c r="D512" i="4"/>
  <c r="E512" i="4"/>
  <c r="F512" i="4"/>
  <c r="G512" i="4"/>
  <c r="H512" i="4"/>
  <c r="I512" i="4"/>
  <c r="J512" i="4"/>
  <c r="B513" i="4"/>
  <c r="C513" i="4"/>
  <c r="D513" i="4"/>
  <c r="E513" i="4"/>
  <c r="F513" i="4"/>
  <c r="G513" i="4"/>
  <c r="H513" i="4"/>
  <c r="I513" i="4"/>
  <c r="J513" i="4"/>
  <c r="B514" i="4"/>
  <c r="C514" i="4"/>
  <c r="D514" i="4"/>
  <c r="E514" i="4"/>
  <c r="F514" i="4"/>
  <c r="G514" i="4"/>
  <c r="H514" i="4"/>
  <c r="I514" i="4"/>
  <c r="J514" i="4"/>
  <c r="B515" i="4"/>
  <c r="C515" i="4"/>
  <c r="D515" i="4"/>
  <c r="E515" i="4"/>
  <c r="F515" i="4"/>
  <c r="G515" i="4"/>
  <c r="H515" i="4"/>
  <c r="I515" i="4"/>
  <c r="J515" i="4"/>
  <c r="B516" i="4"/>
  <c r="C516" i="4"/>
  <c r="D516" i="4"/>
  <c r="E516" i="4"/>
  <c r="F516" i="4"/>
  <c r="G516" i="4"/>
  <c r="H516" i="4"/>
  <c r="I516" i="4"/>
  <c r="J516" i="4"/>
  <c r="B517" i="4"/>
  <c r="C517" i="4"/>
  <c r="D517" i="4"/>
  <c r="E517" i="4"/>
  <c r="F517" i="4"/>
  <c r="G517" i="4"/>
  <c r="H517" i="4"/>
  <c r="I517" i="4"/>
  <c r="J517" i="4"/>
  <c r="J643" i="4" s="1"/>
  <c r="B518" i="4"/>
  <c r="C518" i="4"/>
  <c r="D518" i="4"/>
  <c r="E518" i="4"/>
  <c r="F518" i="4"/>
  <c r="G518" i="4"/>
  <c r="H518" i="4"/>
  <c r="I518" i="4"/>
  <c r="J518" i="4"/>
  <c r="B519" i="4"/>
  <c r="C519" i="4"/>
  <c r="D519" i="4"/>
  <c r="E519" i="4"/>
  <c r="F519" i="4"/>
  <c r="G519" i="4"/>
  <c r="H519" i="4"/>
  <c r="I519" i="4"/>
  <c r="J519" i="4"/>
  <c r="B520" i="4"/>
  <c r="C520" i="4"/>
  <c r="D520" i="4"/>
  <c r="E520" i="4"/>
  <c r="F520" i="4"/>
  <c r="G520" i="4"/>
  <c r="H520" i="4"/>
  <c r="I520" i="4"/>
  <c r="J520" i="4"/>
  <c r="B521" i="4"/>
  <c r="C521" i="4"/>
  <c r="D521" i="4"/>
  <c r="E521" i="4"/>
  <c r="F521" i="4"/>
  <c r="G521" i="4"/>
  <c r="H521" i="4"/>
  <c r="I521" i="4"/>
  <c r="J521" i="4"/>
  <c r="B522" i="4"/>
  <c r="C522" i="4"/>
  <c r="D522" i="4"/>
  <c r="E522" i="4"/>
  <c r="F522" i="4"/>
  <c r="G522" i="4"/>
  <c r="H522" i="4"/>
  <c r="I522" i="4"/>
  <c r="J522" i="4"/>
  <c r="B523" i="4"/>
  <c r="C523" i="4"/>
  <c r="D523" i="4"/>
  <c r="E523" i="4"/>
  <c r="F523" i="4"/>
  <c r="G523" i="4"/>
  <c r="H523" i="4"/>
  <c r="I523" i="4"/>
  <c r="J523" i="4"/>
  <c r="B524" i="4"/>
  <c r="C524" i="4"/>
  <c r="D524" i="4"/>
  <c r="E524" i="4"/>
  <c r="F524" i="4"/>
  <c r="G524" i="4"/>
  <c r="H524" i="4"/>
  <c r="I524" i="4"/>
  <c r="J524" i="4"/>
  <c r="B525" i="4"/>
  <c r="C525" i="4"/>
  <c r="D525" i="4"/>
  <c r="E525" i="4"/>
  <c r="F525" i="4"/>
  <c r="G525" i="4"/>
  <c r="H525" i="4"/>
  <c r="I525" i="4"/>
  <c r="J525" i="4"/>
  <c r="B526" i="4"/>
  <c r="C526" i="4"/>
  <c r="D526" i="4"/>
  <c r="E526" i="4"/>
  <c r="F526" i="4"/>
  <c r="G526" i="4"/>
  <c r="H526" i="4"/>
  <c r="I526" i="4"/>
  <c r="J526" i="4"/>
  <c r="B527" i="4"/>
  <c r="C527" i="4"/>
  <c r="D527" i="4"/>
  <c r="E527" i="4"/>
  <c r="F527" i="4"/>
  <c r="G527" i="4"/>
  <c r="H527" i="4"/>
  <c r="I527" i="4"/>
  <c r="J527" i="4"/>
  <c r="B528" i="4"/>
  <c r="C528" i="4"/>
  <c r="D528" i="4"/>
  <c r="E528" i="4"/>
  <c r="F528" i="4"/>
  <c r="G528" i="4"/>
  <c r="H528" i="4"/>
  <c r="I528" i="4"/>
  <c r="J528" i="4"/>
  <c r="B529" i="4"/>
  <c r="C529" i="4"/>
  <c r="D529" i="4"/>
  <c r="E529" i="4"/>
  <c r="F529" i="4"/>
  <c r="G529" i="4"/>
  <c r="H529" i="4"/>
  <c r="I529" i="4"/>
  <c r="J529" i="4"/>
  <c r="J644" i="4" s="1"/>
  <c r="B530" i="4"/>
  <c r="C530" i="4"/>
  <c r="D530" i="4"/>
  <c r="E530" i="4"/>
  <c r="F530" i="4"/>
  <c r="G530" i="4"/>
  <c r="H530" i="4"/>
  <c r="I530" i="4"/>
  <c r="J530" i="4"/>
  <c r="B531" i="4"/>
  <c r="C531" i="4"/>
  <c r="D531" i="4"/>
  <c r="E531" i="4"/>
  <c r="F531" i="4"/>
  <c r="G531" i="4"/>
  <c r="H531" i="4"/>
  <c r="I531" i="4"/>
  <c r="J531" i="4"/>
  <c r="B532" i="4"/>
  <c r="C532" i="4"/>
  <c r="D532" i="4"/>
  <c r="E532" i="4"/>
  <c r="F532" i="4"/>
  <c r="G532" i="4"/>
  <c r="H532" i="4"/>
  <c r="I532" i="4"/>
  <c r="J532" i="4"/>
  <c r="B533" i="4"/>
  <c r="C533" i="4"/>
  <c r="D533" i="4"/>
  <c r="E533" i="4"/>
  <c r="F533" i="4"/>
  <c r="G533" i="4"/>
  <c r="H533" i="4"/>
  <c r="I533" i="4"/>
  <c r="J533" i="4"/>
  <c r="B534" i="4"/>
  <c r="C534" i="4"/>
  <c r="D534" i="4"/>
  <c r="E534" i="4"/>
  <c r="F534" i="4"/>
  <c r="G534" i="4"/>
  <c r="H534" i="4"/>
  <c r="I534" i="4"/>
  <c r="J534" i="4"/>
  <c r="B535" i="4"/>
  <c r="C535" i="4"/>
  <c r="D535" i="4"/>
  <c r="E535" i="4"/>
  <c r="F535" i="4"/>
  <c r="G535" i="4"/>
  <c r="H535" i="4"/>
  <c r="I535" i="4"/>
  <c r="J535" i="4"/>
  <c r="B536" i="4"/>
  <c r="C536" i="4"/>
  <c r="D536" i="4"/>
  <c r="E536" i="4"/>
  <c r="F536" i="4"/>
  <c r="G536" i="4"/>
  <c r="H536" i="4"/>
  <c r="I536" i="4"/>
  <c r="J536" i="4"/>
  <c r="B537" i="4"/>
  <c r="C537" i="4"/>
  <c r="D537" i="4"/>
  <c r="E537" i="4"/>
  <c r="F537" i="4"/>
  <c r="G537" i="4"/>
  <c r="H537" i="4"/>
  <c r="I537" i="4"/>
  <c r="J537" i="4"/>
  <c r="B538" i="4"/>
  <c r="C538" i="4"/>
  <c r="D538" i="4"/>
  <c r="E538" i="4"/>
  <c r="F538" i="4"/>
  <c r="G538" i="4"/>
  <c r="H538" i="4"/>
  <c r="I538" i="4"/>
  <c r="J538" i="4"/>
  <c r="B539" i="4"/>
  <c r="C539" i="4"/>
  <c r="D539" i="4"/>
  <c r="E539" i="4"/>
  <c r="F539" i="4"/>
  <c r="G539" i="4"/>
  <c r="H539" i="4"/>
  <c r="I539" i="4"/>
  <c r="J539" i="4"/>
  <c r="B540" i="4"/>
  <c r="C540" i="4"/>
  <c r="D540" i="4"/>
  <c r="E540" i="4"/>
  <c r="F540" i="4"/>
  <c r="G540" i="4"/>
  <c r="H540" i="4"/>
  <c r="I540" i="4"/>
  <c r="J540" i="4"/>
  <c r="B541" i="4"/>
  <c r="C541" i="4"/>
  <c r="D541" i="4"/>
  <c r="E541" i="4"/>
  <c r="F541" i="4"/>
  <c r="G541" i="4"/>
  <c r="H541" i="4"/>
  <c r="I541" i="4"/>
  <c r="J541" i="4"/>
  <c r="J645" i="4" s="1"/>
  <c r="B542" i="4"/>
  <c r="C542" i="4"/>
  <c r="D542" i="4"/>
  <c r="E542" i="4"/>
  <c r="F542" i="4"/>
  <c r="G542" i="4"/>
  <c r="H542" i="4"/>
  <c r="I542" i="4"/>
  <c r="J542" i="4"/>
  <c r="B543" i="4"/>
  <c r="C543" i="4"/>
  <c r="D543" i="4"/>
  <c r="E543" i="4"/>
  <c r="F543" i="4"/>
  <c r="G543" i="4"/>
  <c r="H543" i="4"/>
  <c r="I543" i="4"/>
  <c r="J543" i="4"/>
  <c r="B544" i="4"/>
  <c r="C544" i="4"/>
  <c r="D544" i="4"/>
  <c r="E544" i="4"/>
  <c r="F544" i="4"/>
  <c r="G544" i="4"/>
  <c r="H544" i="4"/>
  <c r="I544" i="4"/>
  <c r="J544" i="4"/>
  <c r="B545" i="4"/>
  <c r="C545" i="4"/>
  <c r="D545" i="4"/>
  <c r="E545" i="4"/>
  <c r="F545" i="4"/>
  <c r="G545" i="4"/>
  <c r="H545" i="4"/>
  <c r="I545" i="4"/>
  <c r="J545" i="4"/>
  <c r="B546" i="4"/>
  <c r="C546" i="4"/>
  <c r="D546" i="4"/>
  <c r="E546" i="4"/>
  <c r="F546" i="4"/>
  <c r="G546" i="4"/>
  <c r="H546" i="4"/>
  <c r="I546" i="4"/>
  <c r="J546" i="4"/>
  <c r="B547" i="4"/>
  <c r="C547" i="4"/>
  <c r="D547" i="4"/>
  <c r="E547" i="4"/>
  <c r="F547" i="4"/>
  <c r="G547" i="4"/>
  <c r="H547" i="4"/>
  <c r="I547" i="4"/>
  <c r="J547" i="4"/>
  <c r="B548" i="4"/>
  <c r="C548" i="4"/>
  <c r="D548" i="4"/>
  <c r="E548" i="4"/>
  <c r="F548" i="4"/>
  <c r="G548" i="4"/>
  <c r="H548" i="4"/>
  <c r="I548" i="4"/>
  <c r="J548" i="4"/>
  <c r="B549" i="4"/>
  <c r="C549" i="4"/>
  <c r="D549" i="4"/>
  <c r="E549" i="4"/>
  <c r="F549" i="4"/>
  <c r="G549" i="4"/>
  <c r="H549" i="4"/>
  <c r="I549" i="4"/>
  <c r="J549" i="4"/>
  <c r="B550" i="4"/>
  <c r="C550" i="4"/>
  <c r="D550" i="4"/>
  <c r="E550" i="4"/>
  <c r="F550" i="4"/>
  <c r="G550" i="4"/>
  <c r="H550" i="4"/>
  <c r="I550" i="4"/>
  <c r="J550" i="4"/>
  <c r="B551" i="4"/>
  <c r="C551" i="4"/>
  <c r="D551" i="4"/>
  <c r="E551" i="4"/>
  <c r="F551" i="4"/>
  <c r="G551" i="4"/>
  <c r="H551" i="4"/>
  <c r="I551" i="4"/>
  <c r="J551" i="4"/>
  <c r="B552" i="4"/>
  <c r="C552" i="4"/>
  <c r="D552" i="4"/>
  <c r="E552" i="4"/>
  <c r="F552" i="4"/>
  <c r="G552" i="4"/>
  <c r="H552" i="4"/>
  <c r="I552" i="4"/>
  <c r="J552" i="4"/>
  <c r="B553" i="4"/>
  <c r="C553" i="4"/>
  <c r="D553" i="4"/>
  <c r="E553" i="4"/>
  <c r="F553" i="4"/>
  <c r="G553" i="4"/>
  <c r="H553" i="4"/>
  <c r="I553" i="4"/>
  <c r="J553" i="4"/>
  <c r="J646" i="4" s="1"/>
  <c r="B554" i="4"/>
  <c r="C554" i="4"/>
  <c r="D554" i="4"/>
  <c r="E554" i="4"/>
  <c r="F554" i="4"/>
  <c r="G554" i="4"/>
  <c r="H554" i="4"/>
  <c r="I554" i="4"/>
  <c r="J554" i="4"/>
  <c r="B555" i="4"/>
  <c r="C555" i="4"/>
  <c r="D555" i="4"/>
  <c r="E555" i="4"/>
  <c r="F555" i="4"/>
  <c r="G555" i="4"/>
  <c r="H555" i="4"/>
  <c r="I555" i="4"/>
  <c r="J555" i="4"/>
  <c r="B556" i="4"/>
  <c r="C556" i="4"/>
  <c r="D556" i="4"/>
  <c r="E556" i="4"/>
  <c r="F556" i="4"/>
  <c r="G556" i="4"/>
  <c r="H556" i="4"/>
  <c r="I556" i="4"/>
  <c r="J556" i="4"/>
  <c r="B557" i="4"/>
  <c r="C557" i="4"/>
  <c r="D557" i="4"/>
  <c r="E557" i="4"/>
  <c r="F557" i="4"/>
  <c r="G557" i="4"/>
  <c r="H557" i="4"/>
  <c r="I557" i="4"/>
  <c r="J557" i="4"/>
  <c r="B558" i="4"/>
  <c r="C558" i="4"/>
  <c r="D558" i="4"/>
  <c r="E558" i="4"/>
  <c r="F558" i="4"/>
  <c r="G558" i="4"/>
  <c r="H558" i="4"/>
  <c r="I558" i="4"/>
  <c r="J558" i="4"/>
  <c r="B559" i="4"/>
  <c r="C559" i="4"/>
  <c r="D559" i="4"/>
  <c r="E559" i="4"/>
  <c r="F559" i="4"/>
  <c r="G559" i="4"/>
  <c r="H559" i="4"/>
  <c r="I559" i="4"/>
  <c r="J559" i="4"/>
  <c r="B560" i="4"/>
  <c r="C560" i="4"/>
  <c r="D560" i="4"/>
  <c r="E560" i="4"/>
  <c r="F560" i="4"/>
  <c r="G560" i="4"/>
  <c r="H560" i="4"/>
  <c r="I560" i="4"/>
  <c r="J560" i="4"/>
  <c r="B561" i="4"/>
  <c r="C561" i="4"/>
  <c r="D561" i="4"/>
  <c r="E561" i="4"/>
  <c r="F561" i="4"/>
  <c r="G561" i="4"/>
  <c r="H561" i="4"/>
  <c r="I561" i="4"/>
  <c r="J561" i="4"/>
  <c r="B562" i="4"/>
  <c r="C562" i="4"/>
  <c r="D562" i="4"/>
  <c r="E562" i="4"/>
  <c r="F562" i="4"/>
  <c r="G562" i="4"/>
  <c r="H562" i="4"/>
  <c r="I562" i="4"/>
  <c r="J562" i="4"/>
  <c r="B563" i="4"/>
  <c r="C563" i="4"/>
  <c r="D563" i="4"/>
  <c r="E563" i="4"/>
  <c r="F563" i="4"/>
  <c r="G563" i="4"/>
  <c r="H563" i="4"/>
  <c r="I563" i="4"/>
  <c r="J563" i="4"/>
  <c r="B564" i="4"/>
  <c r="C564" i="4"/>
  <c r="D564" i="4"/>
  <c r="E564" i="4"/>
  <c r="F564" i="4"/>
  <c r="G564" i="4"/>
  <c r="H564" i="4"/>
  <c r="I564" i="4"/>
  <c r="J564" i="4"/>
  <c r="B565" i="4"/>
  <c r="C565" i="4"/>
  <c r="D565" i="4"/>
  <c r="E565" i="4"/>
  <c r="F565" i="4"/>
  <c r="G565" i="4"/>
  <c r="H565" i="4"/>
  <c r="I565" i="4"/>
  <c r="J565" i="4"/>
  <c r="J647" i="4" s="1"/>
  <c r="B566" i="4"/>
  <c r="C566" i="4"/>
  <c r="D566" i="4"/>
  <c r="E566" i="4"/>
  <c r="F566" i="4"/>
  <c r="G566" i="4"/>
  <c r="H566" i="4"/>
  <c r="I566" i="4"/>
  <c r="J566" i="4"/>
  <c r="B567" i="4"/>
  <c r="C567" i="4"/>
  <c r="D567" i="4"/>
  <c r="E567" i="4"/>
  <c r="F567" i="4"/>
  <c r="G567" i="4"/>
  <c r="H567" i="4"/>
  <c r="I567" i="4"/>
  <c r="J567" i="4"/>
  <c r="B568" i="4"/>
  <c r="C568" i="4"/>
  <c r="D568" i="4"/>
  <c r="E568" i="4"/>
  <c r="F568" i="4"/>
  <c r="G568" i="4"/>
  <c r="H568" i="4"/>
  <c r="I568" i="4"/>
  <c r="J568" i="4"/>
  <c r="B569" i="4"/>
  <c r="C569" i="4"/>
  <c r="D569" i="4"/>
  <c r="E569" i="4"/>
  <c r="F569" i="4"/>
  <c r="G569" i="4"/>
  <c r="H569" i="4"/>
  <c r="I569" i="4"/>
  <c r="J569" i="4"/>
  <c r="B570" i="4"/>
  <c r="C570" i="4"/>
  <c r="D570" i="4"/>
  <c r="E570" i="4"/>
  <c r="F570" i="4"/>
  <c r="G570" i="4"/>
  <c r="H570" i="4"/>
  <c r="I570" i="4"/>
  <c r="J570" i="4"/>
  <c r="B571" i="4"/>
  <c r="C571" i="4"/>
  <c r="D571" i="4"/>
  <c r="E571" i="4"/>
  <c r="F571" i="4"/>
  <c r="G571" i="4"/>
  <c r="H571" i="4"/>
  <c r="I571" i="4"/>
  <c r="J571" i="4"/>
  <c r="B572" i="4"/>
  <c r="C572" i="4"/>
  <c r="D572" i="4"/>
  <c r="E572" i="4"/>
  <c r="F572" i="4"/>
  <c r="G572" i="4"/>
  <c r="H572" i="4"/>
  <c r="I572" i="4"/>
  <c r="J572" i="4"/>
  <c r="B573" i="4"/>
  <c r="C573" i="4"/>
  <c r="D573" i="4"/>
  <c r="E573" i="4"/>
  <c r="F573" i="4"/>
  <c r="G573" i="4"/>
  <c r="H573" i="4"/>
  <c r="I573" i="4"/>
  <c r="J573" i="4"/>
  <c r="B574" i="4"/>
  <c r="C574" i="4"/>
  <c r="D574" i="4"/>
  <c r="E574" i="4"/>
  <c r="F574" i="4"/>
  <c r="G574" i="4"/>
  <c r="H574" i="4"/>
  <c r="I574" i="4"/>
  <c r="J574" i="4"/>
  <c r="B575" i="4"/>
  <c r="C575" i="4"/>
  <c r="D575" i="4"/>
  <c r="E575" i="4"/>
  <c r="F575" i="4"/>
  <c r="G575" i="4"/>
  <c r="H575" i="4"/>
  <c r="I575" i="4"/>
  <c r="J575" i="4"/>
  <c r="B576" i="4"/>
  <c r="C576" i="4"/>
  <c r="D576" i="4"/>
  <c r="E576" i="4"/>
  <c r="F576" i="4"/>
  <c r="G576" i="4"/>
  <c r="H576" i="4"/>
  <c r="I576" i="4"/>
  <c r="J576" i="4"/>
  <c r="B577" i="4"/>
  <c r="C577" i="4"/>
  <c r="D577" i="4"/>
  <c r="E577" i="4"/>
  <c r="F577" i="4"/>
  <c r="G577" i="4"/>
  <c r="H577" i="4"/>
  <c r="I577" i="4"/>
  <c r="J577" i="4"/>
  <c r="J648" i="4" s="1"/>
  <c r="B578" i="4"/>
  <c r="C578" i="4"/>
  <c r="D578" i="4"/>
  <c r="E578" i="4"/>
  <c r="F578" i="4"/>
  <c r="G578" i="4"/>
  <c r="H578" i="4"/>
  <c r="I578" i="4"/>
  <c r="J578" i="4"/>
  <c r="B579" i="4"/>
  <c r="C579" i="4"/>
  <c r="D579" i="4"/>
  <c r="E579" i="4"/>
  <c r="F579" i="4"/>
  <c r="G579" i="4"/>
  <c r="H579" i="4"/>
  <c r="I579" i="4"/>
  <c r="J579" i="4"/>
  <c r="B580" i="4"/>
  <c r="C580" i="4"/>
  <c r="D580" i="4"/>
  <c r="E580" i="4"/>
  <c r="F580" i="4"/>
  <c r="G580" i="4"/>
  <c r="H580" i="4"/>
  <c r="I580" i="4"/>
  <c r="J580" i="4"/>
  <c r="B581" i="4"/>
  <c r="C581" i="4"/>
  <c r="D581" i="4"/>
  <c r="E581" i="4"/>
  <c r="F581" i="4"/>
  <c r="G581" i="4"/>
  <c r="H581" i="4"/>
  <c r="I581" i="4"/>
  <c r="J581" i="4"/>
  <c r="B582" i="4"/>
  <c r="C582" i="4"/>
  <c r="D582" i="4"/>
  <c r="E582" i="4"/>
  <c r="F582" i="4"/>
  <c r="G582" i="4"/>
  <c r="H582" i="4"/>
  <c r="I582" i="4"/>
  <c r="J582" i="4"/>
  <c r="B583" i="4"/>
  <c r="C583" i="4"/>
  <c r="D583" i="4"/>
  <c r="E583" i="4"/>
  <c r="F583" i="4"/>
  <c r="G583" i="4"/>
  <c r="H583" i="4"/>
  <c r="I583" i="4"/>
  <c r="J583" i="4"/>
  <c r="B584" i="4"/>
  <c r="C584" i="4"/>
  <c r="D584" i="4"/>
  <c r="E584" i="4"/>
  <c r="F584" i="4"/>
  <c r="G584" i="4"/>
  <c r="H584" i="4"/>
  <c r="I584" i="4"/>
  <c r="J584" i="4"/>
  <c r="B585" i="4"/>
  <c r="C585" i="4"/>
  <c r="D585" i="4"/>
  <c r="E585" i="4"/>
  <c r="F585" i="4"/>
  <c r="G585" i="4"/>
  <c r="H585" i="4"/>
  <c r="I585" i="4"/>
  <c r="J585" i="4"/>
  <c r="B586" i="4"/>
  <c r="C586" i="4"/>
  <c r="D586" i="4"/>
  <c r="E586" i="4"/>
  <c r="F586" i="4"/>
  <c r="G586" i="4"/>
  <c r="H586" i="4"/>
  <c r="I586" i="4"/>
  <c r="J586" i="4"/>
  <c r="B587" i="4"/>
  <c r="C587" i="4"/>
  <c r="D587" i="4"/>
  <c r="E587" i="4"/>
  <c r="F587" i="4"/>
  <c r="G587" i="4"/>
  <c r="H587" i="4"/>
  <c r="I587" i="4"/>
  <c r="J587" i="4"/>
  <c r="B588" i="4"/>
  <c r="C588" i="4"/>
  <c r="C649" i="4" s="1"/>
  <c r="D588" i="4"/>
  <c r="E588" i="4"/>
  <c r="F588" i="4"/>
  <c r="G588" i="4"/>
  <c r="H588" i="4"/>
  <c r="I588" i="4"/>
  <c r="J588" i="4"/>
  <c r="B589" i="4"/>
  <c r="C589" i="4"/>
  <c r="D589" i="4"/>
  <c r="E589" i="4"/>
  <c r="F589" i="4"/>
  <c r="G589" i="4"/>
  <c r="H589" i="4"/>
  <c r="I589" i="4"/>
  <c r="J589" i="4"/>
  <c r="J649" i="4" s="1"/>
  <c r="B590" i="4"/>
  <c r="C590" i="4"/>
  <c r="D590" i="4"/>
  <c r="E590" i="4"/>
  <c r="F590" i="4"/>
  <c r="G590" i="4"/>
  <c r="H590" i="4"/>
  <c r="I590" i="4"/>
  <c r="J590" i="4"/>
  <c r="B591" i="4"/>
  <c r="C591" i="4"/>
  <c r="D591" i="4"/>
  <c r="E591" i="4"/>
  <c r="F591" i="4"/>
  <c r="G591" i="4"/>
  <c r="H591" i="4"/>
  <c r="I591" i="4"/>
  <c r="J591" i="4"/>
  <c r="B592" i="4"/>
  <c r="C592" i="4"/>
  <c r="D592" i="4"/>
  <c r="E592" i="4"/>
  <c r="F592" i="4"/>
  <c r="G592" i="4"/>
  <c r="H592" i="4"/>
  <c r="I592" i="4"/>
  <c r="J592" i="4"/>
  <c r="B593" i="4"/>
  <c r="C593" i="4"/>
  <c r="D593" i="4"/>
  <c r="E593" i="4"/>
  <c r="F593" i="4"/>
  <c r="G593" i="4"/>
  <c r="H593" i="4"/>
  <c r="I593" i="4"/>
  <c r="J593" i="4"/>
  <c r="B594" i="4"/>
  <c r="C594" i="4"/>
  <c r="D594" i="4"/>
  <c r="E594" i="4"/>
  <c r="F594" i="4"/>
  <c r="G594" i="4"/>
  <c r="H594" i="4"/>
  <c r="I594" i="4"/>
  <c r="J594" i="4"/>
  <c r="B595" i="4"/>
  <c r="C595" i="4"/>
  <c r="D595" i="4"/>
  <c r="E595" i="4"/>
  <c r="F595" i="4"/>
  <c r="G595" i="4"/>
  <c r="H595" i="4"/>
  <c r="I595" i="4"/>
  <c r="J595" i="4"/>
  <c r="B596" i="4"/>
  <c r="C596" i="4"/>
  <c r="D596" i="4"/>
  <c r="E596" i="4"/>
  <c r="F596" i="4"/>
  <c r="G596" i="4"/>
  <c r="H596" i="4"/>
  <c r="I596" i="4"/>
  <c r="J596" i="4"/>
  <c r="B597" i="4"/>
  <c r="C597" i="4"/>
  <c r="D597" i="4"/>
  <c r="E597" i="4"/>
  <c r="F597" i="4"/>
  <c r="G597" i="4"/>
  <c r="H597" i="4"/>
  <c r="I597" i="4"/>
  <c r="J597" i="4"/>
  <c r="B598" i="4"/>
  <c r="C598" i="4"/>
  <c r="D598" i="4"/>
  <c r="E598" i="4"/>
  <c r="F598" i="4"/>
  <c r="G598" i="4"/>
  <c r="H598" i="4"/>
  <c r="I598" i="4"/>
  <c r="J598" i="4"/>
  <c r="B599" i="4"/>
  <c r="C599" i="4"/>
  <c r="D599" i="4"/>
  <c r="E599" i="4"/>
  <c r="F599" i="4"/>
  <c r="G599" i="4"/>
  <c r="H599" i="4"/>
  <c r="I599" i="4"/>
  <c r="J599" i="4"/>
  <c r="C601" i="4"/>
  <c r="E601" i="4"/>
  <c r="G601" i="4"/>
  <c r="I601" i="4"/>
  <c r="B602" i="4"/>
  <c r="D602" i="4"/>
  <c r="F602" i="4"/>
  <c r="H602" i="4"/>
  <c r="J602" i="4"/>
  <c r="C603" i="4"/>
  <c r="E603" i="4"/>
  <c r="G603" i="4"/>
  <c r="I603" i="4"/>
  <c r="B604" i="4"/>
  <c r="D604" i="4"/>
  <c r="F604" i="4"/>
  <c r="H604" i="4"/>
  <c r="J604" i="4"/>
  <c r="C605" i="4"/>
  <c r="E605" i="4"/>
  <c r="G605" i="4"/>
  <c r="I605" i="4"/>
  <c r="B606" i="4"/>
  <c r="D606" i="4"/>
  <c r="F606" i="4"/>
  <c r="H606" i="4"/>
  <c r="J606" i="4"/>
  <c r="C607" i="4"/>
  <c r="E607" i="4"/>
  <c r="G607" i="4"/>
  <c r="I607" i="4"/>
  <c r="B608" i="4"/>
  <c r="D608" i="4"/>
  <c r="F608" i="4"/>
  <c r="H608" i="4"/>
  <c r="J608" i="4"/>
  <c r="C609" i="4"/>
  <c r="E609" i="4"/>
  <c r="G609" i="4"/>
  <c r="I609" i="4"/>
  <c r="B610" i="4"/>
  <c r="D610" i="4"/>
  <c r="F610" i="4"/>
  <c r="H610" i="4"/>
  <c r="J610" i="4"/>
  <c r="C611" i="4"/>
  <c r="E611" i="4"/>
  <c r="G611" i="4"/>
  <c r="I611" i="4"/>
  <c r="B612" i="4"/>
  <c r="D612" i="4"/>
  <c r="F612" i="4"/>
  <c r="H612" i="4"/>
  <c r="J612" i="4"/>
  <c r="C613" i="4"/>
  <c r="E613" i="4"/>
  <c r="G613" i="4"/>
  <c r="I613" i="4"/>
  <c r="B614" i="4"/>
  <c r="D614" i="4"/>
  <c r="F614" i="4"/>
  <c r="H614" i="4"/>
  <c r="J614" i="4"/>
  <c r="C615" i="4"/>
  <c r="E615" i="4"/>
  <c r="G615" i="4"/>
  <c r="I615" i="4"/>
  <c r="B616" i="4"/>
  <c r="D616" i="4"/>
  <c r="F616" i="4"/>
  <c r="H616" i="4"/>
  <c r="J616" i="4"/>
  <c r="C617" i="4"/>
  <c r="E617" i="4"/>
  <c r="G617" i="4"/>
  <c r="I617" i="4"/>
  <c r="B618" i="4"/>
  <c r="D618" i="4"/>
  <c r="F618" i="4"/>
  <c r="H618" i="4"/>
  <c r="J618" i="4"/>
  <c r="C619" i="4"/>
  <c r="E619" i="4"/>
  <c r="G619" i="4"/>
  <c r="I619" i="4"/>
  <c r="B620" i="4"/>
  <c r="D620" i="4"/>
  <c r="F620" i="4"/>
  <c r="H620" i="4"/>
  <c r="J620" i="4"/>
  <c r="C621" i="4"/>
  <c r="E621" i="4"/>
  <c r="G621" i="4"/>
  <c r="I621" i="4"/>
  <c r="B622" i="4"/>
  <c r="D622" i="4"/>
  <c r="F622" i="4"/>
  <c r="H622" i="4"/>
  <c r="J622" i="4"/>
  <c r="C623" i="4"/>
  <c r="E623" i="4"/>
  <c r="G623" i="4"/>
  <c r="I623" i="4"/>
  <c r="B624" i="4"/>
  <c r="D624" i="4"/>
  <c r="F624" i="4"/>
  <c r="H624" i="4"/>
  <c r="J624" i="4"/>
  <c r="C625" i="4"/>
  <c r="E625" i="4"/>
  <c r="G625" i="4"/>
  <c r="I625" i="4"/>
  <c r="A626" i="4"/>
  <c r="C626" i="4"/>
  <c r="E626" i="4"/>
  <c r="G626" i="4"/>
  <c r="I626" i="4"/>
  <c r="A627" i="4"/>
  <c r="C627" i="4"/>
  <c r="E627" i="4"/>
  <c r="G627" i="4"/>
  <c r="I627" i="4"/>
  <c r="A628" i="4"/>
  <c r="C628" i="4"/>
  <c r="E628" i="4"/>
  <c r="G628" i="4"/>
  <c r="I628" i="4"/>
  <c r="A629" i="4"/>
  <c r="C629" i="4"/>
  <c r="E629" i="4"/>
  <c r="G629" i="4"/>
  <c r="I629" i="4"/>
  <c r="A630" i="4"/>
  <c r="C630" i="4"/>
  <c r="E630" i="4"/>
  <c r="G630" i="4"/>
  <c r="I630" i="4"/>
  <c r="A631" i="4"/>
  <c r="C631" i="4"/>
  <c r="E631" i="4"/>
  <c r="G631" i="4"/>
  <c r="I631" i="4"/>
  <c r="A632" i="4"/>
  <c r="C632" i="4"/>
  <c r="E632" i="4"/>
  <c r="G632" i="4"/>
  <c r="I632" i="4"/>
  <c r="A633" i="4"/>
  <c r="C633" i="4"/>
  <c r="E633" i="4"/>
  <c r="G633" i="4"/>
  <c r="I633" i="4"/>
  <c r="A634" i="4"/>
  <c r="C634" i="4"/>
  <c r="E634" i="4"/>
  <c r="G634" i="4"/>
  <c r="I634" i="4"/>
  <c r="A635" i="4"/>
  <c r="C635" i="4"/>
  <c r="E635" i="4"/>
  <c r="G635" i="4"/>
  <c r="I635" i="4"/>
  <c r="A636" i="4"/>
  <c r="C636" i="4"/>
  <c r="E636" i="4"/>
  <c r="G636" i="4"/>
  <c r="I636" i="4"/>
  <c r="A637" i="4"/>
  <c r="C637" i="4"/>
  <c r="E637" i="4"/>
  <c r="G637" i="4"/>
  <c r="I637" i="4"/>
  <c r="A638" i="4"/>
  <c r="C638" i="4"/>
  <c r="E638" i="4"/>
  <c r="G638" i="4"/>
  <c r="I638" i="4"/>
  <c r="A639" i="4"/>
  <c r="C639" i="4"/>
  <c r="E639" i="4"/>
  <c r="G639" i="4"/>
  <c r="I639" i="4"/>
  <c r="A640" i="4"/>
  <c r="C640" i="4"/>
  <c r="E640" i="4"/>
  <c r="G640" i="4"/>
  <c r="I640" i="4"/>
  <c r="A641" i="4"/>
  <c r="C641" i="4"/>
  <c r="E641" i="4"/>
  <c r="G641" i="4"/>
  <c r="I641" i="4"/>
  <c r="A642" i="4"/>
  <c r="C642" i="4"/>
  <c r="E642" i="4"/>
  <c r="G642" i="4"/>
  <c r="I642" i="4"/>
  <c r="A643" i="4"/>
  <c r="C643" i="4"/>
  <c r="E643" i="4"/>
  <c r="G643" i="4"/>
  <c r="I643" i="4"/>
  <c r="A644" i="4"/>
  <c r="C644" i="4"/>
  <c r="E644" i="4"/>
  <c r="G644" i="4"/>
  <c r="I644" i="4"/>
  <c r="A645" i="4"/>
  <c r="C645" i="4"/>
  <c r="E645" i="4"/>
  <c r="G645" i="4"/>
  <c r="I645" i="4"/>
  <c r="A646" i="4"/>
  <c r="C646" i="4"/>
  <c r="E646" i="4"/>
  <c r="G646" i="4"/>
  <c r="I646" i="4"/>
  <c r="A647" i="4"/>
  <c r="C647" i="4"/>
  <c r="E647" i="4"/>
  <c r="G647" i="4"/>
  <c r="I647" i="4"/>
  <c r="A648" i="4"/>
  <c r="C648" i="4"/>
  <c r="E648" i="4"/>
  <c r="G648" i="4"/>
  <c r="I648" i="4"/>
  <c r="A649" i="4"/>
  <c r="E649" i="4"/>
  <c r="G649" i="4"/>
  <c r="I649" i="4"/>
  <c r="D9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J29" i="3"/>
  <c r="K29" i="3"/>
  <c r="B30" i="3"/>
  <c r="C30" i="3"/>
  <c r="D30" i="3"/>
  <c r="E30" i="3"/>
  <c r="F30" i="3"/>
  <c r="G30" i="3"/>
  <c r="H30" i="3"/>
  <c r="I30" i="3"/>
  <c r="J30" i="3"/>
  <c r="K30" i="3"/>
  <c r="B31" i="3"/>
  <c r="C31" i="3"/>
  <c r="D31" i="3"/>
  <c r="E31" i="3"/>
  <c r="F31" i="3"/>
  <c r="G31" i="3"/>
  <c r="H31" i="3"/>
  <c r="I31" i="3"/>
  <c r="J31" i="3"/>
  <c r="K31" i="3"/>
  <c r="B32" i="3"/>
  <c r="C32" i="3"/>
  <c r="D32" i="3"/>
  <c r="E32" i="3"/>
  <c r="F32" i="3"/>
  <c r="G32" i="3"/>
  <c r="H32" i="3"/>
  <c r="I32" i="3"/>
  <c r="J32" i="3"/>
  <c r="K32" i="3"/>
  <c r="B33" i="3"/>
  <c r="C33" i="3"/>
  <c r="D33" i="3"/>
  <c r="E33" i="3"/>
  <c r="F33" i="3"/>
  <c r="G33" i="3"/>
  <c r="H33" i="3"/>
  <c r="I33" i="3"/>
  <c r="J33" i="3"/>
  <c r="K33" i="3"/>
  <c r="B34" i="3"/>
  <c r="C34" i="3"/>
  <c r="D34" i="3"/>
  <c r="E34" i="3"/>
  <c r="F34" i="3"/>
  <c r="G34" i="3"/>
  <c r="H34" i="3"/>
  <c r="I34" i="3"/>
  <c r="J34" i="3"/>
  <c r="K34" i="3"/>
  <c r="B35" i="3"/>
  <c r="C35" i="3"/>
  <c r="D35" i="3"/>
  <c r="E35" i="3"/>
  <c r="F35" i="3"/>
  <c r="G35" i="3"/>
  <c r="H35" i="3"/>
  <c r="I35" i="3"/>
  <c r="J35" i="3"/>
  <c r="K35" i="3"/>
  <c r="B36" i="3"/>
  <c r="C36" i="3"/>
  <c r="D36" i="3"/>
  <c r="E36" i="3"/>
  <c r="F36" i="3"/>
  <c r="G36" i="3"/>
  <c r="H36" i="3"/>
  <c r="I36" i="3"/>
  <c r="J36" i="3"/>
  <c r="K36" i="3"/>
  <c r="B37" i="3"/>
  <c r="C37" i="3"/>
  <c r="D37" i="3"/>
  <c r="E37" i="3"/>
  <c r="F37" i="3"/>
  <c r="G37" i="3"/>
  <c r="H37" i="3"/>
  <c r="I37" i="3"/>
  <c r="J37" i="3"/>
  <c r="K37" i="3"/>
  <c r="B38" i="3"/>
  <c r="C38" i="3"/>
  <c r="D38" i="3"/>
  <c r="E38" i="3"/>
  <c r="F38" i="3"/>
  <c r="G38" i="3"/>
  <c r="H38" i="3"/>
  <c r="I38" i="3"/>
  <c r="J38" i="3"/>
  <c r="K38" i="3"/>
  <c r="B39" i="3"/>
  <c r="C39" i="3"/>
  <c r="D39" i="3"/>
  <c r="E39" i="3"/>
  <c r="F39" i="3"/>
  <c r="G39" i="3"/>
  <c r="H39" i="3"/>
  <c r="I39" i="3"/>
  <c r="J39" i="3"/>
  <c r="K39" i="3"/>
  <c r="B40" i="3"/>
  <c r="C40" i="3"/>
  <c r="D40" i="3"/>
  <c r="E40" i="3"/>
  <c r="F40" i="3"/>
  <c r="G40" i="3"/>
  <c r="H40" i="3"/>
  <c r="I40" i="3"/>
  <c r="J40" i="3"/>
  <c r="K40" i="3"/>
  <c r="B41" i="3"/>
  <c r="C41" i="3"/>
  <c r="D41" i="3"/>
  <c r="E41" i="3"/>
  <c r="F41" i="3"/>
  <c r="G41" i="3"/>
  <c r="H41" i="3"/>
  <c r="I41" i="3"/>
  <c r="J41" i="3"/>
  <c r="K41" i="3"/>
  <c r="B42" i="3"/>
  <c r="C42" i="3"/>
  <c r="D42" i="3"/>
  <c r="E42" i="3"/>
  <c r="F42" i="3"/>
  <c r="G42" i="3"/>
  <c r="H42" i="3"/>
  <c r="I42" i="3"/>
  <c r="J42" i="3"/>
  <c r="K42" i="3"/>
  <c r="B43" i="3"/>
  <c r="C43" i="3"/>
  <c r="D43" i="3"/>
  <c r="E43" i="3"/>
  <c r="F43" i="3"/>
  <c r="G43" i="3"/>
  <c r="H43" i="3"/>
  <c r="I43" i="3"/>
  <c r="J43" i="3"/>
  <c r="K43" i="3"/>
  <c r="B44" i="3"/>
  <c r="C44" i="3"/>
  <c r="D44" i="3"/>
  <c r="E44" i="3"/>
  <c r="F44" i="3"/>
  <c r="G44" i="3"/>
  <c r="H44" i="3"/>
  <c r="I44" i="3"/>
  <c r="J44" i="3"/>
  <c r="K44" i="3"/>
  <c r="B45" i="3"/>
  <c r="C45" i="3"/>
  <c r="D45" i="3"/>
  <c r="E45" i="3"/>
  <c r="F45" i="3"/>
  <c r="G45" i="3"/>
  <c r="H45" i="3"/>
  <c r="I45" i="3"/>
  <c r="J45" i="3"/>
  <c r="K45" i="3"/>
  <c r="B46" i="3"/>
  <c r="C46" i="3"/>
  <c r="D46" i="3"/>
  <c r="E46" i="3"/>
  <c r="F46" i="3"/>
  <c r="G46" i="3"/>
  <c r="H46" i="3"/>
  <c r="I46" i="3"/>
  <c r="J46" i="3"/>
  <c r="K46" i="3"/>
  <c r="B47" i="3"/>
  <c r="C47" i="3"/>
  <c r="D47" i="3"/>
  <c r="E47" i="3"/>
  <c r="F47" i="3"/>
  <c r="G47" i="3"/>
  <c r="H47" i="3"/>
  <c r="I47" i="3"/>
  <c r="J47" i="3"/>
  <c r="K47" i="3"/>
  <c r="B48" i="3"/>
  <c r="C48" i="3"/>
  <c r="D48" i="3"/>
  <c r="E48" i="3"/>
  <c r="F48" i="3"/>
  <c r="G48" i="3"/>
  <c r="H48" i="3"/>
  <c r="I48" i="3"/>
  <c r="J48" i="3"/>
  <c r="K48" i="3"/>
  <c r="B49" i="3"/>
  <c r="C49" i="3"/>
  <c r="D49" i="3"/>
  <c r="E49" i="3"/>
  <c r="F49" i="3"/>
  <c r="G49" i="3"/>
  <c r="H49" i="3"/>
  <c r="I49" i="3"/>
  <c r="J49" i="3"/>
  <c r="K49" i="3"/>
  <c r="B50" i="3"/>
  <c r="C50" i="3"/>
  <c r="D50" i="3"/>
  <c r="E50" i="3"/>
  <c r="F50" i="3"/>
  <c r="G50" i="3"/>
  <c r="H50" i="3"/>
  <c r="I50" i="3"/>
  <c r="J50" i="3"/>
  <c r="K50" i="3"/>
  <c r="B51" i="3"/>
  <c r="C51" i="3"/>
  <c r="D51" i="3"/>
  <c r="E51" i="3"/>
  <c r="F51" i="3"/>
  <c r="G51" i="3"/>
  <c r="H51" i="3"/>
  <c r="I51" i="3"/>
  <c r="J51" i="3"/>
  <c r="K51" i="3"/>
  <c r="B52" i="3"/>
  <c r="C52" i="3"/>
  <c r="D52" i="3"/>
  <c r="E52" i="3"/>
  <c r="F52" i="3"/>
  <c r="G52" i="3"/>
  <c r="H52" i="3"/>
  <c r="I52" i="3"/>
  <c r="J52" i="3"/>
  <c r="K52" i="3"/>
  <c r="B53" i="3"/>
  <c r="C53" i="3"/>
  <c r="D53" i="3"/>
  <c r="E53" i="3"/>
  <c r="F53" i="3"/>
  <c r="G53" i="3"/>
  <c r="H53" i="3"/>
  <c r="I53" i="3"/>
  <c r="J53" i="3"/>
  <c r="K53" i="3"/>
  <c r="B54" i="3"/>
  <c r="C54" i="3"/>
  <c r="D54" i="3"/>
  <c r="E54" i="3"/>
  <c r="F54" i="3"/>
  <c r="G54" i="3"/>
  <c r="H54" i="3"/>
  <c r="I54" i="3"/>
  <c r="J54" i="3"/>
  <c r="K54" i="3"/>
  <c r="B55" i="3"/>
  <c r="C55" i="3"/>
  <c r="D55" i="3"/>
  <c r="E55" i="3"/>
  <c r="F55" i="3"/>
  <c r="G55" i="3"/>
  <c r="H55" i="3"/>
  <c r="I55" i="3"/>
  <c r="J55" i="3"/>
  <c r="K55" i="3"/>
  <c r="B56" i="3"/>
  <c r="C56" i="3"/>
  <c r="D56" i="3"/>
  <c r="E56" i="3"/>
  <c r="F56" i="3"/>
  <c r="G56" i="3"/>
  <c r="H56" i="3"/>
  <c r="I56" i="3"/>
  <c r="J56" i="3"/>
  <c r="K56" i="3"/>
  <c r="B57" i="3"/>
  <c r="C57" i="3"/>
  <c r="D57" i="3"/>
  <c r="E57" i="3"/>
  <c r="F57" i="3"/>
  <c r="G57" i="3"/>
  <c r="H57" i="3"/>
  <c r="I57" i="3"/>
  <c r="J57" i="3"/>
  <c r="K57" i="3"/>
  <c r="B58" i="3"/>
  <c r="C58" i="3"/>
  <c r="D58" i="3"/>
  <c r="E58" i="3"/>
  <c r="F58" i="3"/>
  <c r="G58" i="3"/>
  <c r="H58" i="3"/>
  <c r="I58" i="3"/>
  <c r="J58" i="3"/>
  <c r="K58" i="3"/>
  <c r="B59" i="3"/>
  <c r="C59" i="3"/>
  <c r="D59" i="3"/>
  <c r="E59" i="3"/>
  <c r="F59" i="3"/>
  <c r="G59" i="3"/>
  <c r="H59" i="3"/>
  <c r="I59" i="3"/>
  <c r="J59" i="3"/>
  <c r="K59" i="3"/>
  <c r="B60" i="3"/>
  <c r="C60" i="3"/>
  <c r="D60" i="3"/>
  <c r="E60" i="3"/>
  <c r="F60" i="3"/>
  <c r="G60" i="3"/>
  <c r="H60" i="3"/>
  <c r="I60" i="3"/>
  <c r="J60" i="3"/>
  <c r="K60" i="3"/>
  <c r="B61" i="3"/>
  <c r="C61" i="3"/>
  <c r="D61" i="3"/>
  <c r="E61" i="3"/>
  <c r="F61" i="3"/>
  <c r="G61" i="3"/>
  <c r="H61" i="3"/>
  <c r="I61" i="3"/>
  <c r="J61" i="3"/>
  <c r="K61" i="3"/>
  <c r="B62" i="3"/>
  <c r="C62" i="3"/>
  <c r="D62" i="3"/>
  <c r="E62" i="3"/>
  <c r="F62" i="3"/>
  <c r="G62" i="3"/>
  <c r="H62" i="3"/>
  <c r="I62" i="3"/>
  <c r="J62" i="3"/>
  <c r="K62" i="3"/>
  <c r="B63" i="3"/>
  <c r="C63" i="3"/>
  <c r="D63" i="3"/>
  <c r="E63" i="3"/>
  <c r="F63" i="3"/>
  <c r="G63" i="3"/>
  <c r="H63" i="3"/>
  <c r="I63" i="3"/>
  <c r="J63" i="3"/>
  <c r="K63" i="3"/>
  <c r="B64" i="3"/>
  <c r="C64" i="3"/>
  <c r="D64" i="3"/>
  <c r="E64" i="3"/>
  <c r="F64" i="3"/>
  <c r="G64" i="3"/>
  <c r="H64" i="3"/>
  <c r="I64" i="3"/>
  <c r="J64" i="3"/>
  <c r="K64" i="3"/>
  <c r="B65" i="3"/>
  <c r="C65" i="3"/>
  <c r="D65" i="3"/>
  <c r="E65" i="3"/>
  <c r="F65" i="3"/>
  <c r="G65" i="3"/>
  <c r="H65" i="3"/>
  <c r="I65" i="3"/>
  <c r="J65" i="3"/>
  <c r="K65" i="3"/>
  <c r="B66" i="3"/>
  <c r="C66" i="3"/>
  <c r="D66" i="3"/>
  <c r="E66" i="3"/>
  <c r="F66" i="3"/>
  <c r="G66" i="3"/>
  <c r="H66" i="3"/>
  <c r="I66" i="3"/>
  <c r="J66" i="3"/>
  <c r="K66" i="3"/>
  <c r="B67" i="3"/>
  <c r="C67" i="3"/>
  <c r="D67" i="3"/>
  <c r="E67" i="3"/>
  <c r="F67" i="3"/>
  <c r="G67" i="3"/>
  <c r="H67" i="3"/>
  <c r="I67" i="3"/>
  <c r="J67" i="3"/>
  <c r="K67" i="3"/>
  <c r="B68" i="3"/>
  <c r="C68" i="3"/>
  <c r="D68" i="3"/>
  <c r="E68" i="3"/>
  <c r="F68" i="3"/>
  <c r="G68" i="3"/>
  <c r="H68" i="3"/>
  <c r="I68" i="3"/>
  <c r="J68" i="3"/>
  <c r="K68" i="3"/>
  <c r="B69" i="3"/>
  <c r="C69" i="3"/>
  <c r="D69" i="3"/>
  <c r="E69" i="3"/>
  <c r="F69" i="3"/>
  <c r="G69" i="3"/>
  <c r="H69" i="3"/>
  <c r="I69" i="3"/>
  <c r="J69" i="3"/>
  <c r="K69" i="3"/>
  <c r="B70" i="3"/>
  <c r="C70" i="3"/>
  <c r="D70" i="3"/>
  <c r="E70" i="3"/>
  <c r="F70" i="3"/>
  <c r="G70" i="3"/>
  <c r="H70" i="3"/>
  <c r="I70" i="3"/>
  <c r="J70" i="3"/>
  <c r="K70" i="3"/>
  <c r="B71" i="3"/>
  <c r="C71" i="3"/>
  <c r="D71" i="3"/>
  <c r="E71" i="3"/>
  <c r="F71" i="3"/>
  <c r="G71" i="3"/>
  <c r="H71" i="3"/>
  <c r="I71" i="3"/>
  <c r="J71" i="3"/>
  <c r="K71" i="3"/>
  <c r="B72" i="3"/>
  <c r="C72" i="3"/>
  <c r="D72" i="3"/>
  <c r="E72" i="3"/>
  <c r="F72" i="3"/>
  <c r="G72" i="3"/>
  <c r="H72" i="3"/>
  <c r="I72" i="3"/>
  <c r="J72" i="3"/>
  <c r="K72" i="3"/>
  <c r="B73" i="3"/>
  <c r="C73" i="3"/>
  <c r="D73" i="3"/>
  <c r="E73" i="3"/>
  <c r="F73" i="3"/>
  <c r="G73" i="3"/>
  <c r="H73" i="3"/>
  <c r="I73" i="3"/>
  <c r="J73" i="3"/>
  <c r="K73" i="3"/>
  <c r="B74" i="3"/>
  <c r="C74" i="3"/>
  <c r="D74" i="3"/>
  <c r="E74" i="3"/>
  <c r="F74" i="3"/>
  <c r="G74" i="3"/>
  <c r="H74" i="3"/>
  <c r="I74" i="3"/>
  <c r="J74" i="3"/>
  <c r="K74" i="3"/>
  <c r="B75" i="3"/>
  <c r="C75" i="3"/>
  <c r="D75" i="3"/>
  <c r="E75" i="3"/>
  <c r="F75" i="3"/>
  <c r="G75" i="3"/>
  <c r="H75" i="3"/>
  <c r="I75" i="3"/>
  <c r="J75" i="3"/>
  <c r="K75" i="3"/>
  <c r="B76" i="3"/>
  <c r="C76" i="3"/>
  <c r="D76" i="3"/>
  <c r="E76" i="3"/>
  <c r="F76" i="3"/>
  <c r="G76" i="3"/>
  <c r="H76" i="3"/>
  <c r="I76" i="3"/>
  <c r="J76" i="3"/>
  <c r="K76" i="3"/>
  <c r="B77" i="3"/>
  <c r="C77" i="3"/>
  <c r="D77" i="3"/>
  <c r="E77" i="3"/>
  <c r="F77" i="3"/>
  <c r="G77" i="3"/>
  <c r="H77" i="3"/>
  <c r="I77" i="3"/>
  <c r="J77" i="3"/>
  <c r="K77" i="3"/>
  <c r="B78" i="3"/>
  <c r="C78" i="3"/>
  <c r="D78" i="3"/>
  <c r="E78" i="3"/>
  <c r="F78" i="3"/>
  <c r="G78" i="3"/>
  <c r="H78" i="3"/>
  <c r="I78" i="3"/>
  <c r="J78" i="3"/>
  <c r="K78" i="3"/>
  <c r="B79" i="3"/>
  <c r="C79" i="3"/>
  <c r="D79" i="3"/>
  <c r="E79" i="3"/>
  <c r="F79" i="3"/>
  <c r="G79" i="3"/>
  <c r="H79" i="3"/>
  <c r="I79" i="3"/>
  <c r="J79" i="3"/>
  <c r="K79" i="3"/>
  <c r="B80" i="3"/>
  <c r="C80" i="3"/>
  <c r="D80" i="3"/>
  <c r="E80" i="3"/>
  <c r="F80" i="3"/>
  <c r="G80" i="3"/>
  <c r="H80" i="3"/>
  <c r="I80" i="3"/>
  <c r="J80" i="3"/>
  <c r="K80" i="3"/>
  <c r="B81" i="3"/>
  <c r="C81" i="3"/>
  <c r="D81" i="3"/>
  <c r="E81" i="3"/>
  <c r="F81" i="3"/>
  <c r="G81" i="3"/>
  <c r="H81" i="3"/>
  <c r="I81" i="3"/>
  <c r="J81" i="3"/>
  <c r="K81" i="3"/>
  <c r="B82" i="3"/>
  <c r="C82" i="3"/>
  <c r="D82" i="3"/>
  <c r="E82" i="3"/>
  <c r="F82" i="3"/>
  <c r="G82" i="3"/>
  <c r="H82" i="3"/>
  <c r="I82" i="3"/>
  <c r="J82" i="3"/>
  <c r="K82" i="3"/>
  <c r="B83" i="3"/>
  <c r="C83" i="3"/>
  <c r="D83" i="3"/>
  <c r="E83" i="3"/>
  <c r="F83" i="3"/>
  <c r="G83" i="3"/>
  <c r="H83" i="3"/>
  <c r="I83" i="3"/>
  <c r="J83" i="3"/>
  <c r="K83" i="3"/>
  <c r="B84" i="3"/>
  <c r="C84" i="3"/>
  <c r="D84" i="3"/>
  <c r="E84" i="3"/>
  <c r="F84" i="3"/>
  <c r="G84" i="3"/>
  <c r="H84" i="3"/>
  <c r="I84" i="3"/>
  <c r="J84" i="3"/>
  <c r="K84" i="3"/>
  <c r="B85" i="3"/>
  <c r="C85" i="3"/>
  <c r="D85" i="3"/>
  <c r="E85" i="3"/>
  <c r="F85" i="3"/>
  <c r="G85" i="3"/>
  <c r="H85" i="3"/>
  <c r="I85" i="3"/>
  <c r="J85" i="3"/>
  <c r="K85" i="3"/>
  <c r="B86" i="3"/>
  <c r="C86" i="3"/>
  <c r="D86" i="3"/>
  <c r="E86" i="3"/>
  <c r="F86" i="3"/>
  <c r="G86" i="3"/>
  <c r="H86" i="3"/>
  <c r="I86" i="3"/>
  <c r="J86" i="3"/>
  <c r="K86" i="3"/>
  <c r="B87" i="3"/>
  <c r="C87" i="3"/>
  <c r="D87" i="3"/>
  <c r="E87" i="3"/>
  <c r="F87" i="3"/>
  <c r="G87" i="3"/>
  <c r="H87" i="3"/>
  <c r="I87" i="3"/>
  <c r="J87" i="3"/>
  <c r="K87" i="3"/>
  <c r="B88" i="3"/>
  <c r="C88" i="3"/>
  <c r="D88" i="3"/>
  <c r="E88" i="3"/>
  <c r="F88" i="3"/>
  <c r="G88" i="3"/>
  <c r="H88" i="3"/>
  <c r="I88" i="3"/>
  <c r="J88" i="3"/>
  <c r="K88" i="3"/>
  <c r="B89" i="3"/>
  <c r="C89" i="3"/>
  <c r="D89" i="3"/>
  <c r="E89" i="3"/>
  <c r="F89" i="3"/>
  <c r="G89" i="3"/>
  <c r="H89" i="3"/>
  <c r="I89" i="3"/>
  <c r="J89" i="3"/>
  <c r="K89" i="3"/>
  <c r="B90" i="3"/>
  <c r="C90" i="3"/>
  <c r="D90" i="3"/>
  <c r="E90" i="3"/>
  <c r="F90" i="3"/>
  <c r="G90" i="3"/>
  <c r="H90" i="3"/>
  <c r="I90" i="3"/>
  <c r="J90" i="3"/>
  <c r="K90" i="3"/>
  <c r="B91" i="3"/>
  <c r="C91" i="3"/>
  <c r="D91" i="3"/>
  <c r="E91" i="3"/>
  <c r="F91" i="3"/>
  <c r="G91" i="3"/>
  <c r="H91" i="3"/>
  <c r="I91" i="3"/>
  <c r="J91" i="3"/>
  <c r="K91" i="3"/>
  <c r="B92" i="3"/>
  <c r="C92" i="3"/>
  <c r="D92" i="3"/>
  <c r="E92" i="3"/>
  <c r="F92" i="3"/>
  <c r="G92" i="3"/>
  <c r="H92" i="3"/>
  <c r="I92" i="3"/>
  <c r="J92" i="3"/>
  <c r="K92" i="3"/>
  <c r="B93" i="3"/>
  <c r="C93" i="3"/>
  <c r="D93" i="3"/>
  <c r="E93" i="3"/>
  <c r="F93" i="3"/>
  <c r="G93" i="3"/>
  <c r="H93" i="3"/>
  <c r="I93" i="3"/>
  <c r="J93" i="3"/>
  <c r="K93" i="3"/>
  <c r="B94" i="3"/>
  <c r="C94" i="3"/>
  <c r="D94" i="3"/>
  <c r="E94" i="3"/>
  <c r="F94" i="3"/>
  <c r="G94" i="3"/>
  <c r="H94" i="3"/>
  <c r="I94" i="3"/>
  <c r="J94" i="3"/>
  <c r="K94" i="3"/>
  <c r="B95" i="3"/>
  <c r="C95" i="3"/>
  <c r="D95" i="3"/>
  <c r="E95" i="3"/>
  <c r="F95" i="3"/>
  <c r="G95" i="3"/>
  <c r="H95" i="3"/>
  <c r="I95" i="3"/>
  <c r="J95" i="3"/>
  <c r="K95" i="3"/>
  <c r="B96" i="3"/>
  <c r="C96" i="3"/>
  <c r="D96" i="3"/>
  <c r="E96" i="3"/>
  <c r="F96" i="3"/>
  <c r="G96" i="3"/>
  <c r="H96" i="3"/>
  <c r="I96" i="3"/>
  <c r="J96" i="3"/>
  <c r="K96" i="3"/>
  <c r="B97" i="3"/>
  <c r="C97" i="3"/>
  <c r="D97" i="3"/>
  <c r="E97" i="3"/>
  <c r="F97" i="3"/>
  <c r="G97" i="3"/>
  <c r="H97" i="3"/>
  <c r="I97" i="3"/>
  <c r="J97" i="3"/>
  <c r="K97" i="3"/>
  <c r="B98" i="3"/>
  <c r="C98" i="3"/>
  <c r="D98" i="3"/>
  <c r="E98" i="3"/>
  <c r="F98" i="3"/>
  <c r="G98" i="3"/>
  <c r="H98" i="3"/>
  <c r="I98" i="3"/>
  <c r="J98" i="3"/>
  <c r="K98" i="3"/>
  <c r="B99" i="3"/>
  <c r="C99" i="3"/>
  <c r="D99" i="3"/>
  <c r="E99" i="3"/>
  <c r="F99" i="3"/>
  <c r="G99" i="3"/>
  <c r="H99" i="3"/>
  <c r="I99" i="3"/>
  <c r="J99" i="3"/>
  <c r="K99" i="3"/>
  <c r="B100" i="3"/>
  <c r="C100" i="3"/>
  <c r="D100" i="3"/>
  <c r="E100" i="3"/>
  <c r="F100" i="3"/>
  <c r="G100" i="3"/>
  <c r="H100" i="3"/>
  <c r="I100" i="3"/>
  <c r="J100" i="3"/>
  <c r="K100" i="3"/>
  <c r="B101" i="3"/>
  <c r="C101" i="3"/>
  <c r="D101" i="3"/>
  <c r="E101" i="3"/>
  <c r="F101" i="3"/>
  <c r="G101" i="3"/>
  <c r="H101" i="3"/>
  <c r="I101" i="3"/>
  <c r="J101" i="3"/>
  <c r="K101" i="3"/>
  <c r="B102" i="3"/>
  <c r="C102" i="3"/>
  <c r="D102" i="3"/>
  <c r="E102" i="3"/>
  <c r="F102" i="3"/>
  <c r="G102" i="3"/>
  <c r="H102" i="3"/>
  <c r="I102" i="3"/>
  <c r="J102" i="3"/>
  <c r="K102" i="3"/>
  <c r="B103" i="3"/>
  <c r="C103" i="3"/>
  <c r="D103" i="3"/>
  <c r="E103" i="3"/>
  <c r="F103" i="3"/>
  <c r="G103" i="3"/>
  <c r="H103" i="3"/>
  <c r="I103" i="3"/>
  <c r="J103" i="3"/>
  <c r="K103" i="3"/>
  <c r="B104" i="3"/>
  <c r="C104" i="3"/>
  <c r="D104" i="3"/>
  <c r="E104" i="3"/>
  <c r="F104" i="3"/>
  <c r="G104" i="3"/>
  <c r="H104" i="3"/>
  <c r="I104" i="3"/>
  <c r="J104" i="3"/>
  <c r="K104" i="3"/>
  <c r="B105" i="3"/>
  <c r="C105" i="3"/>
  <c r="D105" i="3"/>
  <c r="E105" i="3"/>
  <c r="F105" i="3"/>
  <c r="G105" i="3"/>
  <c r="H105" i="3"/>
  <c r="I105" i="3"/>
  <c r="J105" i="3"/>
  <c r="K105" i="3"/>
  <c r="B106" i="3"/>
  <c r="C106" i="3"/>
  <c r="D106" i="3"/>
  <c r="E106" i="3"/>
  <c r="F106" i="3"/>
  <c r="G106" i="3"/>
  <c r="H106" i="3"/>
  <c r="I106" i="3"/>
  <c r="J106" i="3"/>
  <c r="K106" i="3"/>
  <c r="B107" i="3"/>
  <c r="C107" i="3"/>
  <c r="D107" i="3"/>
  <c r="E107" i="3"/>
  <c r="F107" i="3"/>
  <c r="G107" i="3"/>
  <c r="H107" i="3"/>
  <c r="I107" i="3"/>
  <c r="J107" i="3"/>
  <c r="K107" i="3"/>
  <c r="B108" i="3"/>
  <c r="C108" i="3"/>
  <c r="D108" i="3"/>
  <c r="E108" i="3"/>
  <c r="F108" i="3"/>
  <c r="G108" i="3"/>
  <c r="H108" i="3"/>
  <c r="I108" i="3"/>
  <c r="J108" i="3"/>
  <c r="K108" i="3"/>
  <c r="B109" i="3"/>
  <c r="C109" i="3"/>
  <c r="D109" i="3"/>
  <c r="E109" i="3"/>
  <c r="F109" i="3"/>
  <c r="G109" i="3"/>
  <c r="H109" i="3"/>
  <c r="I109" i="3"/>
  <c r="J109" i="3"/>
  <c r="K109" i="3"/>
  <c r="B110" i="3"/>
  <c r="C110" i="3"/>
  <c r="D110" i="3"/>
  <c r="E110" i="3"/>
  <c r="F110" i="3"/>
  <c r="G110" i="3"/>
  <c r="H110" i="3"/>
  <c r="I110" i="3"/>
  <c r="J110" i="3"/>
  <c r="K110" i="3"/>
  <c r="B111" i="3"/>
  <c r="C111" i="3"/>
  <c r="D111" i="3"/>
  <c r="E111" i="3"/>
  <c r="F111" i="3"/>
  <c r="G111" i="3"/>
  <c r="H111" i="3"/>
  <c r="I111" i="3"/>
  <c r="J111" i="3"/>
  <c r="K111" i="3"/>
  <c r="B112" i="3"/>
  <c r="C112" i="3"/>
  <c r="D112" i="3"/>
  <c r="E112" i="3"/>
  <c r="F112" i="3"/>
  <c r="G112" i="3"/>
  <c r="H112" i="3"/>
  <c r="I112" i="3"/>
  <c r="J112" i="3"/>
  <c r="K112" i="3"/>
  <c r="B113" i="3"/>
  <c r="C113" i="3"/>
  <c r="D113" i="3"/>
  <c r="E113" i="3"/>
  <c r="F113" i="3"/>
  <c r="G113" i="3"/>
  <c r="H113" i="3"/>
  <c r="I113" i="3"/>
  <c r="J113" i="3"/>
  <c r="K113" i="3"/>
  <c r="B114" i="3"/>
  <c r="C114" i="3"/>
  <c r="D114" i="3"/>
  <c r="E114" i="3"/>
  <c r="F114" i="3"/>
  <c r="G114" i="3"/>
  <c r="H114" i="3"/>
  <c r="I114" i="3"/>
  <c r="J114" i="3"/>
  <c r="K114" i="3"/>
  <c r="B115" i="3"/>
  <c r="C115" i="3"/>
  <c r="D115" i="3"/>
  <c r="E115" i="3"/>
  <c r="F115" i="3"/>
  <c r="G115" i="3"/>
  <c r="H115" i="3"/>
  <c r="I115" i="3"/>
  <c r="J115" i="3"/>
  <c r="K115" i="3"/>
  <c r="B116" i="3"/>
  <c r="C116" i="3"/>
  <c r="D116" i="3"/>
  <c r="E116" i="3"/>
  <c r="F116" i="3"/>
  <c r="G116" i="3"/>
  <c r="H116" i="3"/>
  <c r="I116" i="3"/>
  <c r="J116" i="3"/>
  <c r="K116" i="3"/>
  <c r="B117" i="3"/>
  <c r="C117" i="3"/>
  <c r="D117" i="3"/>
  <c r="E117" i="3"/>
  <c r="F117" i="3"/>
  <c r="G117" i="3"/>
  <c r="H117" i="3"/>
  <c r="I117" i="3"/>
  <c r="J117" i="3"/>
  <c r="K117" i="3"/>
  <c r="B118" i="3"/>
  <c r="C118" i="3"/>
  <c r="D118" i="3"/>
  <c r="E118" i="3"/>
  <c r="F118" i="3"/>
  <c r="G118" i="3"/>
  <c r="H118" i="3"/>
  <c r="I118" i="3"/>
  <c r="J118" i="3"/>
  <c r="K118" i="3"/>
  <c r="B119" i="3"/>
  <c r="C119" i="3"/>
  <c r="D119" i="3"/>
  <c r="E119" i="3"/>
  <c r="F119" i="3"/>
  <c r="G119" i="3"/>
  <c r="H119" i="3"/>
  <c r="I119" i="3"/>
  <c r="J119" i="3"/>
  <c r="K119" i="3"/>
  <c r="B120" i="3"/>
  <c r="C120" i="3"/>
  <c r="D120" i="3"/>
  <c r="E120" i="3"/>
  <c r="F120" i="3"/>
  <c r="G120" i="3"/>
  <c r="H120" i="3"/>
  <c r="I120" i="3"/>
  <c r="J120" i="3"/>
  <c r="K120" i="3"/>
  <c r="B121" i="3"/>
  <c r="C121" i="3"/>
  <c r="D121" i="3"/>
  <c r="E121" i="3"/>
  <c r="F121" i="3"/>
  <c r="G121" i="3"/>
  <c r="H121" i="3"/>
  <c r="I121" i="3"/>
  <c r="J121" i="3"/>
  <c r="K121" i="3"/>
  <c r="B122" i="3"/>
  <c r="C122" i="3"/>
  <c r="D122" i="3"/>
  <c r="E122" i="3"/>
  <c r="F122" i="3"/>
  <c r="G122" i="3"/>
  <c r="H122" i="3"/>
  <c r="I122" i="3"/>
  <c r="J122" i="3"/>
  <c r="K122" i="3"/>
  <c r="B123" i="3"/>
  <c r="C123" i="3"/>
  <c r="D123" i="3"/>
  <c r="E123" i="3"/>
  <c r="F123" i="3"/>
  <c r="G123" i="3"/>
  <c r="H123" i="3"/>
  <c r="I123" i="3"/>
  <c r="J123" i="3"/>
  <c r="K123" i="3"/>
  <c r="B124" i="3"/>
  <c r="C124" i="3"/>
  <c r="D124" i="3"/>
  <c r="E124" i="3"/>
  <c r="F124" i="3"/>
  <c r="G124" i="3"/>
  <c r="H124" i="3"/>
  <c r="I124" i="3"/>
  <c r="J124" i="3"/>
  <c r="K124" i="3"/>
  <c r="B125" i="3"/>
  <c r="C125" i="3"/>
  <c r="D125" i="3"/>
  <c r="E125" i="3"/>
  <c r="F125" i="3"/>
  <c r="G125" i="3"/>
  <c r="H125" i="3"/>
  <c r="I125" i="3"/>
  <c r="J125" i="3"/>
  <c r="K125" i="3"/>
  <c r="B126" i="3"/>
  <c r="C126" i="3"/>
  <c r="D126" i="3"/>
  <c r="E126" i="3"/>
  <c r="F126" i="3"/>
  <c r="G126" i="3"/>
  <c r="H126" i="3"/>
  <c r="I126" i="3"/>
  <c r="J126" i="3"/>
  <c r="K126" i="3"/>
  <c r="B127" i="3"/>
  <c r="C127" i="3"/>
  <c r="D127" i="3"/>
  <c r="E127" i="3"/>
  <c r="F127" i="3"/>
  <c r="G127" i="3"/>
  <c r="H127" i="3"/>
  <c r="I127" i="3"/>
  <c r="J127" i="3"/>
  <c r="K127" i="3"/>
  <c r="B128" i="3"/>
  <c r="C128" i="3"/>
  <c r="D128" i="3"/>
  <c r="E128" i="3"/>
  <c r="F128" i="3"/>
  <c r="G128" i="3"/>
  <c r="H128" i="3"/>
  <c r="I128" i="3"/>
  <c r="J128" i="3"/>
  <c r="K128" i="3"/>
  <c r="B129" i="3"/>
  <c r="C129" i="3"/>
  <c r="D129" i="3"/>
  <c r="E129" i="3"/>
  <c r="F129" i="3"/>
  <c r="G129" i="3"/>
  <c r="H129" i="3"/>
  <c r="I129" i="3"/>
  <c r="J129" i="3"/>
  <c r="K129" i="3"/>
  <c r="B130" i="3"/>
  <c r="C130" i="3"/>
  <c r="D130" i="3"/>
  <c r="E130" i="3"/>
  <c r="F130" i="3"/>
  <c r="G130" i="3"/>
  <c r="H130" i="3"/>
  <c r="I130" i="3"/>
  <c r="J130" i="3"/>
  <c r="K130" i="3"/>
  <c r="B131" i="3"/>
  <c r="C131" i="3"/>
  <c r="D131" i="3"/>
  <c r="E131" i="3"/>
  <c r="F131" i="3"/>
  <c r="G131" i="3"/>
  <c r="H131" i="3"/>
  <c r="I131" i="3"/>
  <c r="J131" i="3"/>
  <c r="K131" i="3"/>
  <c r="B132" i="3"/>
  <c r="C132" i="3"/>
  <c r="D132" i="3"/>
  <c r="E132" i="3"/>
  <c r="F132" i="3"/>
  <c r="G132" i="3"/>
  <c r="H132" i="3"/>
  <c r="I132" i="3"/>
  <c r="J132" i="3"/>
  <c r="K132" i="3"/>
  <c r="B133" i="3"/>
  <c r="C133" i="3"/>
  <c r="D133" i="3"/>
  <c r="E133" i="3"/>
  <c r="F133" i="3"/>
  <c r="G133" i="3"/>
  <c r="H133" i="3"/>
  <c r="I133" i="3"/>
  <c r="J133" i="3"/>
  <c r="K133" i="3"/>
  <c r="B134" i="3"/>
  <c r="C134" i="3"/>
  <c r="D134" i="3"/>
  <c r="E134" i="3"/>
  <c r="F134" i="3"/>
  <c r="G134" i="3"/>
  <c r="H134" i="3"/>
  <c r="I134" i="3"/>
  <c r="J134" i="3"/>
  <c r="K134" i="3"/>
  <c r="B135" i="3"/>
  <c r="C135" i="3"/>
  <c r="D135" i="3"/>
  <c r="E135" i="3"/>
  <c r="F135" i="3"/>
  <c r="G135" i="3"/>
  <c r="H135" i="3"/>
  <c r="I135" i="3"/>
  <c r="J135" i="3"/>
  <c r="K135" i="3"/>
  <c r="B136" i="3"/>
  <c r="C136" i="3"/>
  <c r="D136" i="3"/>
  <c r="E136" i="3"/>
  <c r="F136" i="3"/>
  <c r="G136" i="3"/>
  <c r="H136" i="3"/>
  <c r="I136" i="3"/>
  <c r="J136" i="3"/>
  <c r="K136" i="3"/>
  <c r="B137" i="3"/>
  <c r="C137" i="3"/>
  <c r="D137" i="3"/>
  <c r="E137" i="3"/>
  <c r="F137" i="3"/>
  <c r="G137" i="3"/>
  <c r="H137" i="3"/>
  <c r="I137" i="3"/>
  <c r="J137" i="3"/>
  <c r="K137" i="3"/>
  <c r="B138" i="3"/>
  <c r="C138" i="3"/>
  <c r="D138" i="3"/>
  <c r="E138" i="3"/>
  <c r="F138" i="3"/>
  <c r="G138" i="3"/>
  <c r="H138" i="3"/>
  <c r="I138" i="3"/>
  <c r="J138" i="3"/>
  <c r="K138" i="3"/>
  <c r="B139" i="3"/>
  <c r="C139" i="3"/>
  <c r="D139" i="3"/>
  <c r="E139" i="3"/>
  <c r="F139" i="3"/>
  <c r="G139" i="3"/>
  <c r="H139" i="3"/>
  <c r="I139" i="3"/>
  <c r="J139" i="3"/>
  <c r="K139" i="3"/>
  <c r="B140" i="3"/>
  <c r="C140" i="3"/>
  <c r="D140" i="3"/>
  <c r="E140" i="3"/>
  <c r="F140" i="3"/>
  <c r="G140" i="3"/>
  <c r="H140" i="3"/>
  <c r="I140" i="3"/>
  <c r="J140" i="3"/>
  <c r="K140" i="3"/>
  <c r="B141" i="3"/>
  <c r="C141" i="3"/>
  <c r="D141" i="3"/>
  <c r="E141" i="3"/>
  <c r="F141" i="3"/>
  <c r="G141" i="3"/>
  <c r="H141" i="3"/>
  <c r="I141" i="3"/>
  <c r="J141" i="3"/>
  <c r="K141" i="3"/>
  <c r="B142" i="3"/>
  <c r="C142" i="3"/>
  <c r="D142" i="3"/>
  <c r="E142" i="3"/>
  <c r="F142" i="3"/>
  <c r="G142" i="3"/>
  <c r="H142" i="3"/>
  <c r="I142" i="3"/>
  <c r="J142" i="3"/>
  <c r="K142" i="3"/>
  <c r="B143" i="3"/>
  <c r="C143" i="3"/>
  <c r="D143" i="3"/>
  <c r="E143" i="3"/>
  <c r="F143" i="3"/>
  <c r="G143" i="3"/>
  <c r="H143" i="3"/>
  <c r="I143" i="3"/>
  <c r="J143" i="3"/>
  <c r="K143" i="3"/>
  <c r="B144" i="3"/>
  <c r="C144" i="3"/>
  <c r="D144" i="3"/>
  <c r="E144" i="3"/>
  <c r="F144" i="3"/>
  <c r="G144" i="3"/>
  <c r="H144" i="3"/>
  <c r="I144" i="3"/>
  <c r="J144" i="3"/>
  <c r="K144" i="3"/>
  <c r="B145" i="3"/>
  <c r="C145" i="3"/>
  <c r="D145" i="3"/>
  <c r="E145" i="3"/>
  <c r="F145" i="3"/>
  <c r="G145" i="3"/>
  <c r="H145" i="3"/>
  <c r="I145" i="3"/>
  <c r="J145" i="3"/>
  <c r="K145" i="3"/>
  <c r="B146" i="3"/>
  <c r="C146" i="3"/>
  <c r="D146" i="3"/>
  <c r="E146" i="3"/>
  <c r="F146" i="3"/>
  <c r="G146" i="3"/>
  <c r="H146" i="3"/>
  <c r="I146" i="3"/>
  <c r="J146" i="3"/>
  <c r="K146" i="3"/>
  <c r="B147" i="3"/>
  <c r="C147" i="3"/>
  <c r="D147" i="3"/>
  <c r="E147" i="3"/>
  <c r="F147" i="3"/>
  <c r="G147" i="3"/>
  <c r="H147" i="3"/>
  <c r="I147" i="3"/>
  <c r="J147" i="3"/>
  <c r="K147" i="3"/>
  <c r="B148" i="3"/>
  <c r="C148" i="3"/>
  <c r="D148" i="3"/>
  <c r="E148" i="3"/>
  <c r="F148" i="3"/>
  <c r="G148" i="3"/>
  <c r="H148" i="3"/>
  <c r="I148" i="3"/>
  <c r="J148" i="3"/>
  <c r="K148" i="3"/>
  <c r="B149" i="3"/>
  <c r="C149" i="3"/>
  <c r="D149" i="3"/>
  <c r="E149" i="3"/>
  <c r="F149" i="3"/>
  <c r="G149" i="3"/>
  <c r="H149" i="3"/>
  <c r="I149" i="3"/>
  <c r="J149" i="3"/>
  <c r="K149" i="3"/>
  <c r="B150" i="3"/>
  <c r="C150" i="3"/>
  <c r="D150" i="3"/>
  <c r="E150" i="3"/>
  <c r="F150" i="3"/>
  <c r="G150" i="3"/>
  <c r="H150" i="3"/>
  <c r="I150" i="3"/>
  <c r="J150" i="3"/>
  <c r="K150" i="3"/>
  <c r="B151" i="3"/>
  <c r="C151" i="3"/>
  <c r="D151" i="3"/>
  <c r="E151" i="3"/>
  <c r="F151" i="3"/>
  <c r="G151" i="3"/>
  <c r="H151" i="3"/>
  <c r="I151" i="3"/>
  <c r="J151" i="3"/>
  <c r="K151" i="3"/>
  <c r="B152" i="3"/>
  <c r="C152" i="3"/>
  <c r="D152" i="3"/>
  <c r="E152" i="3"/>
  <c r="F152" i="3"/>
  <c r="G152" i="3"/>
  <c r="H152" i="3"/>
  <c r="I152" i="3"/>
  <c r="J152" i="3"/>
  <c r="K152" i="3"/>
  <c r="B153" i="3"/>
  <c r="C153" i="3"/>
  <c r="D153" i="3"/>
  <c r="E153" i="3"/>
  <c r="F153" i="3"/>
  <c r="G153" i="3"/>
  <c r="H153" i="3"/>
  <c r="I153" i="3"/>
  <c r="J153" i="3"/>
  <c r="K153" i="3"/>
  <c r="B154" i="3"/>
  <c r="C154" i="3"/>
  <c r="D154" i="3"/>
  <c r="E154" i="3"/>
  <c r="F154" i="3"/>
  <c r="G154" i="3"/>
  <c r="H154" i="3"/>
  <c r="I154" i="3"/>
  <c r="J154" i="3"/>
  <c r="K154" i="3"/>
  <c r="B155" i="3"/>
  <c r="C155" i="3"/>
  <c r="D155" i="3"/>
  <c r="E155" i="3"/>
  <c r="F155" i="3"/>
  <c r="G155" i="3"/>
  <c r="H155" i="3"/>
  <c r="I155" i="3"/>
  <c r="J155" i="3"/>
  <c r="K155" i="3"/>
  <c r="B156" i="3"/>
  <c r="C156" i="3"/>
  <c r="D156" i="3"/>
  <c r="E156" i="3"/>
  <c r="F156" i="3"/>
  <c r="G156" i="3"/>
  <c r="H156" i="3"/>
  <c r="I156" i="3"/>
  <c r="J156" i="3"/>
  <c r="K156" i="3"/>
  <c r="B157" i="3"/>
  <c r="C157" i="3"/>
  <c r="D157" i="3"/>
  <c r="E157" i="3"/>
  <c r="F157" i="3"/>
  <c r="G157" i="3"/>
  <c r="H157" i="3"/>
  <c r="I157" i="3"/>
  <c r="J157" i="3"/>
  <c r="K157" i="3"/>
  <c r="B158" i="3"/>
  <c r="C158" i="3"/>
  <c r="D158" i="3"/>
  <c r="E158" i="3"/>
  <c r="F158" i="3"/>
  <c r="G158" i="3"/>
  <c r="H158" i="3"/>
  <c r="I158" i="3"/>
  <c r="J158" i="3"/>
  <c r="K158" i="3"/>
  <c r="B159" i="3"/>
  <c r="C159" i="3"/>
  <c r="D159" i="3"/>
  <c r="E159" i="3"/>
  <c r="F159" i="3"/>
  <c r="G159" i="3"/>
  <c r="H159" i="3"/>
  <c r="I159" i="3"/>
  <c r="J159" i="3"/>
  <c r="K159" i="3"/>
  <c r="B160" i="3"/>
  <c r="C160" i="3"/>
  <c r="D160" i="3"/>
  <c r="E160" i="3"/>
  <c r="F160" i="3"/>
  <c r="G160" i="3"/>
  <c r="H160" i="3"/>
  <c r="I160" i="3"/>
  <c r="J160" i="3"/>
  <c r="K160" i="3"/>
  <c r="B161" i="3"/>
  <c r="C161" i="3"/>
  <c r="D161" i="3"/>
  <c r="E161" i="3"/>
  <c r="F161" i="3"/>
  <c r="G161" i="3"/>
  <c r="H161" i="3"/>
  <c r="I161" i="3"/>
  <c r="J161" i="3"/>
  <c r="K161" i="3"/>
  <c r="B162" i="3"/>
  <c r="C162" i="3"/>
  <c r="D162" i="3"/>
  <c r="E162" i="3"/>
  <c r="F162" i="3"/>
  <c r="G162" i="3"/>
  <c r="H162" i="3"/>
  <c r="I162" i="3"/>
  <c r="J162" i="3"/>
  <c r="K162" i="3"/>
  <c r="B163" i="3"/>
  <c r="C163" i="3"/>
  <c r="D163" i="3"/>
  <c r="E163" i="3"/>
  <c r="F163" i="3"/>
  <c r="G163" i="3"/>
  <c r="H163" i="3"/>
  <c r="I163" i="3"/>
  <c r="J163" i="3"/>
  <c r="K163" i="3"/>
  <c r="B164" i="3"/>
  <c r="C164" i="3"/>
  <c r="D164" i="3"/>
  <c r="E164" i="3"/>
  <c r="F164" i="3"/>
  <c r="G164" i="3"/>
  <c r="H164" i="3"/>
  <c r="I164" i="3"/>
  <c r="J164" i="3"/>
  <c r="K164" i="3"/>
  <c r="B165" i="3"/>
  <c r="C165" i="3"/>
  <c r="D165" i="3"/>
  <c r="E165" i="3"/>
  <c r="F165" i="3"/>
  <c r="G165" i="3"/>
  <c r="H165" i="3"/>
  <c r="I165" i="3"/>
  <c r="J165" i="3"/>
  <c r="K165" i="3"/>
  <c r="B166" i="3"/>
  <c r="C166" i="3"/>
  <c r="D166" i="3"/>
  <c r="E166" i="3"/>
  <c r="F166" i="3"/>
  <c r="G166" i="3"/>
  <c r="H166" i="3"/>
  <c r="I166" i="3"/>
  <c r="J166" i="3"/>
  <c r="K166" i="3"/>
  <c r="B167" i="3"/>
  <c r="C167" i="3"/>
  <c r="D167" i="3"/>
  <c r="E167" i="3"/>
  <c r="F167" i="3"/>
  <c r="G167" i="3"/>
  <c r="H167" i="3"/>
  <c r="I167" i="3"/>
  <c r="J167" i="3"/>
  <c r="K167" i="3"/>
  <c r="B168" i="3"/>
  <c r="C168" i="3"/>
  <c r="D168" i="3"/>
  <c r="E168" i="3"/>
  <c r="F168" i="3"/>
  <c r="G168" i="3"/>
  <c r="H168" i="3"/>
  <c r="I168" i="3"/>
  <c r="J168" i="3"/>
  <c r="K168" i="3"/>
  <c r="B169" i="3"/>
  <c r="C169" i="3"/>
  <c r="D169" i="3"/>
  <c r="E169" i="3"/>
  <c r="F169" i="3"/>
  <c r="G169" i="3"/>
  <c r="H169" i="3"/>
  <c r="I169" i="3"/>
  <c r="J169" i="3"/>
  <c r="K169" i="3"/>
  <c r="B170" i="3"/>
  <c r="C170" i="3"/>
  <c r="D170" i="3"/>
  <c r="E170" i="3"/>
  <c r="F170" i="3"/>
  <c r="G170" i="3"/>
  <c r="H170" i="3"/>
  <c r="I170" i="3"/>
  <c r="J170" i="3"/>
  <c r="K170" i="3"/>
  <c r="B171" i="3"/>
  <c r="C171" i="3"/>
  <c r="D171" i="3"/>
  <c r="E171" i="3"/>
  <c r="F171" i="3"/>
  <c r="G171" i="3"/>
  <c r="H171" i="3"/>
  <c r="I171" i="3"/>
  <c r="J171" i="3"/>
  <c r="K171" i="3"/>
  <c r="B172" i="3"/>
  <c r="C172" i="3"/>
  <c r="D172" i="3"/>
  <c r="E172" i="3"/>
  <c r="F172" i="3"/>
  <c r="G172" i="3"/>
  <c r="H172" i="3"/>
  <c r="I172" i="3"/>
  <c r="J172" i="3"/>
  <c r="K172" i="3"/>
  <c r="B173" i="3"/>
  <c r="C173" i="3"/>
  <c r="D173" i="3"/>
  <c r="E173" i="3"/>
  <c r="F173" i="3"/>
  <c r="G173" i="3"/>
  <c r="H173" i="3"/>
  <c r="I173" i="3"/>
  <c r="J173" i="3"/>
  <c r="K173" i="3"/>
  <c r="B174" i="3"/>
  <c r="C174" i="3"/>
  <c r="D174" i="3"/>
  <c r="E174" i="3"/>
  <c r="F174" i="3"/>
  <c r="G174" i="3"/>
  <c r="H174" i="3"/>
  <c r="I174" i="3"/>
  <c r="J174" i="3"/>
  <c r="K174" i="3"/>
  <c r="B175" i="3"/>
  <c r="C175" i="3"/>
  <c r="D175" i="3"/>
  <c r="E175" i="3"/>
  <c r="F175" i="3"/>
  <c r="G175" i="3"/>
  <c r="H175" i="3"/>
  <c r="I175" i="3"/>
  <c r="J175" i="3"/>
  <c r="K175" i="3"/>
  <c r="B176" i="3"/>
  <c r="C176" i="3"/>
  <c r="D176" i="3"/>
  <c r="E176" i="3"/>
  <c r="F176" i="3"/>
  <c r="G176" i="3"/>
  <c r="H176" i="3"/>
  <c r="I176" i="3"/>
  <c r="J176" i="3"/>
  <c r="K176" i="3"/>
  <c r="B177" i="3"/>
  <c r="C177" i="3"/>
  <c r="D177" i="3"/>
  <c r="E177" i="3"/>
  <c r="F177" i="3"/>
  <c r="G177" i="3"/>
  <c r="H177" i="3"/>
  <c r="I177" i="3"/>
  <c r="J177" i="3"/>
  <c r="K177" i="3"/>
  <c r="B178" i="3"/>
  <c r="C178" i="3"/>
  <c r="D178" i="3"/>
  <c r="E178" i="3"/>
  <c r="F178" i="3"/>
  <c r="G178" i="3"/>
  <c r="H178" i="3"/>
  <c r="I178" i="3"/>
  <c r="J178" i="3"/>
  <c r="K178" i="3"/>
  <c r="B179" i="3"/>
  <c r="C179" i="3"/>
  <c r="D179" i="3"/>
  <c r="E179" i="3"/>
  <c r="F179" i="3"/>
  <c r="G179" i="3"/>
  <c r="H179" i="3"/>
  <c r="I179" i="3"/>
  <c r="J179" i="3"/>
  <c r="K179" i="3"/>
  <c r="B180" i="3"/>
  <c r="C180" i="3"/>
  <c r="D180" i="3"/>
  <c r="E180" i="3"/>
  <c r="F180" i="3"/>
  <c r="G180" i="3"/>
  <c r="H180" i="3"/>
  <c r="I180" i="3"/>
  <c r="J180" i="3"/>
  <c r="K180" i="3"/>
  <c r="B181" i="3"/>
  <c r="C181" i="3"/>
  <c r="D181" i="3"/>
  <c r="E181" i="3"/>
  <c r="F181" i="3"/>
  <c r="G181" i="3"/>
  <c r="H181" i="3"/>
  <c r="I181" i="3"/>
  <c r="J181" i="3"/>
  <c r="K181" i="3"/>
  <c r="B182" i="3"/>
  <c r="C182" i="3"/>
  <c r="D182" i="3"/>
  <c r="E182" i="3"/>
  <c r="F182" i="3"/>
  <c r="G182" i="3"/>
  <c r="H182" i="3"/>
  <c r="I182" i="3"/>
  <c r="J182" i="3"/>
  <c r="K182" i="3"/>
  <c r="B183" i="3"/>
  <c r="C183" i="3"/>
  <c r="D183" i="3"/>
  <c r="E183" i="3"/>
  <c r="F183" i="3"/>
  <c r="G183" i="3"/>
  <c r="H183" i="3"/>
  <c r="I183" i="3"/>
  <c r="J183" i="3"/>
  <c r="K183" i="3"/>
  <c r="B184" i="3"/>
  <c r="C184" i="3"/>
  <c r="D184" i="3"/>
  <c r="E184" i="3"/>
  <c r="F184" i="3"/>
  <c r="G184" i="3"/>
  <c r="H184" i="3"/>
  <c r="I184" i="3"/>
  <c r="J184" i="3"/>
  <c r="K184" i="3"/>
  <c r="B185" i="3"/>
  <c r="C185" i="3"/>
  <c r="D185" i="3"/>
  <c r="E185" i="3"/>
  <c r="F185" i="3"/>
  <c r="G185" i="3"/>
  <c r="H185" i="3"/>
  <c r="I185" i="3"/>
  <c r="J185" i="3"/>
  <c r="K185" i="3"/>
  <c r="B186" i="3"/>
  <c r="C186" i="3"/>
  <c r="D186" i="3"/>
  <c r="E186" i="3"/>
  <c r="F186" i="3"/>
  <c r="G186" i="3"/>
  <c r="H186" i="3"/>
  <c r="I186" i="3"/>
  <c r="J186" i="3"/>
  <c r="K186" i="3"/>
  <c r="B187" i="3"/>
  <c r="C187" i="3"/>
  <c r="D187" i="3"/>
  <c r="E187" i="3"/>
  <c r="F187" i="3"/>
  <c r="G187" i="3"/>
  <c r="H187" i="3"/>
  <c r="I187" i="3"/>
  <c r="J187" i="3"/>
  <c r="K187" i="3"/>
  <c r="B188" i="3"/>
  <c r="C188" i="3"/>
  <c r="D188" i="3"/>
  <c r="E188" i="3"/>
  <c r="F188" i="3"/>
  <c r="G188" i="3"/>
  <c r="H188" i="3"/>
  <c r="I188" i="3"/>
  <c r="J188" i="3"/>
  <c r="K188" i="3"/>
  <c r="B189" i="3"/>
  <c r="C189" i="3"/>
  <c r="D189" i="3"/>
  <c r="E189" i="3"/>
  <c r="F189" i="3"/>
  <c r="G189" i="3"/>
  <c r="H189" i="3"/>
  <c r="I189" i="3"/>
  <c r="J189" i="3"/>
  <c r="K189" i="3"/>
  <c r="B190" i="3"/>
  <c r="C190" i="3"/>
  <c r="D190" i="3"/>
  <c r="E190" i="3"/>
  <c r="F190" i="3"/>
  <c r="G190" i="3"/>
  <c r="H190" i="3"/>
  <c r="I190" i="3"/>
  <c r="J190" i="3"/>
  <c r="K190" i="3"/>
  <c r="B191" i="3"/>
  <c r="C191" i="3"/>
  <c r="D191" i="3"/>
  <c r="E191" i="3"/>
  <c r="F191" i="3"/>
  <c r="G191" i="3"/>
  <c r="H191" i="3"/>
  <c r="I191" i="3"/>
  <c r="J191" i="3"/>
  <c r="K191" i="3"/>
  <c r="B192" i="3"/>
  <c r="C192" i="3"/>
  <c r="D192" i="3"/>
  <c r="E192" i="3"/>
  <c r="F192" i="3"/>
  <c r="G192" i="3"/>
  <c r="H192" i="3"/>
  <c r="I192" i="3"/>
  <c r="J192" i="3"/>
  <c r="K192" i="3"/>
  <c r="B193" i="3"/>
  <c r="C193" i="3"/>
  <c r="D193" i="3"/>
  <c r="E193" i="3"/>
  <c r="F193" i="3"/>
  <c r="G193" i="3"/>
  <c r="H193" i="3"/>
  <c r="I193" i="3"/>
  <c r="J193" i="3"/>
  <c r="K193" i="3"/>
  <c r="B194" i="3"/>
  <c r="C194" i="3"/>
  <c r="D194" i="3"/>
  <c r="E194" i="3"/>
  <c r="F194" i="3"/>
  <c r="G194" i="3"/>
  <c r="H194" i="3"/>
  <c r="I194" i="3"/>
  <c r="J194" i="3"/>
  <c r="K194" i="3"/>
  <c r="B195" i="3"/>
  <c r="C195" i="3"/>
  <c r="D195" i="3"/>
  <c r="E195" i="3"/>
  <c r="F195" i="3"/>
  <c r="G195" i="3"/>
  <c r="H195" i="3"/>
  <c r="I195" i="3"/>
  <c r="J195" i="3"/>
  <c r="K195" i="3"/>
  <c r="B196" i="3"/>
  <c r="C196" i="3"/>
  <c r="D196" i="3"/>
  <c r="E196" i="3"/>
  <c r="F196" i="3"/>
  <c r="G196" i="3"/>
  <c r="H196" i="3"/>
  <c r="I196" i="3"/>
  <c r="J196" i="3"/>
  <c r="K196" i="3"/>
  <c r="B197" i="3"/>
  <c r="C197" i="3"/>
  <c r="D197" i="3"/>
  <c r="E197" i="3"/>
  <c r="F197" i="3"/>
  <c r="G197" i="3"/>
  <c r="H197" i="3"/>
  <c r="I197" i="3"/>
  <c r="J197" i="3"/>
  <c r="K197" i="3"/>
  <c r="B198" i="3"/>
  <c r="C198" i="3"/>
  <c r="D198" i="3"/>
  <c r="E198" i="3"/>
  <c r="F198" i="3"/>
  <c r="G198" i="3"/>
  <c r="H198" i="3"/>
  <c r="I198" i="3"/>
  <c r="J198" i="3"/>
  <c r="K198" i="3"/>
  <c r="B199" i="3"/>
  <c r="C199" i="3"/>
  <c r="D199" i="3"/>
  <c r="E199" i="3"/>
  <c r="F199" i="3"/>
  <c r="G199" i="3"/>
  <c r="H199" i="3"/>
  <c r="I199" i="3"/>
  <c r="J199" i="3"/>
  <c r="K199" i="3"/>
  <c r="B200" i="3"/>
  <c r="C200" i="3"/>
  <c r="D200" i="3"/>
  <c r="E200" i="3"/>
  <c r="F200" i="3"/>
  <c r="G200" i="3"/>
  <c r="H200" i="3"/>
  <c r="I200" i="3"/>
  <c r="J200" i="3"/>
  <c r="K200" i="3"/>
  <c r="B201" i="3"/>
  <c r="C201" i="3"/>
  <c r="D201" i="3"/>
  <c r="E201" i="3"/>
  <c r="F201" i="3"/>
  <c r="G201" i="3"/>
  <c r="H201" i="3"/>
  <c r="I201" i="3"/>
  <c r="J201" i="3"/>
  <c r="K201" i="3"/>
  <c r="B202" i="3"/>
  <c r="C202" i="3"/>
  <c r="D202" i="3"/>
  <c r="E202" i="3"/>
  <c r="F202" i="3"/>
  <c r="G202" i="3"/>
  <c r="H202" i="3"/>
  <c r="I202" i="3"/>
  <c r="J202" i="3"/>
  <c r="K202" i="3"/>
  <c r="B203" i="3"/>
  <c r="C203" i="3"/>
  <c r="D203" i="3"/>
  <c r="E203" i="3"/>
  <c r="F203" i="3"/>
  <c r="G203" i="3"/>
  <c r="H203" i="3"/>
  <c r="I203" i="3"/>
  <c r="J203" i="3"/>
  <c r="K203" i="3"/>
  <c r="B204" i="3"/>
  <c r="C204" i="3"/>
  <c r="D204" i="3"/>
  <c r="E204" i="3"/>
  <c r="F204" i="3"/>
  <c r="G204" i="3"/>
  <c r="H204" i="3"/>
  <c r="I204" i="3"/>
  <c r="J204" i="3"/>
  <c r="K204" i="3"/>
  <c r="B205" i="3"/>
  <c r="C205" i="3"/>
  <c r="D205" i="3"/>
  <c r="E205" i="3"/>
  <c r="F205" i="3"/>
  <c r="G205" i="3"/>
  <c r="H205" i="3"/>
  <c r="I205" i="3"/>
  <c r="J205" i="3"/>
  <c r="K205" i="3"/>
  <c r="B206" i="3"/>
  <c r="C206" i="3"/>
  <c r="D206" i="3"/>
  <c r="E206" i="3"/>
  <c r="F206" i="3"/>
  <c r="G206" i="3"/>
  <c r="H206" i="3"/>
  <c r="I206" i="3"/>
  <c r="J206" i="3"/>
  <c r="K206" i="3"/>
  <c r="B207" i="3"/>
  <c r="C207" i="3"/>
  <c r="D207" i="3"/>
  <c r="E207" i="3"/>
  <c r="F207" i="3"/>
  <c r="G207" i="3"/>
  <c r="H207" i="3"/>
  <c r="I207" i="3"/>
  <c r="J207" i="3"/>
  <c r="K207" i="3"/>
  <c r="B208" i="3"/>
  <c r="C208" i="3"/>
  <c r="D208" i="3"/>
  <c r="E208" i="3"/>
  <c r="F208" i="3"/>
  <c r="G208" i="3"/>
  <c r="H208" i="3"/>
  <c r="I208" i="3"/>
  <c r="J208" i="3"/>
  <c r="K208" i="3"/>
  <c r="B209" i="3"/>
  <c r="C209" i="3"/>
  <c r="D209" i="3"/>
  <c r="E209" i="3"/>
  <c r="F209" i="3"/>
  <c r="G209" i="3"/>
  <c r="H209" i="3"/>
  <c r="I209" i="3"/>
  <c r="J209" i="3"/>
  <c r="K209" i="3"/>
  <c r="B210" i="3"/>
  <c r="C210" i="3"/>
  <c r="D210" i="3"/>
  <c r="E210" i="3"/>
  <c r="F210" i="3"/>
  <c r="G210" i="3"/>
  <c r="H210" i="3"/>
  <c r="I210" i="3"/>
  <c r="J210" i="3"/>
  <c r="K210" i="3"/>
  <c r="B211" i="3"/>
  <c r="C211" i="3"/>
  <c r="D211" i="3"/>
  <c r="E211" i="3"/>
  <c r="F211" i="3"/>
  <c r="G211" i="3"/>
  <c r="H211" i="3"/>
  <c r="I211" i="3"/>
  <c r="J211" i="3"/>
  <c r="K211" i="3"/>
  <c r="B212" i="3"/>
  <c r="C212" i="3"/>
  <c r="D212" i="3"/>
  <c r="E212" i="3"/>
  <c r="F212" i="3"/>
  <c r="G212" i="3"/>
  <c r="H212" i="3"/>
  <c r="I212" i="3"/>
  <c r="J212" i="3"/>
  <c r="K212" i="3"/>
  <c r="B213" i="3"/>
  <c r="C213" i="3"/>
  <c r="D213" i="3"/>
  <c r="E213" i="3"/>
  <c r="F213" i="3"/>
  <c r="G213" i="3"/>
  <c r="H213" i="3"/>
  <c r="I213" i="3"/>
  <c r="J213" i="3"/>
  <c r="K213" i="3"/>
  <c r="B214" i="3"/>
  <c r="C214" i="3"/>
  <c r="D214" i="3"/>
  <c r="E214" i="3"/>
  <c r="F214" i="3"/>
  <c r="G214" i="3"/>
  <c r="H214" i="3"/>
  <c r="I214" i="3"/>
  <c r="J214" i="3"/>
  <c r="K214" i="3"/>
  <c r="B215" i="3"/>
  <c r="C215" i="3"/>
  <c r="D215" i="3"/>
  <c r="E215" i="3"/>
  <c r="F215" i="3"/>
  <c r="G215" i="3"/>
  <c r="H215" i="3"/>
  <c r="I215" i="3"/>
  <c r="J215" i="3"/>
  <c r="K215" i="3"/>
  <c r="B216" i="3"/>
  <c r="C216" i="3"/>
  <c r="D216" i="3"/>
  <c r="E216" i="3"/>
  <c r="F216" i="3"/>
  <c r="G216" i="3"/>
  <c r="H216" i="3"/>
  <c r="I216" i="3"/>
  <c r="J216" i="3"/>
  <c r="K216" i="3"/>
  <c r="B217" i="3"/>
  <c r="C217" i="3"/>
  <c r="D217" i="3"/>
  <c r="E217" i="3"/>
  <c r="F217" i="3"/>
  <c r="G217" i="3"/>
  <c r="H217" i="3"/>
  <c r="I217" i="3"/>
  <c r="J217" i="3"/>
  <c r="K217" i="3"/>
  <c r="B218" i="3"/>
  <c r="C218" i="3"/>
  <c r="D218" i="3"/>
  <c r="E218" i="3"/>
  <c r="F218" i="3"/>
  <c r="G218" i="3"/>
  <c r="H218" i="3"/>
  <c r="I218" i="3"/>
  <c r="J218" i="3"/>
  <c r="K218" i="3"/>
  <c r="B219" i="3"/>
  <c r="C219" i="3"/>
  <c r="D219" i="3"/>
  <c r="E219" i="3"/>
  <c r="F219" i="3"/>
  <c r="G219" i="3"/>
  <c r="H219" i="3"/>
  <c r="I219" i="3"/>
  <c r="J219" i="3"/>
  <c r="K219" i="3"/>
  <c r="B220" i="3"/>
  <c r="C220" i="3"/>
  <c r="D220" i="3"/>
  <c r="E220" i="3"/>
  <c r="F220" i="3"/>
  <c r="G220" i="3"/>
  <c r="H220" i="3"/>
  <c r="I220" i="3"/>
  <c r="J220" i="3"/>
  <c r="K220" i="3"/>
  <c r="B221" i="3"/>
  <c r="C221" i="3"/>
  <c r="D221" i="3"/>
  <c r="E221" i="3"/>
  <c r="F221" i="3"/>
  <c r="G221" i="3"/>
  <c r="H221" i="3"/>
  <c r="I221" i="3"/>
  <c r="J221" i="3"/>
  <c r="K221" i="3"/>
  <c r="B222" i="3"/>
  <c r="C222" i="3"/>
  <c r="D222" i="3"/>
  <c r="E222" i="3"/>
  <c r="F222" i="3"/>
  <c r="G222" i="3"/>
  <c r="H222" i="3"/>
  <c r="I222" i="3"/>
  <c r="J222" i="3"/>
  <c r="K222" i="3"/>
  <c r="B223" i="3"/>
  <c r="C223" i="3"/>
  <c r="D223" i="3"/>
  <c r="E223" i="3"/>
  <c r="F223" i="3"/>
  <c r="G223" i="3"/>
  <c r="H223" i="3"/>
  <c r="I223" i="3"/>
  <c r="J223" i="3"/>
  <c r="K223" i="3"/>
  <c r="B224" i="3"/>
  <c r="C224" i="3"/>
  <c r="D224" i="3"/>
  <c r="E224" i="3"/>
  <c r="F224" i="3"/>
  <c r="G224" i="3"/>
  <c r="H224" i="3"/>
  <c r="I224" i="3"/>
  <c r="J224" i="3"/>
  <c r="K224" i="3"/>
  <c r="B225" i="3"/>
  <c r="C225" i="3"/>
  <c r="D225" i="3"/>
  <c r="E225" i="3"/>
  <c r="F225" i="3"/>
  <c r="G225" i="3"/>
  <c r="H225" i="3"/>
  <c r="I225" i="3"/>
  <c r="J225" i="3"/>
  <c r="K225" i="3"/>
  <c r="B226" i="3"/>
  <c r="C226" i="3"/>
  <c r="D226" i="3"/>
  <c r="E226" i="3"/>
  <c r="F226" i="3"/>
  <c r="G226" i="3"/>
  <c r="H226" i="3"/>
  <c r="I226" i="3"/>
  <c r="J226" i="3"/>
  <c r="K226" i="3"/>
  <c r="B227" i="3"/>
  <c r="C227" i="3"/>
  <c r="D227" i="3"/>
  <c r="E227" i="3"/>
  <c r="F227" i="3"/>
  <c r="G227" i="3"/>
  <c r="H227" i="3"/>
  <c r="I227" i="3"/>
  <c r="J227" i="3"/>
  <c r="K227" i="3"/>
  <c r="B228" i="3"/>
  <c r="C228" i="3"/>
  <c r="D228" i="3"/>
  <c r="E228" i="3"/>
  <c r="F228" i="3"/>
  <c r="G228" i="3"/>
  <c r="H228" i="3"/>
  <c r="I228" i="3"/>
  <c r="J228" i="3"/>
  <c r="K228" i="3"/>
  <c r="B229" i="3"/>
  <c r="C229" i="3"/>
  <c r="D229" i="3"/>
  <c r="E229" i="3"/>
  <c r="F229" i="3"/>
  <c r="G229" i="3"/>
  <c r="H229" i="3"/>
  <c r="I229" i="3"/>
  <c r="J229" i="3"/>
  <c r="K229" i="3"/>
  <c r="B230" i="3"/>
  <c r="C230" i="3"/>
  <c r="D230" i="3"/>
  <c r="E230" i="3"/>
  <c r="F230" i="3"/>
  <c r="G230" i="3"/>
  <c r="H230" i="3"/>
  <c r="I230" i="3"/>
  <c r="J230" i="3"/>
  <c r="K230" i="3"/>
  <c r="B231" i="3"/>
  <c r="C231" i="3"/>
  <c r="D231" i="3"/>
  <c r="E231" i="3"/>
  <c r="F231" i="3"/>
  <c r="G231" i="3"/>
  <c r="H231" i="3"/>
  <c r="I231" i="3"/>
  <c r="J231" i="3"/>
  <c r="K231" i="3"/>
  <c r="B232" i="3"/>
  <c r="C232" i="3"/>
  <c r="D232" i="3"/>
  <c r="E232" i="3"/>
  <c r="F232" i="3"/>
  <c r="G232" i="3"/>
  <c r="H232" i="3"/>
  <c r="I232" i="3"/>
  <c r="J232" i="3"/>
  <c r="K232" i="3"/>
  <c r="B233" i="3"/>
  <c r="C233" i="3"/>
  <c r="D233" i="3"/>
  <c r="E233" i="3"/>
  <c r="F233" i="3"/>
  <c r="G233" i="3"/>
  <c r="H233" i="3"/>
  <c r="I233" i="3"/>
  <c r="J233" i="3"/>
  <c r="K233" i="3"/>
  <c r="B234" i="3"/>
  <c r="C234" i="3"/>
  <c r="D234" i="3"/>
  <c r="E234" i="3"/>
  <c r="F234" i="3"/>
  <c r="G234" i="3"/>
  <c r="H234" i="3"/>
  <c r="I234" i="3"/>
  <c r="J234" i="3"/>
  <c r="K234" i="3"/>
  <c r="B235" i="3"/>
  <c r="C235" i="3"/>
  <c r="D235" i="3"/>
  <c r="E235" i="3"/>
  <c r="F235" i="3"/>
  <c r="G235" i="3"/>
  <c r="H235" i="3"/>
  <c r="I235" i="3"/>
  <c r="J235" i="3"/>
  <c r="K235" i="3"/>
  <c r="B236" i="3"/>
  <c r="C236" i="3"/>
  <c r="D236" i="3"/>
  <c r="E236" i="3"/>
  <c r="F236" i="3"/>
  <c r="G236" i="3"/>
  <c r="H236" i="3"/>
  <c r="I236" i="3"/>
  <c r="J236" i="3"/>
  <c r="K236" i="3"/>
  <c r="B237" i="3"/>
  <c r="C237" i="3"/>
  <c r="D237" i="3"/>
  <c r="E237" i="3"/>
  <c r="F237" i="3"/>
  <c r="G237" i="3"/>
  <c r="H237" i="3"/>
  <c r="I237" i="3"/>
  <c r="J237" i="3"/>
  <c r="K237" i="3"/>
  <c r="B238" i="3"/>
  <c r="C238" i="3"/>
  <c r="D238" i="3"/>
  <c r="E238" i="3"/>
  <c r="F238" i="3"/>
  <c r="G238" i="3"/>
  <c r="H238" i="3"/>
  <c r="I238" i="3"/>
  <c r="J238" i="3"/>
  <c r="K238" i="3"/>
  <c r="B239" i="3"/>
  <c r="C239" i="3"/>
  <c r="D239" i="3"/>
  <c r="E239" i="3"/>
  <c r="F239" i="3"/>
  <c r="G239" i="3"/>
  <c r="H239" i="3"/>
  <c r="I239" i="3"/>
  <c r="J239" i="3"/>
  <c r="K239" i="3"/>
  <c r="B240" i="3"/>
  <c r="C240" i="3"/>
  <c r="D240" i="3"/>
  <c r="E240" i="3"/>
  <c r="F240" i="3"/>
  <c r="G240" i="3"/>
  <c r="H240" i="3"/>
  <c r="I240" i="3"/>
  <c r="J240" i="3"/>
  <c r="K240" i="3"/>
  <c r="B241" i="3"/>
  <c r="C241" i="3"/>
  <c r="D241" i="3"/>
  <c r="E241" i="3"/>
  <c r="F241" i="3"/>
  <c r="G241" i="3"/>
  <c r="H241" i="3"/>
  <c r="I241" i="3"/>
  <c r="J241" i="3"/>
  <c r="K241" i="3"/>
  <c r="B242" i="3"/>
  <c r="C242" i="3"/>
  <c r="D242" i="3"/>
  <c r="E242" i="3"/>
  <c r="F242" i="3"/>
  <c r="G242" i="3"/>
  <c r="H242" i="3"/>
  <c r="I242" i="3"/>
  <c r="J242" i="3"/>
  <c r="K242" i="3"/>
  <c r="B243" i="3"/>
  <c r="C243" i="3"/>
  <c r="D243" i="3"/>
  <c r="E243" i="3"/>
  <c r="F243" i="3"/>
  <c r="G243" i="3"/>
  <c r="H243" i="3"/>
  <c r="I243" i="3"/>
  <c r="J243" i="3"/>
  <c r="K243" i="3"/>
  <c r="B244" i="3"/>
  <c r="C244" i="3"/>
  <c r="D244" i="3"/>
  <c r="E244" i="3"/>
  <c r="F244" i="3"/>
  <c r="G244" i="3"/>
  <c r="H244" i="3"/>
  <c r="I244" i="3"/>
  <c r="J244" i="3"/>
  <c r="K244" i="3"/>
  <c r="B245" i="3"/>
  <c r="C245" i="3"/>
  <c r="D245" i="3"/>
  <c r="E245" i="3"/>
  <c r="F245" i="3"/>
  <c r="G245" i="3"/>
  <c r="H245" i="3"/>
  <c r="I245" i="3"/>
  <c r="J245" i="3"/>
  <c r="K245" i="3"/>
  <c r="B246" i="3"/>
  <c r="C246" i="3"/>
  <c r="D246" i="3"/>
  <c r="E246" i="3"/>
  <c r="F246" i="3"/>
  <c r="G246" i="3"/>
  <c r="H246" i="3"/>
  <c r="I246" i="3"/>
  <c r="J246" i="3"/>
  <c r="K246" i="3"/>
  <c r="B247" i="3"/>
  <c r="C247" i="3"/>
  <c r="D247" i="3"/>
  <c r="E247" i="3"/>
  <c r="F247" i="3"/>
  <c r="G247" i="3"/>
  <c r="H247" i="3"/>
  <c r="I247" i="3"/>
  <c r="J247" i="3"/>
  <c r="K247" i="3"/>
  <c r="B248" i="3"/>
  <c r="C248" i="3"/>
  <c r="D248" i="3"/>
  <c r="E248" i="3"/>
  <c r="F248" i="3"/>
  <c r="G248" i="3"/>
  <c r="H248" i="3"/>
  <c r="I248" i="3"/>
  <c r="J248" i="3"/>
  <c r="K248" i="3"/>
  <c r="B249" i="3"/>
  <c r="C249" i="3"/>
  <c r="D249" i="3"/>
  <c r="E249" i="3"/>
  <c r="F249" i="3"/>
  <c r="G249" i="3"/>
  <c r="H249" i="3"/>
  <c r="I249" i="3"/>
  <c r="J249" i="3"/>
  <c r="K249" i="3"/>
  <c r="B250" i="3"/>
  <c r="C250" i="3"/>
  <c r="D250" i="3"/>
  <c r="E250" i="3"/>
  <c r="F250" i="3"/>
  <c r="G250" i="3"/>
  <c r="H250" i="3"/>
  <c r="I250" i="3"/>
  <c r="J250" i="3"/>
  <c r="K250" i="3"/>
  <c r="B251" i="3"/>
  <c r="C251" i="3"/>
  <c r="D251" i="3"/>
  <c r="E251" i="3"/>
  <c r="F251" i="3"/>
  <c r="G251" i="3"/>
  <c r="H251" i="3"/>
  <c r="I251" i="3"/>
  <c r="J251" i="3"/>
  <c r="K251" i="3"/>
  <c r="B252" i="3"/>
  <c r="C252" i="3"/>
  <c r="D252" i="3"/>
  <c r="E252" i="3"/>
  <c r="F252" i="3"/>
  <c r="G252" i="3"/>
  <c r="H252" i="3"/>
  <c r="I252" i="3"/>
  <c r="J252" i="3"/>
  <c r="K252" i="3"/>
  <c r="B253" i="3"/>
  <c r="C253" i="3"/>
  <c r="D253" i="3"/>
  <c r="E253" i="3"/>
  <c r="F253" i="3"/>
  <c r="G253" i="3"/>
  <c r="H253" i="3"/>
  <c r="I253" i="3"/>
  <c r="J253" i="3"/>
  <c r="K253" i="3"/>
  <c r="B254" i="3"/>
  <c r="C254" i="3"/>
  <c r="D254" i="3"/>
  <c r="E254" i="3"/>
  <c r="F254" i="3"/>
  <c r="G254" i="3"/>
  <c r="H254" i="3"/>
  <c r="I254" i="3"/>
  <c r="J254" i="3"/>
  <c r="K254" i="3"/>
  <c r="B255" i="3"/>
  <c r="C255" i="3"/>
  <c r="D255" i="3"/>
  <c r="E255" i="3"/>
  <c r="F255" i="3"/>
  <c r="G255" i="3"/>
  <c r="H255" i="3"/>
  <c r="I255" i="3"/>
  <c r="J255" i="3"/>
  <c r="K255" i="3"/>
  <c r="B256" i="3"/>
  <c r="C256" i="3"/>
  <c r="D256" i="3"/>
  <c r="E256" i="3"/>
  <c r="F256" i="3"/>
  <c r="G256" i="3"/>
  <c r="H256" i="3"/>
  <c r="I256" i="3"/>
  <c r="J256" i="3"/>
  <c r="K256" i="3"/>
  <c r="B257" i="3"/>
  <c r="C257" i="3"/>
  <c r="D257" i="3"/>
  <c r="E257" i="3"/>
  <c r="F257" i="3"/>
  <c r="G257" i="3"/>
  <c r="H257" i="3"/>
  <c r="I257" i="3"/>
  <c r="J257" i="3"/>
  <c r="K257" i="3"/>
  <c r="B258" i="3"/>
  <c r="C258" i="3"/>
  <c r="D258" i="3"/>
  <c r="E258" i="3"/>
  <c r="F258" i="3"/>
  <c r="G258" i="3"/>
  <c r="H258" i="3"/>
  <c r="I258" i="3"/>
  <c r="J258" i="3"/>
  <c r="K258" i="3"/>
  <c r="B259" i="3"/>
  <c r="C259" i="3"/>
  <c r="D259" i="3"/>
  <c r="E259" i="3"/>
  <c r="F259" i="3"/>
  <c r="G259" i="3"/>
  <c r="H259" i="3"/>
  <c r="I259" i="3"/>
  <c r="J259" i="3"/>
  <c r="K259" i="3"/>
  <c r="B260" i="3"/>
  <c r="C260" i="3"/>
  <c r="D260" i="3"/>
  <c r="E260" i="3"/>
  <c r="F260" i="3"/>
  <c r="G260" i="3"/>
  <c r="H260" i="3"/>
  <c r="I260" i="3"/>
  <c r="J260" i="3"/>
  <c r="K260" i="3"/>
  <c r="B261" i="3"/>
  <c r="C261" i="3"/>
  <c r="D261" i="3"/>
  <c r="E261" i="3"/>
  <c r="F261" i="3"/>
  <c r="G261" i="3"/>
  <c r="H261" i="3"/>
  <c r="I261" i="3"/>
  <c r="J261" i="3"/>
  <c r="K261" i="3"/>
  <c r="B262" i="3"/>
  <c r="C262" i="3"/>
  <c r="D262" i="3"/>
  <c r="E262" i="3"/>
  <c r="F262" i="3"/>
  <c r="G262" i="3"/>
  <c r="H262" i="3"/>
  <c r="I262" i="3"/>
  <c r="J262" i="3"/>
  <c r="K262" i="3"/>
  <c r="B263" i="3"/>
  <c r="C263" i="3"/>
  <c r="D263" i="3"/>
  <c r="E263" i="3"/>
  <c r="F263" i="3"/>
  <c r="G263" i="3"/>
  <c r="H263" i="3"/>
  <c r="I263" i="3"/>
  <c r="J263" i="3"/>
  <c r="K263" i="3"/>
  <c r="B264" i="3"/>
  <c r="C264" i="3"/>
  <c r="D264" i="3"/>
  <c r="E264" i="3"/>
  <c r="F264" i="3"/>
  <c r="G264" i="3"/>
  <c r="H264" i="3"/>
  <c r="I264" i="3"/>
  <c r="J264" i="3"/>
  <c r="K264" i="3"/>
  <c r="B265" i="3"/>
  <c r="C265" i="3"/>
  <c r="D265" i="3"/>
  <c r="E265" i="3"/>
  <c r="F265" i="3"/>
  <c r="G265" i="3"/>
  <c r="H265" i="3"/>
  <c r="I265" i="3"/>
  <c r="J265" i="3"/>
  <c r="K265" i="3"/>
  <c r="B266" i="3"/>
  <c r="C266" i="3"/>
  <c r="D266" i="3"/>
  <c r="E266" i="3"/>
  <c r="F266" i="3"/>
  <c r="G266" i="3"/>
  <c r="H266" i="3"/>
  <c r="I266" i="3"/>
  <c r="J266" i="3"/>
  <c r="K266" i="3"/>
  <c r="B267" i="3"/>
  <c r="C267" i="3"/>
  <c r="D267" i="3"/>
  <c r="E267" i="3"/>
  <c r="F267" i="3"/>
  <c r="G267" i="3"/>
  <c r="H267" i="3"/>
  <c r="I267" i="3"/>
  <c r="J267" i="3"/>
  <c r="K267" i="3"/>
  <c r="B268" i="3"/>
  <c r="C268" i="3"/>
  <c r="D268" i="3"/>
  <c r="E268" i="3"/>
  <c r="F268" i="3"/>
  <c r="G268" i="3"/>
  <c r="H268" i="3"/>
  <c r="I268" i="3"/>
  <c r="J268" i="3"/>
  <c r="K268" i="3"/>
  <c r="B269" i="3"/>
  <c r="C269" i="3"/>
  <c r="D269" i="3"/>
  <c r="E269" i="3"/>
  <c r="F269" i="3"/>
  <c r="G269" i="3"/>
  <c r="H269" i="3"/>
  <c r="I269" i="3"/>
  <c r="J269" i="3"/>
  <c r="K269" i="3"/>
  <c r="B270" i="3"/>
  <c r="C270" i="3"/>
  <c r="D270" i="3"/>
  <c r="E270" i="3"/>
  <c r="F270" i="3"/>
  <c r="G270" i="3"/>
  <c r="H270" i="3"/>
  <c r="I270" i="3"/>
  <c r="J270" i="3"/>
  <c r="K270" i="3"/>
  <c r="B271" i="3"/>
  <c r="C271" i="3"/>
  <c r="D271" i="3"/>
  <c r="E271" i="3"/>
  <c r="F271" i="3"/>
  <c r="G271" i="3"/>
  <c r="H271" i="3"/>
  <c r="I271" i="3"/>
  <c r="J271" i="3"/>
  <c r="K271" i="3"/>
  <c r="B272" i="3"/>
  <c r="C272" i="3"/>
  <c r="D272" i="3"/>
  <c r="E272" i="3"/>
  <c r="F272" i="3"/>
  <c r="G272" i="3"/>
  <c r="H272" i="3"/>
  <c r="I272" i="3"/>
  <c r="J272" i="3"/>
  <c r="K272" i="3"/>
  <c r="B273" i="3"/>
  <c r="C273" i="3"/>
  <c r="D273" i="3"/>
  <c r="E273" i="3"/>
  <c r="F273" i="3"/>
  <c r="G273" i="3"/>
  <c r="H273" i="3"/>
  <c r="I273" i="3"/>
  <c r="J273" i="3"/>
  <c r="K273" i="3"/>
  <c r="B274" i="3"/>
  <c r="C274" i="3"/>
  <c r="D274" i="3"/>
  <c r="E274" i="3"/>
  <c r="F274" i="3"/>
  <c r="G274" i="3"/>
  <c r="H274" i="3"/>
  <c r="I274" i="3"/>
  <c r="J274" i="3"/>
  <c r="K274" i="3"/>
  <c r="B275" i="3"/>
  <c r="C275" i="3"/>
  <c r="D275" i="3"/>
  <c r="E275" i="3"/>
  <c r="F275" i="3"/>
  <c r="G275" i="3"/>
  <c r="H275" i="3"/>
  <c r="I275" i="3"/>
  <c r="J275" i="3"/>
  <c r="K275" i="3"/>
  <c r="B276" i="3"/>
  <c r="C276" i="3"/>
  <c r="D276" i="3"/>
  <c r="E276" i="3"/>
  <c r="F276" i="3"/>
  <c r="G276" i="3"/>
  <c r="H276" i="3"/>
  <c r="I276" i="3"/>
  <c r="J276" i="3"/>
  <c r="K276" i="3"/>
  <c r="B277" i="3"/>
  <c r="C277" i="3"/>
  <c r="D277" i="3"/>
  <c r="E277" i="3"/>
  <c r="F277" i="3"/>
  <c r="G277" i="3"/>
  <c r="H277" i="3"/>
  <c r="I277" i="3"/>
  <c r="J277" i="3"/>
  <c r="K277" i="3"/>
  <c r="B278" i="3"/>
  <c r="C278" i="3"/>
  <c r="D278" i="3"/>
  <c r="E278" i="3"/>
  <c r="F278" i="3"/>
  <c r="G278" i="3"/>
  <c r="H278" i="3"/>
  <c r="I278" i="3"/>
  <c r="J278" i="3"/>
  <c r="K278" i="3"/>
  <c r="B279" i="3"/>
  <c r="C279" i="3"/>
  <c r="D279" i="3"/>
  <c r="E279" i="3"/>
  <c r="F279" i="3"/>
  <c r="G279" i="3"/>
  <c r="H279" i="3"/>
  <c r="I279" i="3"/>
  <c r="J279" i="3"/>
  <c r="K279" i="3"/>
  <c r="B280" i="3"/>
  <c r="C280" i="3"/>
  <c r="D280" i="3"/>
  <c r="E280" i="3"/>
  <c r="F280" i="3"/>
  <c r="G280" i="3"/>
  <c r="H280" i="3"/>
  <c r="I280" i="3"/>
  <c r="J280" i="3"/>
  <c r="K280" i="3"/>
  <c r="B281" i="3"/>
  <c r="C281" i="3"/>
  <c r="D281" i="3"/>
  <c r="E281" i="3"/>
  <c r="F281" i="3"/>
  <c r="G281" i="3"/>
  <c r="H281" i="3"/>
  <c r="I281" i="3"/>
  <c r="J281" i="3"/>
  <c r="K281" i="3"/>
  <c r="B282" i="3"/>
  <c r="C282" i="3"/>
  <c r="D282" i="3"/>
  <c r="E282" i="3"/>
  <c r="F282" i="3"/>
  <c r="G282" i="3"/>
  <c r="H282" i="3"/>
  <c r="I282" i="3"/>
  <c r="J282" i="3"/>
  <c r="K282" i="3"/>
  <c r="B283" i="3"/>
  <c r="C283" i="3"/>
  <c r="D283" i="3"/>
  <c r="E283" i="3"/>
  <c r="F283" i="3"/>
  <c r="G283" i="3"/>
  <c r="H283" i="3"/>
  <c r="I283" i="3"/>
  <c r="J283" i="3"/>
  <c r="K283" i="3"/>
  <c r="B284" i="3"/>
  <c r="C284" i="3"/>
  <c r="D284" i="3"/>
  <c r="E284" i="3"/>
  <c r="F284" i="3"/>
  <c r="G284" i="3"/>
  <c r="H284" i="3"/>
  <c r="I284" i="3"/>
  <c r="J284" i="3"/>
  <c r="K284" i="3"/>
  <c r="B285" i="3"/>
  <c r="C285" i="3"/>
  <c r="D285" i="3"/>
  <c r="E285" i="3"/>
  <c r="F285" i="3"/>
  <c r="G285" i="3"/>
  <c r="H285" i="3"/>
  <c r="I285" i="3"/>
  <c r="J285" i="3"/>
  <c r="K285" i="3"/>
  <c r="B286" i="3"/>
  <c r="C286" i="3"/>
  <c r="D286" i="3"/>
  <c r="E286" i="3"/>
  <c r="F286" i="3"/>
  <c r="G286" i="3"/>
  <c r="H286" i="3"/>
  <c r="I286" i="3"/>
  <c r="J286" i="3"/>
  <c r="K286" i="3"/>
  <c r="B287" i="3"/>
  <c r="C287" i="3"/>
  <c r="D287" i="3"/>
  <c r="E287" i="3"/>
  <c r="F287" i="3"/>
  <c r="G287" i="3"/>
  <c r="H287" i="3"/>
  <c r="I287" i="3"/>
  <c r="J287" i="3"/>
  <c r="K287" i="3"/>
  <c r="B288" i="3"/>
  <c r="C288" i="3"/>
  <c r="D288" i="3"/>
  <c r="E288" i="3"/>
  <c r="F288" i="3"/>
  <c r="G288" i="3"/>
  <c r="H288" i="3"/>
  <c r="I288" i="3"/>
  <c r="J288" i="3"/>
  <c r="K288" i="3"/>
  <c r="B289" i="3"/>
  <c r="C289" i="3"/>
  <c r="D289" i="3"/>
  <c r="E289" i="3"/>
  <c r="F289" i="3"/>
  <c r="G289" i="3"/>
  <c r="H289" i="3"/>
  <c r="I289" i="3"/>
  <c r="J289" i="3"/>
  <c r="K289" i="3"/>
  <c r="B290" i="3"/>
  <c r="C290" i="3"/>
  <c r="D290" i="3"/>
  <c r="E290" i="3"/>
  <c r="F290" i="3"/>
  <c r="G290" i="3"/>
  <c r="H290" i="3"/>
  <c r="I290" i="3"/>
  <c r="J290" i="3"/>
  <c r="K290" i="3"/>
  <c r="B291" i="3"/>
  <c r="C291" i="3"/>
  <c r="D291" i="3"/>
  <c r="E291" i="3"/>
  <c r="F291" i="3"/>
  <c r="G291" i="3"/>
  <c r="H291" i="3"/>
  <c r="I291" i="3"/>
  <c r="J291" i="3"/>
  <c r="K291" i="3"/>
  <c r="B292" i="3"/>
  <c r="C292" i="3"/>
  <c r="D292" i="3"/>
  <c r="E292" i="3"/>
  <c r="F292" i="3"/>
  <c r="G292" i="3"/>
  <c r="H292" i="3"/>
  <c r="I292" i="3"/>
  <c r="J292" i="3"/>
  <c r="K292" i="3"/>
  <c r="B293" i="3"/>
  <c r="C293" i="3"/>
  <c r="D293" i="3"/>
  <c r="E293" i="3"/>
  <c r="F293" i="3"/>
  <c r="G293" i="3"/>
  <c r="H293" i="3"/>
  <c r="I293" i="3"/>
  <c r="J293" i="3"/>
  <c r="K293" i="3"/>
  <c r="B294" i="3"/>
  <c r="C294" i="3"/>
  <c r="D294" i="3"/>
  <c r="E294" i="3"/>
  <c r="F294" i="3"/>
  <c r="G294" i="3"/>
  <c r="H294" i="3"/>
  <c r="I294" i="3"/>
  <c r="J294" i="3"/>
  <c r="K294" i="3"/>
  <c r="B295" i="3"/>
  <c r="C295" i="3"/>
  <c r="D295" i="3"/>
  <c r="E295" i="3"/>
  <c r="F295" i="3"/>
  <c r="G295" i="3"/>
  <c r="H295" i="3"/>
  <c r="I295" i="3"/>
  <c r="J295" i="3"/>
  <c r="K295" i="3"/>
  <c r="B296" i="3"/>
  <c r="C296" i="3"/>
  <c r="D296" i="3"/>
  <c r="E296" i="3"/>
  <c r="F296" i="3"/>
  <c r="G296" i="3"/>
  <c r="H296" i="3"/>
  <c r="I296" i="3"/>
  <c r="J296" i="3"/>
  <c r="K296" i="3"/>
  <c r="B297" i="3"/>
  <c r="C297" i="3"/>
  <c r="D297" i="3"/>
  <c r="E297" i="3"/>
  <c r="F297" i="3"/>
  <c r="G297" i="3"/>
  <c r="H297" i="3"/>
  <c r="I297" i="3"/>
  <c r="J297" i="3"/>
  <c r="K297" i="3"/>
  <c r="B298" i="3"/>
  <c r="C298" i="3"/>
  <c r="D298" i="3"/>
  <c r="E298" i="3"/>
  <c r="F298" i="3"/>
  <c r="G298" i="3"/>
  <c r="H298" i="3"/>
  <c r="I298" i="3"/>
  <c r="J298" i="3"/>
  <c r="K298" i="3"/>
  <c r="B299" i="3"/>
  <c r="C299" i="3"/>
  <c r="D299" i="3"/>
  <c r="E299" i="3"/>
  <c r="F299" i="3"/>
  <c r="G299" i="3"/>
  <c r="H299" i="3"/>
  <c r="I299" i="3"/>
  <c r="J299" i="3"/>
  <c r="K299" i="3"/>
  <c r="B300" i="3"/>
  <c r="C300" i="3"/>
  <c r="D300" i="3"/>
  <c r="E300" i="3"/>
  <c r="F300" i="3"/>
  <c r="G300" i="3"/>
  <c r="H300" i="3"/>
  <c r="I300" i="3"/>
  <c r="J300" i="3"/>
  <c r="K300" i="3"/>
  <c r="B301" i="3"/>
  <c r="C301" i="3"/>
  <c r="D301" i="3"/>
  <c r="E301" i="3"/>
  <c r="F301" i="3"/>
  <c r="G301" i="3"/>
  <c r="H301" i="3"/>
  <c r="I301" i="3"/>
  <c r="J301" i="3"/>
  <c r="K301" i="3"/>
  <c r="B302" i="3"/>
  <c r="C302" i="3"/>
  <c r="D302" i="3"/>
  <c r="E302" i="3"/>
  <c r="F302" i="3"/>
  <c r="G302" i="3"/>
  <c r="H302" i="3"/>
  <c r="I302" i="3"/>
  <c r="J302" i="3"/>
  <c r="K302" i="3"/>
  <c r="B303" i="3"/>
  <c r="C303" i="3"/>
  <c r="D303" i="3"/>
  <c r="E303" i="3"/>
  <c r="F303" i="3"/>
  <c r="G303" i="3"/>
  <c r="H303" i="3"/>
  <c r="I303" i="3"/>
  <c r="J303" i="3"/>
  <c r="K303" i="3"/>
  <c r="B304" i="3"/>
  <c r="C304" i="3"/>
  <c r="D304" i="3"/>
  <c r="E304" i="3"/>
  <c r="F304" i="3"/>
  <c r="G304" i="3"/>
  <c r="H304" i="3"/>
  <c r="I304" i="3"/>
  <c r="J304" i="3"/>
  <c r="K304" i="3"/>
  <c r="B305" i="3"/>
  <c r="C305" i="3"/>
  <c r="D305" i="3"/>
  <c r="E305" i="3"/>
  <c r="F305" i="3"/>
  <c r="G305" i="3"/>
  <c r="H305" i="3"/>
  <c r="I305" i="3"/>
  <c r="J305" i="3"/>
  <c r="K305" i="3"/>
  <c r="B306" i="3"/>
  <c r="C306" i="3"/>
  <c r="D306" i="3"/>
  <c r="E306" i="3"/>
  <c r="F306" i="3"/>
  <c r="G306" i="3"/>
  <c r="H306" i="3"/>
  <c r="I306" i="3"/>
  <c r="J306" i="3"/>
  <c r="K306" i="3"/>
  <c r="B307" i="3"/>
  <c r="C307" i="3"/>
  <c r="D307" i="3"/>
  <c r="E307" i="3"/>
  <c r="F307" i="3"/>
  <c r="G307" i="3"/>
  <c r="H307" i="3"/>
  <c r="I307" i="3"/>
  <c r="J307" i="3"/>
  <c r="K307" i="3"/>
  <c r="B308" i="3"/>
  <c r="C308" i="3"/>
  <c r="D308" i="3"/>
  <c r="E308" i="3"/>
  <c r="F308" i="3"/>
  <c r="G308" i="3"/>
  <c r="H308" i="3"/>
  <c r="I308" i="3"/>
  <c r="J308" i="3"/>
  <c r="K308" i="3"/>
  <c r="B309" i="3"/>
  <c r="C309" i="3"/>
  <c r="D309" i="3"/>
  <c r="E309" i="3"/>
  <c r="F309" i="3"/>
  <c r="G309" i="3"/>
  <c r="H309" i="3"/>
  <c r="I309" i="3"/>
  <c r="J309" i="3"/>
  <c r="K309" i="3"/>
  <c r="B310" i="3"/>
  <c r="C310" i="3"/>
  <c r="D310" i="3"/>
  <c r="E310" i="3"/>
  <c r="F310" i="3"/>
  <c r="G310" i="3"/>
  <c r="H310" i="3"/>
  <c r="I310" i="3"/>
  <c r="J310" i="3"/>
  <c r="K310" i="3"/>
  <c r="B311" i="3"/>
  <c r="C311" i="3"/>
  <c r="D311" i="3"/>
  <c r="E311" i="3"/>
  <c r="F311" i="3"/>
  <c r="G311" i="3"/>
  <c r="H311" i="3"/>
  <c r="I311" i="3"/>
  <c r="J311" i="3"/>
  <c r="K311" i="3"/>
  <c r="B312" i="3"/>
  <c r="C312" i="3"/>
  <c r="D312" i="3"/>
  <c r="E312" i="3"/>
  <c r="F312" i="3"/>
  <c r="G312" i="3"/>
  <c r="H312" i="3"/>
  <c r="I312" i="3"/>
  <c r="J312" i="3"/>
  <c r="K312" i="3"/>
  <c r="B313" i="3"/>
  <c r="C313" i="3"/>
  <c r="D313" i="3"/>
  <c r="E313" i="3"/>
  <c r="F313" i="3"/>
  <c r="G313" i="3"/>
  <c r="H313" i="3"/>
  <c r="I313" i="3"/>
  <c r="J313" i="3"/>
  <c r="K313" i="3"/>
  <c r="B314" i="3"/>
  <c r="C314" i="3"/>
  <c r="D314" i="3"/>
  <c r="E314" i="3"/>
  <c r="F314" i="3"/>
  <c r="G314" i="3"/>
  <c r="H314" i="3"/>
  <c r="I314" i="3"/>
  <c r="J314" i="3"/>
  <c r="K314" i="3"/>
  <c r="B315" i="3"/>
  <c r="C315" i="3"/>
  <c r="D315" i="3"/>
  <c r="E315" i="3"/>
  <c r="F315" i="3"/>
  <c r="G315" i="3"/>
  <c r="H315" i="3"/>
  <c r="I315" i="3"/>
  <c r="J315" i="3"/>
  <c r="K315" i="3"/>
  <c r="B316" i="3"/>
  <c r="C316" i="3"/>
  <c r="D316" i="3"/>
  <c r="E316" i="3"/>
  <c r="F316" i="3"/>
  <c r="G316" i="3"/>
  <c r="H316" i="3"/>
  <c r="I316" i="3"/>
  <c r="J316" i="3"/>
  <c r="K316" i="3"/>
  <c r="B317" i="3"/>
  <c r="C317" i="3"/>
  <c r="D317" i="3"/>
  <c r="E317" i="3"/>
  <c r="F317" i="3"/>
  <c r="G317" i="3"/>
  <c r="H317" i="3"/>
  <c r="I317" i="3"/>
  <c r="J317" i="3"/>
  <c r="K317" i="3"/>
  <c r="B318" i="3"/>
  <c r="C318" i="3"/>
  <c r="D318" i="3"/>
  <c r="E318" i="3"/>
  <c r="F318" i="3"/>
  <c r="G318" i="3"/>
  <c r="H318" i="3"/>
  <c r="I318" i="3"/>
  <c r="J318" i="3"/>
  <c r="K318" i="3"/>
  <c r="B319" i="3"/>
  <c r="C319" i="3"/>
  <c r="D319" i="3"/>
  <c r="E319" i="3"/>
  <c r="F319" i="3"/>
  <c r="G319" i="3"/>
  <c r="H319" i="3"/>
  <c r="I319" i="3"/>
  <c r="J319" i="3"/>
  <c r="K319" i="3"/>
  <c r="B320" i="3"/>
  <c r="C320" i="3"/>
  <c r="D320" i="3"/>
  <c r="E320" i="3"/>
  <c r="F320" i="3"/>
  <c r="G320" i="3"/>
  <c r="H320" i="3"/>
  <c r="I320" i="3"/>
  <c r="J320" i="3"/>
  <c r="K320" i="3"/>
  <c r="B321" i="3"/>
  <c r="C321" i="3"/>
  <c r="D321" i="3"/>
  <c r="E321" i="3"/>
  <c r="F321" i="3"/>
  <c r="G321" i="3"/>
  <c r="H321" i="3"/>
  <c r="I321" i="3"/>
  <c r="J321" i="3"/>
  <c r="K321" i="3"/>
  <c r="B322" i="3"/>
  <c r="C322" i="3"/>
  <c r="D322" i="3"/>
  <c r="E322" i="3"/>
  <c r="F322" i="3"/>
  <c r="G322" i="3"/>
  <c r="H322" i="3"/>
  <c r="I322" i="3"/>
  <c r="J322" i="3"/>
  <c r="K322" i="3"/>
  <c r="B323" i="3"/>
  <c r="C323" i="3"/>
  <c r="D323" i="3"/>
  <c r="E323" i="3"/>
  <c r="F323" i="3"/>
  <c r="G323" i="3"/>
  <c r="H323" i="3"/>
  <c r="I323" i="3"/>
  <c r="J323" i="3"/>
  <c r="K323" i="3"/>
  <c r="B324" i="3"/>
  <c r="C324" i="3"/>
  <c r="D324" i="3"/>
  <c r="E324" i="3"/>
  <c r="F324" i="3"/>
  <c r="G324" i="3"/>
  <c r="H324" i="3"/>
  <c r="I324" i="3"/>
  <c r="J324" i="3"/>
  <c r="K324" i="3"/>
  <c r="B325" i="3"/>
  <c r="C325" i="3"/>
  <c r="D325" i="3"/>
  <c r="E325" i="3"/>
  <c r="F325" i="3"/>
  <c r="G325" i="3"/>
  <c r="H325" i="3"/>
  <c r="I325" i="3"/>
  <c r="J325" i="3"/>
  <c r="K325" i="3"/>
  <c r="B326" i="3"/>
  <c r="C326" i="3"/>
  <c r="D326" i="3"/>
  <c r="E326" i="3"/>
  <c r="F326" i="3"/>
  <c r="G326" i="3"/>
  <c r="H326" i="3"/>
  <c r="I326" i="3"/>
  <c r="J326" i="3"/>
  <c r="K326" i="3"/>
  <c r="B327" i="3"/>
  <c r="C327" i="3"/>
  <c r="D327" i="3"/>
  <c r="E327" i="3"/>
  <c r="F327" i="3"/>
  <c r="G327" i="3"/>
  <c r="H327" i="3"/>
  <c r="I327" i="3"/>
  <c r="J327" i="3"/>
  <c r="K327" i="3"/>
  <c r="B328" i="3"/>
  <c r="C328" i="3"/>
  <c r="D328" i="3"/>
  <c r="E328" i="3"/>
  <c r="F328" i="3"/>
  <c r="G328" i="3"/>
  <c r="H328" i="3"/>
  <c r="I328" i="3"/>
  <c r="J328" i="3"/>
  <c r="K328" i="3"/>
  <c r="B329" i="3"/>
  <c r="C329" i="3"/>
  <c r="D329" i="3"/>
  <c r="E329" i="3"/>
  <c r="F329" i="3"/>
  <c r="G329" i="3"/>
  <c r="H329" i="3"/>
  <c r="I329" i="3"/>
  <c r="J329" i="3"/>
  <c r="K329" i="3"/>
  <c r="B330" i="3"/>
  <c r="C330" i="3"/>
  <c r="D330" i="3"/>
  <c r="E330" i="3"/>
  <c r="F330" i="3"/>
  <c r="G330" i="3"/>
  <c r="H330" i="3"/>
  <c r="I330" i="3"/>
  <c r="J330" i="3"/>
  <c r="K330" i="3"/>
  <c r="B331" i="3"/>
  <c r="C331" i="3"/>
  <c r="D331" i="3"/>
  <c r="E331" i="3"/>
  <c r="F331" i="3"/>
  <c r="G331" i="3"/>
  <c r="H331" i="3"/>
  <c r="I331" i="3"/>
  <c r="J331" i="3"/>
  <c r="K331" i="3"/>
  <c r="B332" i="3"/>
  <c r="C332" i="3"/>
  <c r="D332" i="3"/>
  <c r="E332" i="3"/>
  <c r="F332" i="3"/>
  <c r="G332" i="3"/>
  <c r="H332" i="3"/>
  <c r="I332" i="3"/>
  <c r="J332" i="3"/>
  <c r="K332" i="3"/>
  <c r="B333" i="3"/>
  <c r="C333" i="3"/>
  <c r="D333" i="3"/>
  <c r="E333" i="3"/>
  <c r="F333" i="3"/>
  <c r="G333" i="3"/>
  <c r="H333" i="3"/>
  <c r="I333" i="3"/>
  <c r="J333" i="3"/>
  <c r="K333" i="3"/>
  <c r="B334" i="3"/>
  <c r="C334" i="3"/>
  <c r="D334" i="3"/>
  <c r="E334" i="3"/>
  <c r="F334" i="3"/>
  <c r="G334" i="3"/>
  <c r="H334" i="3"/>
  <c r="I334" i="3"/>
  <c r="J334" i="3"/>
  <c r="K334" i="3"/>
  <c r="B335" i="3"/>
  <c r="C335" i="3"/>
  <c r="D335" i="3"/>
  <c r="E335" i="3"/>
  <c r="F335" i="3"/>
  <c r="G335" i="3"/>
  <c r="H335" i="3"/>
  <c r="I335" i="3"/>
  <c r="J335" i="3"/>
  <c r="K335" i="3"/>
  <c r="B336" i="3"/>
  <c r="C336" i="3"/>
  <c r="D336" i="3"/>
  <c r="E336" i="3"/>
  <c r="F336" i="3"/>
  <c r="G336" i="3"/>
  <c r="H336" i="3"/>
  <c r="I336" i="3"/>
  <c r="J336" i="3"/>
  <c r="K336" i="3"/>
  <c r="B337" i="3"/>
  <c r="C337" i="3"/>
  <c r="D337" i="3"/>
  <c r="E337" i="3"/>
  <c r="F337" i="3"/>
  <c r="G337" i="3"/>
  <c r="H337" i="3"/>
  <c r="I337" i="3"/>
  <c r="J337" i="3"/>
  <c r="K337" i="3"/>
  <c r="B338" i="3"/>
  <c r="C338" i="3"/>
  <c r="D338" i="3"/>
  <c r="E338" i="3"/>
  <c r="F338" i="3"/>
  <c r="G338" i="3"/>
  <c r="H338" i="3"/>
  <c r="I338" i="3"/>
  <c r="J338" i="3"/>
  <c r="K338" i="3"/>
  <c r="B339" i="3"/>
  <c r="C339" i="3"/>
  <c r="D339" i="3"/>
  <c r="E339" i="3"/>
  <c r="F339" i="3"/>
  <c r="G339" i="3"/>
  <c r="H339" i="3"/>
  <c r="I339" i="3"/>
  <c r="J339" i="3"/>
  <c r="K339" i="3"/>
  <c r="B340" i="3"/>
  <c r="C340" i="3"/>
  <c r="D340" i="3"/>
  <c r="E340" i="3"/>
  <c r="F340" i="3"/>
  <c r="G340" i="3"/>
  <c r="H340" i="3"/>
  <c r="I340" i="3"/>
  <c r="J340" i="3"/>
  <c r="K340" i="3"/>
  <c r="B341" i="3"/>
  <c r="C341" i="3"/>
  <c r="D341" i="3"/>
  <c r="E341" i="3"/>
  <c r="F341" i="3"/>
  <c r="G341" i="3"/>
  <c r="H341" i="3"/>
  <c r="I341" i="3"/>
  <c r="J341" i="3"/>
  <c r="K341" i="3"/>
  <c r="B342" i="3"/>
  <c r="C342" i="3"/>
  <c r="D342" i="3"/>
  <c r="E342" i="3"/>
  <c r="F342" i="3"/>
  <c r="G342" i="3"/>
  <c r="H342" i="3"/>
  <c r="I342" i="3"/>
  <c r="J342" i="3"/>
  <c r="K342" i="3"/>
  <c r="B343" i="3"/>
  <c r="C343" i="3"/>
  <c r="D343" i="3"/>
  <c r="E343" i="3"/>
  <c r="F343" i="3"/>
  <c r="G343" i="3"/>
  <c r="H343" i="3"/>
  <c r="I343" i="3"/>
  <c r="J343" i="3"/>
  <c r="K343" i="3"/>
  <c r="B344" i="3"/>
  <c r="C344" i="3"/>
  <c r="D344" i="3"/>
  <c r="E344" i="3"/>
  <c r="F344" i="3"/>
  <c r="G344" i="3"/>
  <c r="H344" i="3"/>
  <c r="I344" i="3"/>
  <c r="J344" i="3"/>
  <c r="K344" i="3"/>
  <c r="B345" i="3"/>
  <c r="C345" i="3"/>
  <c r="D345" i="3"/>
  <c r="E345" i="3"/>
  <c r="F345" i="3"/>
  <c r="G345" i="3"/>
  <c r="H345" i="3"/>
  <c r="I345" i="3"/>
  <c r="J345" i="3"/>
  <c r="K345" i="3"/>
  <c r="B346" i="3"/>
  <c r="C346" i="3"/>
  <c r="D346" i="3"/>
  <c r="E346" i="3"/>
  <c r="F346" i="3"/>
  <c r="G346" i="3"/>
  <c r="H346" i="3"/>
  <c r="I346" i="3"/>
  <c r="J346" i="3"/>
  <c r="K346" i="3"/>
  <c r="B347" i="3"/>
  <c r="C347" i="3"/>
  <c r="D347" i="3"/>
  <c r="E347" i="3"/>
  <c r="F347" i="3"/>
  <c r="G347" i="3"/>
  <c r="H347" i="3"/>
  <c r="I347" i="3"/>
  <c r="J347" i="3"/>
  <c r="K347" i="3"/>
  <c r="B348" i="3"/>
  <c r="C348" i="3"/>
  <c r="D348" i="3"/>
  <c r="E348" i="3"/>
  <c r="F348" i="3"/>
  <c r="G348" i="3"/>
  <c r="H348" i="3"/>
  <c r="I348" i="3"/>
  <c r="J348" i="3"/>
  <c r="K348" i="3"/>
  <c r="B349" i="3"/>
  <c r="C349" i="3"/>
  <c r="D349" i="3"/>
  <c r="E349" i="3"/>
  <c r="F349" i="3"/>
  <c r="G349" i="3"/>
  <c r="H349" i="3"/>
  <c r="I349" i="3"/>
  <c r="J349" i="3"/>
  <c r="K349" i="3"/>
  <c r="B350" i="3"/>
  <c r="C350" i="3"/>
  <c r="D350" i="3"/>
  <c r="E350" i="3"/>
  <c r="F350" i="3"/>
  <c r="G350" i="3"/>
  <c r="H350" i="3"/>
  <c r="I350" i="3"/>
  <c r="J350" i="3"/>
  <c r="K350" i="3"/>
  <c r="B351" i="3"/>
  <c r="C351" i="3"/>
  <c r="D351" i="3"/>
  <c r="E351" i="3"/>
  <c r="F351" i="3"/>
  <c r="G351" i="3"/>
  <c r="H351" i="3"/>
  <c r="I351" i="3"/>
  <c r="J351" i="3"/>
  <c r="K351" i="3"/>
  <c r="B352" i="3"/>
  <c r="C352" i="3"/>
  <c r="D352" i="3"/>
  <c r="E352" i="3"/>
  <c r="F352" i="3"/>
  <c r="G352" i="3"/>
  <c r="H352" i="3"/>
  <c r="I352" i="3"/>
  <c r="J352" i="3"/>
  <c r="K352" i="3"/>
  <c r="B353" i="3"/>
  <c r="C353" i="3"/>
  <c r="D353" i="3"/>
  <c r="E353" i="3"/>
  <c r="F353" i="3"/>
  <c r="G353" i="3"/>
  <c r="H353" i="3"/>
  <c r="I353" i="3"/>
  <c r="J353" i="3"/>
  <c r="K353" i="3"/>
  <c r="B354" i="3"/>
  <c r="C354" i="3"/>
  <c r="D354" i="3"/>
  <c r="E354" i="3"/>
  <c r="F354" i="3"/>
  <c r="G354" i="3"/>
  <c r="H354" i="3"/>
  <c r="I354" i="3"/>
  <c r="J354" i="3"/>
  <c r="K354" i="3"/>
  <c r="B355" i="3"/>
  <c r="C355" i="3"/>
  <c r="D355" i="3"/>
  <c r="E355" i="3"/>
  <c r="F355" i="3"/>
  <c r="G355" i="3"/>
  <c r="H355" i="3"/>
  <c r="I355" i="3"/>
  <c r="J355" i="3"/>
  <c r="K355" i="3"/>
  <c r="B356" i="3"/>
  <c r="C356" i="3"/>
  <c r="D356" i="3"/>
  <c r="E356" i="3"/>
  <c r="F356" i="3"/>
  <c r="G356" i="3"/>
  <c r="H356" i="3"/>
  <c r="I356" i="3"/>
  <c r="J356" i="3"/>
  <c r="K356" i="3"/>
  <c r="B357" i="3"/>
  <c r="C357" i="3"/>
  <c r="D357" i="3"/>
  <c r="E357" i="3"/>
  <c r="F357" i="3"/>
  <c r="G357" i="3"/>
  <c r="H357" i="3"/>
  <c r="I357" i="3"/>
  <c r="J357" i="3"/>
  <c r="K357" i="3"/>
  <c r="B358" i="3"/>
  <c r="C358" i="3"/>
  <c r="D358" i="3"/>
  <c r="E358" i="3"/>
  <c r="F358" i="3"/>
  <c r="G358" i="3"/>
  <c r="H358" i="3"/>
  <c r="I358" i="3"/>
  <c r="J358" i="3"/>
  <c r="K358" i="3"/>
  <c r="B359" i="3"/>
  <c r="C359" i="3"/>
  <c r="D359" i="3"/>
  <c r="E359" i="3"/>
  <c r="F359" i="3"/>
  <c r="G359" i="3"/>
  <c r="H359" i="3"/>
  <c r="I359" i="3"/>
  <c r="J359" i="3"/>
  <c r="K359" i="3"/>
  <c r="B360" i="3"/>
  <c r="C360" i="3"/>
  <c r="D360" i="3"/>
  <c r="E360" i="3"/>
  <c r="F360" i="3"/>
  <c r="G360" i="3"/>
  <c r="H360" i="3"/>
  <c r="I360" i="3"/>
  <c r="J360" i="3"/>
  <c r="K360" i="3"/>
  <c r="B361" i="3"/>
  <c r="C361" i="3"/>
  <c r="D361" i="3"/>
  <c r="E361" i="3"/>
  <c r="F361" i="3"/>
  <c r="G361" i="3"/>
  <c r="H361" i="3"/>
  <c r="I361" i="3"/>
  <c r="J361" i="3"/>
  <c r="K361" i="3"/>
  <c r="B362" i="3"/>
  <c r="C362" i="3"/>
  <c r="D362" i="3"/>
  <c r="E362" i="3"/>
  <c r="F362" i="3"/>
  <c r="G362" i="3"/>
  <c r="H362" i="3"/>
  <c r="I362" i="3"/>
  <c r="J362" i="3"/>
  <c r="K362" i="3"/>
  <c r="B363" i="3"/>
  <c r="C363" i="3"/>
  <c r="D363" i="3"/>
  <c r="E363" i="3"/>
  <c r="F363" i="3"/>
  <c r="G363" i="3"/>
  <c r="H363" i="3"/>
  <c r="I363" i="3"/>
  <c r="J363" i="3"/>
  <c r="K363" i="3"/>
  <c r="B364" i="3"/>
  <c r="C364" i="3"/>
  <c r="D364" i="3"/>
  <c r="E364" i="3"/>
  <c r="F364" i="3"/>
  <c r="G364" i="3"/>
  <c r="H364" i="3"/>
  <c r="I364" i="3"/>
  <c r="J364" i="3"/>
  <c r="K364" i="3"/>
  <c r="B365" i="3"/>
  <c r="C365" i="3"/>
  <c r="D365" i="3"/>
  <c r="E365" i="3"/>
  <c r="F365" i="3"/>
  <c r="G365" i="3"/>
  <c r="H365" i="3"/>
  <c r="I365" i="3"/>
  <c r="J365" i="3"/>
  <c r="K365" i="3"/>
  <c r="B366" i="3"/>
  <c r="C366" i="3"/>
  <c r="D366" i="3"/>
  <c r="E366" i="3"/>
  <c r="F366" i="3"/>
  <c r="G366" i="3"/>
  <c r="H366" i="3"/>
  <c r="I366" i="3"/>
  <c r="J366" i="3"/>
  <c r="K366" i="3"/>
  <c r="B367" i="3"/>
  <c r="C367" i="3"/>
  <c r="D367" i="3"/>
  <c r="E367" i="3"/>
  <c r="F367" i="3"/>
  <c r="G367" i="3"/>
  <c r="H367" i="3"/>
  <c r="I367" i="3"/>
  <c r="J367" i="3"/>
  <c r="K367" i="3"/>
  <c r="B368" i="3"/>
  <c r="C368" i="3"/>
  <c r="D368" i="3"/>
  <c r="E368" i="3"/>
  <c r="F368" i="3"/>
  <c r="G368" i="3"/>
  <c r="H368" i="3"/>
  <c r="I368" i="3"/>
  <c r="J368" i="3"/>
  <c r="K368" i="3"/>
  <c r="B369" i="3"/>
  <c r="C369" i="3"/>
  <c r="D369" i="3"/>
  <c r="E369" i="3"/>
  <c r="F369" i="3"/>
  <c r="G369" i="3"/>
  <c r="H369" i="3"/>
  <c r="I369" i="3"/>
  <c r="J369" i="3"/>
  <c r="K369" i="3"/>
  <c r="B370" i="3"/>
  <c r="C370" i="3"/>
  <c r="D370" i="3"/>
  <c r="E370" i="3"/>
  <c r="F370" i="3"/>
  <c r="G370" i="3"/>
  <c r="H370" i="3"/>
  <c r="I370" i="3"/>
  <c r="J370" i="3"/>
  <c r="K370" i="3"/>
  <c r="B371" i="3"/>
  <c r="C371" i="3"/>
  <c r="D371" i="3"/>
  <c r="E371" i="3"/>
  <c r="F371" i="3"/>
  <c r="G371" i="3"/>
  <c r="H371" i="3"/>
  <c r="I371" i="3"/>
  <c r="J371" i="3"/>
  <c r="K371" i="3"/>
  <c r="B372" i="3"/>
  <c r="C372" i="3"/>
  <c r="D372" i="3"/>
  <c r="E372" i="3"/>
  <c r="F372" i="3"/>
  <c r="G372" i="3"/>
  <c r="H372" i="3"/>
  <c r="I372" i="3"/>
  <c r="J372" i="3"/>
  <c r="K372" i="3"/>
  <c r="B373" i="3"/>
  <c r="C373" i="3"/>
  <c r="D373" i="3"/>
  <c r="E373" i="3"/>
  <c r="F373" i="3"/>
  <c r="G373" i="3"/>
  <c r="H373" i="3"/>
  <c r="I373" i="3"/>
  <c r="J373" i="3"/>
  <c r="K373" i="3"/>
  <c r="B374" i="3"/>
  <c r="C374" i="3"/>
  <c r="D374" i="3"/>
  <c r="E374" i="3"/>
  <c r="F374" i="3"/>
  <c r="G374" i="3"/>
  <c r="H374" i="3"/>
  <c r="I374" i="3"/>
  <c r="J374" i="3"/>
  <c r="K374" i="3"/>
  <c r="B375" i="3"/>
  <c r="C375" i="3"/>
  <c r="D375" i="3"/>
  <c r="E375" i="3"/>
  <c r="F375" i="3"/>
  <c r="G375" i="3"/>
  <c r="H375" i="3"/>
  <c r="I375" i="3"/>
  <c r="J375" i="3"/>
  <c r="K375" i="3"/>
  <c r="B376" i="3"/>
  <c r="C376" i="3"/>
  <c r="D376" i="3"/>
  <c r="E376" i="3"/>
  <c r="F376" i="3"/>
  <c r="G376" i="3"/>
  <c r="H376" i="3"/>
  <c r="I376" i="3"/>
  <c r="J376" i="3"/>
  <c r="K376" i="3"/>
  <c r="B377" i="3"/>
  <c r="C377" i="3"/>
  <c r="D377" i="3"/>
  <c r="E377" i="3"/>
  <c r="F377" i="3"/>
  <c r="G377" i="3"/>
  <c r="H377" i="3"/>
  <c r="I377" i="3"/>
  <c r="J377" i="3"/>
  <c r="K377" i="3"/>
  <c r="B378" i="3"/>
  <c r="C378" i="3"/>
  <c r="D378" i="3"/>
  <c r="E378" i="3"/>
  <c r="F378" i="3"/>
  <c r="G378" i="3"/>
  <c r="H378" i="3"/>
  <c r="I378" i="3"/>
  <c r="J378" i="3"/>
  <c r="K378" i="3"/>
  <c r="B379" i="3"/>
  <c r="C379" i="3"/>
  <c r="D379" i="3"/>
  <c r="E379" i="3"/>
  <c r="F379" i="3"/>
  <c r="G379" i="3"/>
  <c r="H379" i="3"/>
  <c r="I379" i="3"/>
  <c r="J379" i="3"/>
  <c r="K379" i="3"/>
  <c r="B380" i="3"/>
  <c r="C380" i="3"/>
  <c r="D380" i="3"/>
  <c r="E380" i="3"/>
  <c r="F380" i="3"/>
  <c r="G380" i="3"/>
  <c r="H380" i="3"/>
  <c r="I380" i="3"/>
  <c r="J380" i="3"/>
  <c r="K380" i="3"/>
  <c r="B381" i="3"/>
  <c r="C381" i="3"/>
  <c r="D381" i="3"/>
  <c r="E381" i="3"/>
  <c r="F381" i="3"/>
  <c r="G381" i="3"/>
  <c r="H381" i="3"/>
  <c r="I381" i="3"/>
  <c r="J381" i="3"/>
  <c r="K381" i="3"/>
  <c r="B382" i="3"/>
  <c r="C382" i="3"/>
  <c r="D382" i="3"/>
  <c r="E382" i="3"/>
  <c r="F382" i="3"/>
  <c r="G382" i="3"/>
  <c r="H382" i="3"/>
  <c r="I382" i="3"/>
  <c r="J382" i="3"/>
  <c r="K382" i="3"/>
  <c r="B383" i="3"/>
  <c r="C383" i="3"/>
  <c r="D383" i="3"/>
  <c r="E383" i="3"/>
  <c r="F383" i="3"/>
  <c r="G383" i="3"/>
  <c r="H383" i="3"/>
  <c r="I383" i="3"/>
  <c r="J383" i="3"/>
  <c r="K383" i="3"/>
  <c r="B384" i="3"/>
  <c r="C384" i="3"/>
  <c r="D384" i="3"/>
  <c r="E384" i="3"/>
  <c r="F384" i="3"/>
  <c r="G384" i="3"/>
  <c r="H384" i="3"/>
  <c r="I384" i="3"/>
  <c r="J384" i="3"/>
  <c r="K384" i="3"/>
  <c r="B385" i="3"/>
  <c r="C385" i="3"/>
  <c r="D385" i="3"/>
  <c r="E385" i="3"/>
  <c r="F385" i="3"/>
  <c r="G385" i="3"/>
  <c r="H385" i="3"/>
  <c r="I385" i="3"/>
  <c r="J385" i="3"/>
  <c r="K385" i="3"/>
  <c r="B386" i="3"/>
  <c r="C386" i="3"/>
  <c r="D386" i="3"/>
  <c r="E386" i="3"/>
  <c r="F386" i="3"/>
  <c r="G386" i="3"/>
  <c r="H386" i="3"/>
  <c r="I386" i="3"/>
  <c r="J386" i="3"/>
  <c r="K386" i="3"/>
  <c r="B387" i="3"/>
  <c r="C387" i="3"/>
  <c r="D387" i="3"/>
  <c r="E387" i="3"/>
  <c r="F387" i="3"/>
  <c r="G387" i="3"/>
  <c r="H387" i="3"/>
  <c r="I387" i="3"/>
  <c r="J387" i="3"/>
  <c r="K387" i="3"/>
  <c r="B388" i="3"/>
  <c r="C388" i="3"/>
  <c r="D388" i="3"/>
  <c r="E388" i="3"/>
  <c r="F388" i="3"/>
  <c r="G388" i="3"/>
  <c r="H388" i="3"/>
  <c r="I388" i="3"/>
  <c r="J388" i="3"/>
  <c r="K388" i="3"/>
  <c r="B389" i="3"/>
  <c r="C389" i="3"/>
  <c r="D389" i="3"/>
  <c r="E389" i="3"/>
  <c r="F389" i="3"/>
  <c r="G389" i="3"/>
  <c r="H389" i="3"/>
  <c r="I389" i="3"/>
  <c r="J389" i="3"/>
  <c r="K389" i="3"/>
  <c r="B390" i="3"/>
  <c r="C390" i="3"/>
  <c r="D390" i="3"/>
  <c r="E390" i="3"/>
  <c r="F390" i="3"/>
  <c r="G390" i="3"/>
  <c r="H390" i="3"/>
  <c r="I390" i="3"/>
  <c r="J390" i="3"/>
  <c r="K390" i="3"/>
  <c r="B391" i="3"/>
  <c r="C391" i="3"/>
  <c r="D391" i="3"/>
  <c r="E391" i="3"/>
  <c r="F391" i="3"/>
  <c r="G391" i="3"/>
  <c r="H391" i="3"/>
  <c r="I391" i="3"/>
  <c r="J391" i="3"/>
  <c r="K391" i="3"/>
  <c r="B392" i="3"/>
  <c r="C392" i="3"/>
  <c r="D392" i="3"/>
  <c r="E392" i="3"/>
  <c r="F392" i="3"/>
  <c r="G392" i="3"/>
  <c r="H392" i="3"/>
  <c r="I392" i="3"/>
  <c r="J392" i="3"/>
  <c r="K392" i="3"/>
  <c r="B393" i="3"/>
  <c r="C393" i="3"/>
  <c r="D393" i="3"/>
  <c r="E393" i="3"/>
  <c r="F393" i="3"/>
  <c r="G393" i="3"/>
  <c r="H393" i="3"/>
  <c r="I393" i="3"/>
  <c r="J393" i="3"/>
  <c r="K393" i="3"/>
  <c r="B394" i="3"/>
  <c r="C394" i="3"/>
  <c r="D394" i="3"/>
  <c r="E394" i="3"/>
  <c r="F394" i="3"/>
  <c r="G394" i="3"/>
  <c r="H394" i="3"/>
  <c r="I394" i="3"/>
  <c r="J394" i="3"/>
  <c r="K394" i="3"/>
  <c r="B395" i="3"/>
  <c r="C395" i="3"/>
  <c r="D395" i="3"/>
  <c r="E395" i="3"/>
  <c r="F395" i="3"/>
  <c r="G395" i="3"/>
  <c r="H395" i="3"/>
  <c r="I395" i="3"/>
  <c r="J395" i="3"/>
  <c r="K395" i="3"/>
  <c r="B396" i="3"/>
  <c r="C396" i="3"/>
  <c r="D396" i="3"/>
  <c r="E396" i="3"/>
  <c r="F396" i="3"/>
  <c r="G396" i="3"/>
  <c r="H396" i="3"/>
  <c r="I396" i="3"/>
  <c r="J396" i="3"/>
  <c r="K396" i="3"/>
  <c r="B397" i="3"/>
  <c r="C397" i="3"/>
  <c r="D397" i="3"/>
  <c r="E397" i="3"/>
  <c r="F397" i="3"/>
  <c r="G397" i="3"/>
  <c r="H397" i="3"/>
  <c r="I397" i="3"/>
  <c r="J397" i="3"/>
  <c r="K397" i="3"/>
  <c r="B398" i="3"/>
  <c r="C398" i="3"/>
  <c r="D398" i="3"/>
  <c r="E398" i="3"/>
  <c r="F398" i="3"/>
  <c r="G398" i="3"/>
  <c r="H398" i="3"/>
  <c r="I398" i="3"/>
  <c r="J398" i="3"/>
  <c r="K398" i="3"/>
  <c r="B399" i="3"/>
  <c r="C399" i="3"/>
  <c r="D399" i="3"/>
  <c r="E399" i="3"/>
  <c r="F399" i="3"/>
  <c r="G399" i="3"/>
  <c r="H399" i="3"/>
  <c r="I399" i="3"/>
  <c r="J399" i="3"/>
  <c r="K399" i="3"/>
  <c r="B400" i="3"/>
  <c r="C400" i="3"/>
  <c r="D400" i="3"/>
  <c r="E400" i="3"/>
  <c r="F400" i="3"/>
  <c r="G400" i="3"/>
  <c r="H400" i="3"/>
  <c r="I400" i="3"/>
  <c r="J400" i="3"/>
  <c r="K400" i="3"/>
  <c r="B401" i="3"/>
  <c r="C401" i="3"/>
  <c r="D401" i="3"/>
  <c r="E401" i="3"/>
  <c r="F401" i="3"/>
  <c r="G401" i="3"/>
  <c r="H401" i="3"/>
  <c r="I401" i="3"/>
  <c r="J401" i="3"/>
  <c r="K401" i="3"/>
  <c r="B402" i="3"/>
  <c r="C402" i="3"/>
  <c r="D402" i="3"/>
  <c r="E402" i="3"/>
  <c r="F402" i="3"/>
  <c r="G402" i="3"/>
  <c r="H402" i="3"/>
  <c r="I402" i="3"/>
  <c r="J402" i="3"/>
  <c r="K402" i="3"/>
  <c r="B403" i="3"/>
  <c r="C403" i="3"/>
  <c r="D403" i="3"/>
  <c r="E403" i="3"/>
  <c r="F403" i="3"/>
  <c r="G403" i="3"/>
  <c r="H403" i="3"/>
  <c r="I403" i="3"/>
  <c r="J403" i="3"/>
  <c r="K403" i="3"/>
  <c r="B404" i="3"/>
  <c r="C404" i="3"/>
  <c r="D404" i="3"/>
  <c r="E404" i="3"/>
  <c r="F404" i="3"/>
  <c r="G404" i="3"/>
  <c r="H404" i="3"/>
  <c r="I404" i="3"/>
  <c r="J404" i="3"/>
  <c r="K404" i="3"/>
  <c r="B405" i="3"/>
  <c r="C405" i="3"/>
  <c r="D405" i="3"/>
  <c r="E405" i="3"/>
  <c r="F405" i="3"/>
  <c r="G405" i="3"/>
  <c r="H405" i="3"/>
  <c r="I405" i="3"/>
  <c r="J405" i="3"/>
  <c r="K405" i="3"/>
  <c r="B406" i="3"/>
  <c r="C406" i="3"/>
  <c r="D406" i="3"/>
  <c r="E406" i="3"/>
  <c r="F406" i="3"/>
  <c r="G406" i="3"/>
  <c r="H406" i="3"/>
  <c r="I406" i="3"/>
  <c r="J406" i="3"/>
  <c r="K406" i="3"/>
  <c r="B407" i="3"/>
  <c r="C407" i="3"/>
  <c r="D407" i="3"/>
  <c r="E407" i="3"/>
  <c r="F407" i="3"/>
  <c r="G407" i="3"/>
  <c r="H407" i="3"/>
  <c r="I407" i="3"/>
  <c r="J407" i="3"/>
  <c r="K407" i="3"/>
  <c r="B408" i="3"/>
  <c r="C408" i="3"/>
  <c r="D408" i="3"/>
  <c r="E408" i="3"/>
  <c r="F408" i="3"/>
  <c r="G408" i="3"/>
  <c r="H408" i="3"/>
  <c r="I408" i="3"/>
  <c r="J408" i="3"/>
  <c r="K408" i="3"/>
  <c r="B409" i="3"/>
  <c r="C409" i="3"/>
  <c r="D409" i="3"/>
  <c r="E409" i="3"/>
  <c r="F409" i="3"/>
  <c r="G409" i="3"/>
  <c r="H409" i="3"/>
  <c r="I409" i="3"/>
  <c r="J409" i="3"/>
  <c r="K409" i="3"/>
  <c r="B410" i="3"/>
  <c r="C410" i="3"/>
  <c r="D410" i="3"/>
  <c r="E410" i="3"/>
  <c r="F410" i="3"/>
  <c r="G410" i="3"/>
  <c r="H410" i="3"/>
  <c r="I410" i="3"/>
  <c r="J410" i="3"/>
  <c r="K410" i="3"/>
  <c r="B411" i="3"/>
  <c r="C411" i="3"/>
  <c r="D411" i="3"/>
  <c r="E411" i="3"/>
  <c r="F411" i="3"/>
  <c r="G411" i="3"/>
  <c r="H411" i="3"/>
  <c r="I411" i="3"/>
  <c r="J411" i="3"/>
  <c r="K411" i="3"/>
  <c r="B412" i="3"/>
  <c r="C412" i="3"/>
  <c r="D412" i="3"/>
  <c r="E412" i="3"/>
  <c r="F412" i="3"/>
  <c r="G412" i="3"/>
  <c r="H412" i="3"/>
  <c r="I412" i="3"/>
  <c r="J412" i="3"/>
  <c r="K412" i="3"/>
  <c r="B413" i="3"/>
  <c r="C413" i="3"/>
  <c r="D413" i="3"/>
  <c r="E413" i="3"/>
  <c r="F413" i="3"/>
  <c r="G413" i="3"/>
  <c r="H413" i="3"/>
  <c r="I413" i="3"/>
  <c r="J413" i="3"/>
  <c r="K413" i="3"/>
  <c r="B414" i="3"/>
  <c r="C414" i="3"/>
  <c r="D414" i="3"/>
  <c r="E414" i="3"/>
  <c r="F414" i="3"/>
  <c r="G414" i="3"/>
  <c r="H414" i="3"/>
  <c r="I414" i="3"/>
  <c r="J414" i="3"/>
  <c r="K414" i="3"/>
  <c r="B415" i="3"/>
  <c r="C415" i="3"/>
  <c r="D415" i="3"/>
  <c r="E415" i="3"/>
  <c r="F415" i="3"/>
  <c r="G415" i="3"/>
  <c r="H415" i="3"/>
  <c r="I415" i="3"/>
  <c r="J415" i="3"/>
  <c r="K415" i="3"/>
  <c r="B416" i="3"/>
  <c r="C416" i="3"/>
  <c r="D416" i="3"/>
  <c r="E416" i="3"/>
  <c r="F416" i="3"/>
  <c r="G416" i="3"/>
  <c r="H416" i="3"/>
  <c r="I416" i="3"/>
  <c r="J416" i="3"/>
  <c r="K416" i="3"/>
  <c r="B417" i="3"/>
  <c r="C417" i="3"/>
  <c r="D417" i="3"/>
  <c r="E417" i="3"/>
  <c r="F417" i="3"/>
  <c r="G417" i="3"/>
  <c r="H417" i="3"/>
  <c r="I417" i="3"/>
  <c r="J417" i="3"/>
  <c r="K417" i="3"/>
  <c r="B418" i="3"/>
  <c r="C418" i="3"/>
  <c r="D418" i="3"/>
  <c r="E418" i="3"/>
  <c r="F418" i="3"/>
  <c r="G418" i="3"/>
  <c r="H418" i="3"/>
  <c r="I418" i="3"/>
  <c r="J418" i="3"/>
  <c r="K418" i="3"/>
  <c r="B419" i="3"/>
  <c r="C419" i="3"/>
  <c r="D419" i="3"/>
  <c r="E419" i="3"/>
  <c r="F419" i="3"/>
  <c r="G419" i="3"/>
  <c r="H419" i="3"/>
  <c r="I419" i="3"/>
  <c r="J419" i="3"/>
  <c r="K419" i="3"/>
  <c r="B420" i="3"/>
  <c r="C420" i="3"/>
  <c r="D420" i="3"/>
  <c r="E420" i="3"/>
  <c r="F420" i="3"/>
  <c r="G420" i="3"/>
  <c r="H420" i="3"/>
  <c r="I420" i="3"/>
  <c r="J420" i="3"/>
  <c r="K420" i="3"/>
  <c r="B421" i="3"/>
  <c r="C421" i="3"/>
  <c r="D421" i="3"/>
  <c r="E421" i="3"/>
  <c r="F421" i="3"/>
  <c r="G421" i="3"/>
  <c r="H421" i="3"/>
  <c r="I421" i="3"/>
  <c r="J421" i="3"/>
  <c r="K421" i="3"/>
  <c r="B422" i="3"/>
  <c r="C422" i="3"/>
  <c r="D422" i="3"/>
  <c r="E422" i="3"/>
  <c r="F422" i="3"/>
  <c r="G422" i="3"/>
  <c r="H422" i="3"/>
  <c r="I422" i="3"/>
  <c r="J422" i="3"/>
  <c r="K422" i="3"/>
  <c r="B423" i="3"/>
  <c r="C423" i="3"/>
  <c r="D423" i="3"/>
  <c r="E423" i="3"/>
  <c r="F423" i="3"/>
  <c r="G423" i="3"/>
  <c r="H423" i="3"/>
  <c r="I423" i="3"/>
  <c r="J423" i="3"/>
  <c r="K423" i="3"/>
  <c r="B424" i="3"/>
  <c r="C424" i="3"/>
  <c r="D424" i="3"/>
  <c r="E424" i="3"/>
  <c r="F424" i="3"/>
  <c r="G424" i="3"/>
  <c r="H424" i="3"/>
  <c r="I424" i="3"/>
  <c r="J424" i="3"/>
  <c r="K424" i="3"/>
  <c r="B425" i="3"/>
  <c r="C425" i="3"/>
  <c r="D425" i="3"/>
  <c r="E425" i="3"/>
  <c r="F425" i="3"/>
  <c r="G425" i="3"/>
  <c r="H425" i="3"/>
  <c r="I425" i="3"/>
  <c r="J425" i="3"/>
  <c r="K425" i="3"/>
  <c r="B426" i="3"/>
  <c r="C426" i="3"/>
  <c r="D426" i="3"/>
  <c r="E426" i="3"/>
  <c r="F426" i="3"/>
  <c r="G426" i="3"/>
  <c r="H426" i="3"/>
  <c r="I426" i="3"/>
  <c r="J426" i="3"/>
  <c r="K426" i="3"/>
  <c r="B427" i="3"/>
  <c r="C427" i="3"/>
  <c r="D427" i="3"/>
  <c r="E427" i="3"/>
  <c r="F427" i="3"/>
  <c r="G427" i="3"/>
  <c r="H427" i="3"/>
  <c r="I427" i="3"/>
  <c r="J427" i="3"/>
  <c r="K427" i="3"/>
  <c r="B428" i="3"/>
  <c r="C428" i="3"/>
  <c r="D428" i="3"/>
  <c r="E428" i="3"/>
  <c r="F428" i="3"/>
  <c r="G428" i="3"/>
  <c r="H428" i="3"/>
  <c r="I428" i="3"/>
  <c r="J428" i="3"/>
  <c r="K428" i="3"/>
  <c r="B429" i="3"/>
  <c r="C429" i="3"/>
  <c r="D429" i="3"/>
  <c r="E429" i="3"/>
  <c r="F429" i="3"/>
  <c r="G429" i="3"/>
  <c r="H429" i="3"/>
  <c r="I429" i="3"/>
  <c r="J429" i="3"/>
  <c r="K429" i="3"/>
  <c r="B430" i="3"/>
  <c r="C430" i="3"/>
  <c r="D430" i="3"/>
  <c r="E430" i="3"/>
  <c r="F430" i="3"/>
  <c r="G430" i="3"/>
  <c r="H430" i="3"/>
  <c r="I430" i="3"/>
  <c r="J430" i="3"/>
  <c r="K430" i="3"/>
  <c r="B431" i="3"/>
  <c r="C431" i="3"/>
  <c r="D431" i="3"/>
  <c r="E431" i="3"/>
  <c r="F431" i="3"/>
  <c r="G431" i="3"/>
  <c r="H431" i="3"/>
  <c r="I431" i="3"/>
  <c r="J431" i="3"/>
  <c r="K431" i="3"/>
  <c r="B432" i="3"/>
  <c r="C432" i="3"/>
  <c r="D432" i="3"/>
  <c r="E432" i="3"/>
  <c r="F432" i="3"/>
  <c r="G432" i="3"/>
  <c r="H432" i="3"/>
  <c r="I432" i="3"/>
  <c r="J432" i="3"/>
  <c r="K432" i="3"/>
  <c r="B433" i="3"/>
  <c r="C433" i="3"/>
  <c r="D433" i="3"/>
  <c r="E433" i="3"/>
  <c r="F433" i="3"/>
  <c r="G433" i="3"/>
  <c r="H433" i="3"/>
  <c r="I433" i="3"/>
  <c r="J433" i="3"/>
  <c r="K433" i="3"/>
  <c r="B434" i="3"/>
  <c r="C434" i="3"/>
  <c r="D434" i="3"/>
  <c r="E434" i="3"/>
  <c r="F434" i="3"/>
  <c r="G434" i="3"/>
  <c r="H434" i="3"/>
  <c r="I434" i="3"/>
  <c r="J434" i="3"/>
  <c r="K434" i="3"/>
  <c r="B435" i="3"/>
  <c r="C435" i="3"/>
  <c r="D435" i="3"/>
  <c r="E435" i="3"/>
  <c r="F435" i="3"/>
  <c r="G435" i="3"/>
  <c r="H435" i="3"/>
  <c r="I435" i="3"/>
  <c r="J435" i="3"/>
  <c r="K435" i="3"/>
  <c r="B436" i="3"/>
  <c r="C436" i="3"/>
  <c r="D436" i="3"/>
  <c r="E436" i="3"/>
  <c r="F436" i="3"/>
  <c r="G436" i="3"/>
  <c r="H436" i="3"/>
  <c r="I436" i="3"/>
  <c r="J436" i="3"/>
  <c r="K436" i="3"/>
  <c r="B437" i="3"/>
  <c r="C437" i="3"/>
  <c r="D437" i="3"/>
  <c r="E437" i="3"/>
  <c r="F437" i="3"/>
  <c r="G437" i="3"/>
  <c r="H437" i="3"/>
  <c r="I437" i="3"/>
  <c r="J437" i="3"/>
  <c r="K437" i="3"/>
  <c r="B438" i="3"/>
  <c r="C438" i="3"/>
  <c r="D438" i="3"/>
  <c r="E438" i="3"/>
  <c r="F438" i="3"/>
  <c r="G438" i="3"/>
  <c r="H438" i="3"/>
  <c r="I438" i="3"/>
  <c r="J438" i="3"/>
  <c r="K438" i="3"/>
  <c r="B439" i="3"/>
  <c r="C439" i="3"/>
  <c r="D439" i="3"/>
  <c r="E439" i="3"/>
  <c r="F439" i="3"/>
  <c r="G439" i="3"/>
  <c r="H439" i="3"/>
  <c r="I439" i="3"/>
  <c r="J439" i="3"/>
  <c r="K439" i="3"/>
  <c r="B440" i="3"/>
  <c r="C440" i="3"/>
  <c r="D440" i="3"/>
  <c r="E440" i="3"/>
  <c r="F440" i="3"/>
  <c r="G440" i="3"/>
  <c r="H440" i="3"/>
  <c r="I440" i="3"/>
  <c r="J440" i="3"/>
  <c r="K440" i="3"/>
  <c r="B441" i="3"/>
  <c r="C441" i="3"/>
  <c r="D441" i="3"/>
  <c r="E441" i="3"/>
  <c r="F441" i="3"/>
  <c r="G441" i="3"/>
  <c r="H441" i="3"/>
  <c r="I441" i="3"/>
  <c r="J441" i="3"/>
  <c r="K441" i="3"/>
  <c r="B442" i="3"/>
  <c r="C442" i="3"/>
  <c r="D442" i="3"/>
  <c r="E442" i="3"/>
  <c r="F442" i="3"/>
  <c r="G442" i="3"/>
  <c r="H442" i="3"/>
  <c r="I442" i="3"/>
  <c r="J442" i="3"/>
  <c r="K442" i="3"/>
  <c r="B443" i="3"/>
  <c r="C443" i="3"/>
  <c r="D443" i="3"/>
  <c r="E443" i="3"/>
  <c r="F443" i="3"/>
  <c r="G443" i="3"/>
  <c r="H443" i="3"/>
  <c r="I443" i="3"/>
  <c r="J443" i="3"/>
  <c r="K443" i="3"/>
  <c r="B444" i="3"/>
  <c r="C444" i="3"/>
  <c r="D444" i="3"/>
  <c r="E444" i="3"/>
  <c r="F444" i="3"/>
  <c r="G444" i="3"/>
  <c r="H444" i="3"/>
  <c r="I444" i="3"/>
  <c r="J444" i="3"/>
  <c r="K444" i="3"/>
  <c r="B445" i="3"/>
  <c r="C445" i="3"/>
  <c r="D445" i="3"/>
  <c r="E445" i="3"/>
  <c r="F445" i="3"/>
  <c r="G445" i="3"/>
  <c r="H445" i="3"/>
  <c r="I445" i="3"/>
  <c r="J445" i="3"/>
  <c r="K445" i="3"/>
  <c r="B446" i="3"/>
  <c r="C446" i="3"/>
  <c r="D446" i="3"/>
  <c r="E446" i="3"/>
  <c r="F446" i="3"/>
  <c r="G446" i="3"/>
  <c r="H446" i="3"/>
  <c r="I446" i="3"/>
  <c r="J446" i="3"/>
  <c r="K446" i="3"/>
  <c r="B447" i="3"/>
  <c r="C447" i="3"/>
  <c r="D447" i="3"/>
  <c r="E447" i="3"/>
  <c r="F447" i="3"/>
  <c r="G447" i="3"/>
  <c r="H447" i="3"/>
  <c r="I447" i="3"/>
  <c r="J447" i="3"/>
  <c r="K447" i="3"/>
  <c r="B448" i="3"/>
  <c r="C448" i="3"/>
  <c r="D448" i="3"/>
  <c r="E448" i="3"/>
  <c r="F448" i="3"/>
  <c r="G448" i="3"/>
  <c r="H448" i="3"/>
  <c r="I448" i="3"/>
  <c r="J448" i="3"/>
  <c r="K448" i="3"/>
  <c r="B449" i="3"/>
  <c r="C449" i="3"/>
  <c r="D449" i="3"/>
  <c r="E449" i="3"/>
  <c r="F449" i="3"/>
  <c r="G449" i="3"/>
  <c r="H449" i="3"/>
  <c r="I449" i="3"/>
  <c r="J449" i="3"/>
  <c r="K449" i="3"/>
  <c r="B450" i="3"/>
  <c r="C450" i="3"/>
  <c r="D450" i="3"/>
  <c r="E450" i="3"/>
  <c r="F450" i="3"/>
  <c r="G450" i="3"/>
  <c r="H450" i="3"/>
  <c r="I450" i="3"/>
  <c r="J450" i="3"/>
  <c r="K450" i="3"/>
  <c r="B451" i="3"/>
  <c r="C451" i="3"/>
  <c r="D451" i="3"/>
  <c r="E451" i="3"/>
  <c r="F451" i="3"/>
  <c r="G451" i="3"/>
  <c r="H451" i="3"/>
  <c r="I451" i="3"/>
  <c r="J451" i="3"/>
  <c r="K451" i="3"/>
  <c r="B452" i="3"/>
  <c r="C452" i="3"/>
  <c r="D452" i="3"/>
  <c r="E452" i="3"/>
  <c r="F452" i="3"/>
  <c r="G452" i="3"/>
  <c r="H452" i="3"/>
  <c r="I452" i="3"/>
  <c r="J452" i="3"/>
  <c r="K452" i="3"/>
  <c r="B453" i="3"/>
  <c r="C453" i="3"/>
  <c r="D453" i="3"/>
  <c r="E453" i="3"/>
  <c r="F453" i="3"/>
  <c r="G453" i="3"/>
  <c r="H453" i="3"/>
  <c r="I453" i="3"/>
  <c r="J453" i="3"/>
  <c r="K453" i="3"/>
  <c r="B454" i="3"/>
  <c r="C454" i="3"/>
  <c r="D454" i="3"/>
  <c r="E454" i="3"/>
  <c r="F454" i="3"/>
  <c r="G454" i="3"/>
  <c r="H454" i="3"/>
  <c r="I454" i="3"/>
  <c r="J454" i="3"/>
  <c r="K454" i="3"/>
  <c r="B455" i="3"/>
  <c r="C455" i="3"/>
  <c r="D455" i="3"/>
  <c r="E455" i="3"/>
  <c r="F455" i="3"/>
  <c r="G455" i="3"/>
  <c r="H455" i="3"/>
  <c r="I455" i="3"/>
  <c r="J455" i="3"/>
  <c r="K455" i="3"/>
  <c r="B456" i="3"/>
  <c r="C456" i="3"/>
  <c r="D456" i="3"/>
  <c r="E456" i="3"/>
  <c r="F456" i="3"/>
  <c r="G456" i="3"/>
  <c r="H456" i="3"/>
  <c r="I456" i="3"/>
  <c r="J456" i="3"/>
  <c r="K456" i="3"/>
  <c r="B457" i="3"/>
  <c r="C457" i="3"/>
  <c r="D457" i="3"/>
  <c r="E457" i="3"/>
  <c r="F457" i="3"/>
  <c r="G457" i="3"/>
  <c r="H457" i="3"/>
  <c r="I457" i="3"/>
  <c r="J457" i="3"/>
  <c r="K457" i="3"/>
  <c r="B458" i="3"/>
  <c r="C458" i="3"/>
  <c r="D458" i="3"/>
  <c r="E458" i="3"/>
  <c r="F458" i="3"/>
  <c r="G458" i="3"/>
  <c r="H458" i="3"/>
  <c r="I458" i="3"/>
  <c r="J458" i="3"/>
  <c r="K458" i="3"/>
  <c r="B459" i="3"/>
  <c r="C459" i="3"/>
  <c r="D459" i="3"/>
  <c r="E459" i="3"/>
  <c r="F459" i="3"/>
  <c r="G459" i="3"/>
  <c r="H459" i="3"/>
  <c r="I459" i="3"/>
  <c r="J459" i="3"/>
  <c r="K459" i="3"/>
  <c r="B460" i="3"/>
  <c r="C460" i="3"/>
  <c r="D460" i="3"/>
  <c r="E460" i="3"/>
  <c r="F460" i="3"/>
  <c r="G460" i="3"/>
  <c r="H460" i="3"/>
  <c r="I460" i="3"/>
  <c r="J460" i="3"/>
  <c r="K460" i="3"/>
  <c r="B461" i="3"/>
  <c r="C461" i="3"/>
  <c r="D461" i="3"/>
  <c r="E461" i="3"/>
  <c r="F461" i="3"/>
  <c r="G461" i="3"/>
  <c r="H461" i="3"/>
  <c r="I461" i="3"/>
  <c r="J461" i="3"/>
  <c r="K461" i="3"/>
  <c r="B462" i="3"/>
  <c r="C462" i="3"/>
  <c r="D462" i="3"/>
  <c r="E462" i="3"/>
  <c r="F462" i="3"/>
  <c r="G462" i="3"/>
  <c r="H462" i="3"/>
  <c r="I462" i="3"/>
  <c r="J462" i="3"/>
  <c r="K462" i="3"/>
  <c r="B463" i="3"/>
  <c r="C463" i="3"/>
  <c r="D463" i="3"/>
  <c r="E463" i="3"/>
  <c r="F463" i="3"/>
  <c r="G463" i="3"/>
  <c r="H463" i="3"/>
  <c r="I463" i="3"/>
  <c r="J463" i="3"/>
  <c r="K463" i="3"/>
  <c r="B464" i="3"/>
  <c r="C464" i="3"/>
  <c r="D464" i="3"/>
  <c r="E464" i="3"/>
  <c r="F464" i="3"/>
  <c r="G464" i="3"/>
  <c r="H464" i="3"/>
  <c r="I464" i="3"/>
  <c r="J464" i="3"/>
  <c r="K464" i="3"/>
  <c r="B465" i="3"/>
  <c r="C465" i="3"/>
  <c r="D465" i="3"/>
  <c r="E465" i="3"/>
  <c r="F465" i="3"/>
  <c r="G465" i="3"/>
  <c r="H465" i="3"/>
  <c r="I465" i="3"/>
  <c r="J465" i="3"/>
  <c r="K465" i="3"/>
  <c r="B466" i="3"/>
  <c r="C466" i="3"/>
  <c r="D466" i="3"/>
  <c r="E466" i="3"/>
  <c r="F466" i="3"/>
  <c r="G466" i="3"/>
  <c r="H466" i="3"/>
  <c r="I466" i="3"/>
  <c r="J466" i="3"/>
  <c r="K466" i="3"/>
  <c r="B467" i="3"/>
  <c r="C467" i="3"/>
  <c r="D467" i="3"/>
  <c r="E467" i="3"/>
  <c r="F467" i="3"/>
  <c r="G467" i="3"/>
  <c r="H467" i="3"/>
  <c r="I467" i="3"/>
  <c r="J467" i="3"/>
  <c r="K467" i="3"/>
  <c r="B468" i="3"/>
  <c r="C468" i="3"/>
  <c r="D468" i="3"/>
  <c r="E468" i="3"/>
  <c r="F468" i="3"/>
  <c r="G468" i="3"/>
  <c r="H468" i="3"/>
  <c r="I468" i="3"/>
  <c r="J468" i="3"/>
  <c r="K468" i="3"/>
  <c r="B469" i="3"/>
  <c r="C469" i="3"/>
  <c r="D469" i="3"/>
  <c r="E469" i="3"/>
  <c r="F469" i="3"/>
  <c r="G469" i="3"/>
  <c r="H469" i="3"/>
  <c r="I469" i="3"/>
  <c r="J469" i="3"/>
  <c r="K469" i="3"/>
  <c r="B470" i="3"/>
  <c r="C470" i="3"/>
  <c r="D470" i="3"/>
  <c r="E470" i="3"/>
  <c r="F470" i="3"/>
  <c r="G470" i="3"/>
  <c r="H470" i="3"/>
  <c r="I470" i="3"/>
  <c r="J470" i="3"/>
  <c r="K470" i="3"/>
  <c r="B471" i="3"/>
  <c r="C471" i="3"/>
  <c r="D471" i="3"/>
  <c r="E471" i="3"/>
  <c r="F471" i="3"/>
  <c r="G471" i="3"/>
  <c r="H471" i="3"/>
  <c r="I471" i="3"/>
  <c r="J471" i="3"/>
  <c r="K471" i="3"/>
  <c r="B472" i="3"/>
  <c r="C472" i="3"/>
  <c r="D472" i="3"/>
  <c r="E472" i="3"/>
  <c r="F472" i="3"/>
  <c r="G472" i="3"/>
  <c r="H472" i="3"/>
  <c r="I472" i="3"/>
  <c r="J472" i="3"/>
  <c r="K472" i="3"/>
  <c r="B473" i="3"/>
  <c r="C473" i="3"/>
  <c r="D473" i="3"/>
  <c r="E473" i="3"/>
  <c r="F473" i="3"/>
  <c r="G473" i="3"/>
  <c r="H473" i="3"/>
  <c r="I473" i="3"/>
  <c r="J473" i="3"/>
  <c r="K473" i="3"/>
  <c r="B474" i="3"/>
  <c r="C474" i="3"/>
  <c r="D474" i="3"/>
  <c r="E474" i="3"/>
  <c r="F474" i="3"/>
  <c r="G474" i="3"/>
  <c r="H474" i="3"/>
  <c r="I474" i="3"/>
  <c r="J474" i="3"/>
  <c r="K474" i="3"/>
  <c r="B475" i="3"/>
  <c r="C475" i="3"/>
  <c r="D475" i="3"/>
  <c r="E475" i="3"/>
  <c r="F475" i="3"/>
  <c r="G475" i="3"/>
  <c r="H475" i="3"/>
  <c r="I475" i="3"/>
  <c r="J475" i="3"/>
  <c r="K475" i="3"/>
  <c r="B476" i="3"/>
  <c r="C476" i="3"/>
  <c r="D476" i="3"/>
  <c r="E476" i="3"/>
  <c r="F476" i="3"/>
  <c r="G476" i="3"/>
  <c r="H476" i="3"/>
  <c r="I476" i="3"/>
  <c r="J476" i="3"/>
  <c r="K476" i="3"/>
  <c r="B477" i="3"/>
  <c r="C477" i="3"/>
  <c r="D477" i="3"/>
  <c r="E477" i="3"/>
  <c r="F477" i="3"/>
  <c r="G477" i="3"/>
  <c r="H477" i="3"/>
  <c r="I477" i="3"/>
  <c r="J477" i="3"/>
  <c r="K477" i="3"/>
  <c r="B478" i="3"/>
  <c r="C478" i="3"/>
  <c r="D478" i="3"/>
  <c r="E478" i="3"/>
  <c r="F478" i="3"/>
  <c r="G478" i="3"/>
  <c r="H478" i="3"/>
  <c r="I478" i="3"/>
  <c r="J478" i="3"/>
  <c r="K478" i="3"/>
  <c r="B479" i="3"/>
  <c r="C479" i="3"/>
  <c r="D479" i="3"/>
  <c r="E479" i="3"/>
  <c r="F479" i="3"/>
  <c r="G479" i="3"/>
  <c r="H479" i="3"/>
  <c r="I479" i="3"/>
  <c r="J479" i="3"/>
  <c r="K479" i="3"/>
  <c r="B480" i="3"/>
  <c r="C480" i="3"/>
  <c r="D480" i="3"/>
  <c r="E480" i="3"/>
  <c r="F480" i="3"/>
  <c r="G480" i="3"/>
  <c r="H480" i="3"/>
  <c r="I480" i="3"/>
  <c r="J480" i="3"/>
  <c r="K480" i="3"/>
  <c r="B481" i="3"/>
  <c r="C481" i="3"/>
  <c r="D481" i="3"/>
  <c r="E481" i="3"/>
  <c r="F481" i="3"/>
  <c r="G481" i="3"/>
  <c r="H481" i="3"/>
  <c r="I481" i="3"/>
  <c r="J481" i="3"/>
  <c r="K481" i="3"/>
  <c r="B482" i="3"/>
  <c r="C482" i="3"/>
  <c r="D482" i="3"/>
  <c r="E482" i="3"/>
  <c r="F482" i="3"/>
  <c r="G482" i="3"/>
  <c r="H482" i="3"/>
  <c r="I482" i="3"/>
  <c r="J482" i="3"/>
  <c r="K482" i="3"/>
  <c r="B483" i="3"/>
  <c r="C483" i="3"/>
  <c r="D483" i="3"/>
  <c r="E483" i="3"/>
  <c r="F483" i="3"/>
  <c r="G483" i="3"/>
  <c r="H483" i="3"/>
  <c r="I483" i="3"/>
  <c r="J483" i="3"/>
  <c r="K483" i="3"/>
  <c r="B484" i="3"/>
  <c r="C484" i="3"/>
  <c r="D484" i="3"/>
  <c r="E484" i="3"/>
  <c r="F484" i="3"/>
  <c r="G484" i="3"/>
  <c r="H484" i="3"/>
  <c r="I484" i="3"/>
  <c r="J484" i="3"/>
  <c r="K484" i="3"/>
  <c r="B485" i="3"/>
  <c r="C485" i="3"/>
  <c r="D485" i="3"/>
  <c r="E485" i="3"/>
  <c r="F485" i="3"/>
  <c r="G485" i="3"/>
  <c r="H485" i="3"/>
  <c r="I485" i="3"/>
  <c r="J485" i="3"/>
  <c r="K485" i="3"/>
  <c r="B486" i="3"/>
  <c r="C486" i="3"/>
  <c r="D486" i="3"/>
  <c r="E486" i="3"/>
  <c r="F486" i="3"/>
  <c r="G486" i="3"/>
  <c r="H486" i="3"/>
  <c r="I486" i="3"/>
  <c r="J486" i="3"/>
  <c r="K486" i="3"/>
  <c r="B487" i="3"/>
  <c r="C487" i="3"/>
  <c r="D487" i="3"/>
  <c r="E487" i="3"/>
  <c r="F487" i="3"/>
  <c r="G487" i="3"/>
  <c r="H487" i="3"/>
  <c r="I487" i="3"/>
  <c r="J487" i="3"/>
  <c r="K487" i="3"/>
  <c r="B488" i="3"/>
  <c r="C488" i="3"/>
  <c r="D488" i="3"/>
  <c r="E488" i="3"/>
  <c r="F488" i="3"/>
  <c r="G488" i="3"/>
  <c r="H488" i="3"/>
  <c r="I488" i="3"/>
  <c r="J488" i="3"/>
  <c r="K488" i="3"/>
  <c r="B489" i="3"/>
  <c r="C489" i="3"/>
  <c r="D489" i="3"/>
  <c r="E489" i="3"/>
  <c r="F489" i="3"/>
  <c r="G489" i="3"/>
  <c r="H489" i="3"/>
  <c r="I489" i="3"/>
  <c r="J489" i="3"/>
  <c r="K489" i="3"/>
  <c r="B490" i="3"/>
  <c r="C490" i="3"/>
  <c r="D490" i="3"/>
  <c r="E490" i="3"/>
  <c r="F490" i="3"/>
  <c r="G490" i="3"/>
  <c r="H490" i="3"/>
  <c r="I490" i="3"/>
  <c r="J490" i="3"/>
  <c r="K490" i="3"/>
  <c r="B491" i="3"/>
  <c r="C491" i="3"/>
  <c r="D491" i="3"/>
  <c r="E491" i="3"/>
  <c r="F491" i="3"/>
  <c r="G491" i="3"/>
  <c r="H491" i="3"/>
  <c r="I491" i="3"/>
  <c r="J491" i="3"/>
  <c r="K491" i="3"/>
  <c r="B492" i="3"/>
  <c r="C492" i="3"/>
  <c r="D492" i="3"/>
  <c r="E492" i="3"/>
  <c r="F492" i="3"/>
  <c r="G492" i="3"/>
  <c r="H492" i="3"/>
  <c r="I492" i="3"/>
  <c r="J492" i="3"/>
  <c r="K492" i="3"/>
  <c r="B493" i="3"/>
  <c r="C493" i="3"/>
  <c r="D493" i="3"/>
  <c r="E493" i="3"/>
  <c r="F493" i="3"/>
  <c r="G493" i="3"/>
  <c r="H493" i="3"/>
  <c r="I493" i="3"/>
  <c r="J493" i="3"/>
  <c r="K493" i="3"/>
  <c r="B494" i="3"/>
  <c r="C494" i="3"/>
  <c r="D494" i="3"/>
  <c r="E494" i="3"/>
  <c r="F494" i="3"/>
  <c r="G494" i="3"/>
  <c r="H494" i="3"/>
  <c r="I494" i="3"/>
  <c r="J494" i="3"/>
  <c r="K494" i="3"/>
  <c r="B495" i="3"/>
  <c r="C495" i="3"/>
  <c r="D495" i="3"/>
  <c r="E495" i="3"/>
  <c r="F495" i="3"/>
  <c r="G495" i="3"/>
  <c r="H495" i="3"/>
  <c r="I495" i="3"/>
  <c r="J495" i="3"/>
  <c r="K495" i="3"/>
  <c r="B496" i="3"/>
  <c r="C496" i="3"/>
  <c r="D496" i="3"/>
  <c r="E496" i="3"/>
  <c r="F496" i="3"/>
  <c r="G496" i="3"/>
  <c r="H496" i="3"/>
  <c r="I496" i="3"/>
  <c r="J496" i="3"/>
  <c r="K496" i="3"/>
  <c r="B497" i="3"/>
  <c r="C497" i="3"/>
  <c r="D497" i="3"/>
  <c r="E497" i="3"/>
  <c r="F497" i="3"/>
  <c r="G497" i="3"/>
  <c r="H497" i="3"/>
  <c r="I497" i="3"/>
  <c r="J497" i="3"/>
  <c r="K497" i="3"/>
  <c r="B498" i="3"/>
  <c r="C498" i="3"/>
  <c r="D498" i="3"/>
  <c r="E498" i="3"/>
  <c r="F498" i="3"/>
  <c r="G498" i="3"/>
  <c r="H498" i="3"/>
  <c r="I498" i="3"/>
  <c r="J498" i="3"/>
  <c r="K498" i="3"/>
  <c r="B499" i="3"/>
  <c r="C499" i="3"/>
  <c r="D499" i="3"/>
  <c r="E499" i="3"/>
  <c r="F499" i="3"/>
  <c r="G499" i="3"/>
  <c r="H499" i="3"/>
  <c r="I499" i="3"/>
  <c r="J499" i="3"/>
  <c r="K499" i="3"/>
  <c r="B500" i="3"/>
  <c r="C500" i="3"/>
  <c r="D500" i="3"/>
  <c r="E500" i="3"/>
  <c r="F500" i="3"/>
  <c r="G500" i="3"/>
  <c r="H500" i="3"/>
  <c r="I500" i="3"/>
  <c r="J500" i="3"/>
  <c r="K500" i="3"/>
  <c r="B501" i="3"/>
  <c r="C501" i="3"/>
  <c r="D501" i="3"/>
  <c r="E501" i="3"/>
  <c r="F501" i="3"/>
  <c r="G501" i="3"/>
  <c r="H501" i="3"/>
  <c r="I501" i="3"/>
  <c r="J501" i="3"/>
  <c r="K501" i="3"/>
  <c r="B502" i="3"/>
  <c r="C502" i="3"/>
  <c r="D502" i="3"/>
  <c r="E502" i="3"/>
  <c r="F502" i="3"/>
  <c r="G502" i="3"/>
  <c r="H502" i="3"/>
  <c r="I502" i="3"/>
  <c r="J502" i="3"/>
  <c r="K502" i="3"/>
  <c r="B503" i="3"/>
  <c r="C503" i="3"/>
  <c r="D503" i="3"/>
  <c r="E503" i="3"/>
  <c r="F503" i="3"/>
  <c r="G503" i="3"/>
  <c r="H503" i="3"/>
  <c r="I503" i="3"/>
  <c r="J503" i="3"/>
  <c r="K503" i="3"/>
  <c r="B504" i="3"/>
  <c r="C504" i="3"/>
  <c r="D504" i="3"/>
  <c r="E504" i="3"/>
  <c r="F504" i="3"/>
  <c r="G504" i="3"/>
  <c r="H504" i="3"/>
  <c r="I504" i="3"/>
  <c r="J504" i="3"/>
  <c r="K504" i="3"/>
  <c r="B505" i="3"/>
  <c r="C505" i="3"/>
  <c r="D505" i="3"/>
  <c r="E505" i="3"/>
  <c r="F505" i="3"/>
  <c r="G505" i="3"/>
  <c r="H505" i="3"/>
  <c r="I505" i="3"/>
  <c r="J505" i="3"/>
  <c r="K505" i="3"/>
  <c r="B506" i="3"/>
  <c r="C506" i="3"/>
  <c r="D506" i="3"/>
  <c r="E506" i="3"/>
  <c r="F506" i="3"/>
  <c r="G506" i="3"/>
  <c r="H506" i="3"/>
  <c r="I506" i="3"/>
  <c r="J506" i="3"/>
  <c r="K506" i="3"/>
  <c r="B507" i="3"/>
  <c r="C507" i="3"/>
  <c r="D507" i="3"/>
  <c r="E507" i="3"/>
  <c r="F507" i="3"/>
  <c r="G507" i="3"/>
  <c r="H507" i="3"/>
  <c r="I507" i="3"/>
  <c r="J507" i="3"/>
  <c r="K507" i="3"/>
  <c r="B508" i="3"/>
  <c r="C508" i="3"/>
  <c r="D508" i="3"/>
  <c r="E508" i="3"/>
  <c r="F508" i="3"/>
  <c r="G508" i="3"/>
  <c r="H508" i="3"/>
  <c r="I508" i="3"/>
  <c r="J508" i="3"/>
  <c r="K508" i="3"/>
  <c r="B509" i="3"/>
  <c r="C509" i="3"/>
  <c r="D509" i="3"/>
  <c r="E509" i="3"/>
  <c r="F509" i="3"/>
  <c r="G509" i="3"/>
  <c r="H509" i="3"/>
  <c r="I509" i="3"/>
  <c r="J509" i="3"/>
  <c r="K509" i="3"/>
  <c r="B510" i="3"/>
  <c r="C510" i="3"/>
  <c r="D510" i="3"/>
  <c r="E510" i="3"/>
  <c r="F510" i="3"/>
  <c r="G510" i="3"/>
  <c r="H510" i="3"/>
  <c r="I510" i="3"/>
  <c r="J510" i="3"/>
  <c r="K510" i="3"/>
  <c r="B511" i="3"/>
  <c r="C511" i="3"/>
  <c r="D511" i="3"/>
  <c r="E511" i="3"/>
  <c r="F511" i="3"/>
  <c r="G511" i="3"/>
  <c r="H511" i="3"/>
  <c r="I511" i="3"/>
  <c r="J511" i="3"/>
  <c r="K511" i="3"/>
  <c r="B512" i="3"/>
  <c r="C512" i="3"/>
  <c r="D512" i="3"/>
  <c r="E512" i="3"/>
  <c r="F512" i="3"/>
  <c r="G512" i="3"/>
  <c r="H512" i="3"/>
  <c r="I512" i="3"/>
  <c r="J512" i="3"/>
  <c r="K512" i="3"/>
  <c r="B513" i="3"/>
  <c r="C513" i="3"/>
  <c r="D513" i="3"/>
  <c r="E513" i="3"/>
  <c r="F513" i="3"/>
  <c r="G513" i="3"/>
  <c r="H513" i="3"/>
  <c r="I513" i="3"/>
  <c r="J513" i="3"/>
  <c r="K513" i="3"/>
  <c r="B514" i="3"/>
  <c r="C514" i="3"/>
  <c r="D514" i="3"/>
  <c r="E514" i="3"/>
  <c r="F514" i="3"/>
  <c r="G514" i="3"/>
  <c r="H514" i="3"/>
  <c r="I514" i="3"/>
  <c r="J514" i="3"/>
  <c r="K514" i="3"/>
  <c r="B515" i="3"/>
  <c r="C515" i="3"/>
  <c r="D515" i="3"/>
  <c r="E515" i="3"/>
  <c r="F515" i="3"/>
  <c r="G515" i="3"/>
  <c r="H515" i="3"/>
  <c r="I515" i="3"/>
  <c r="J515" i="3"/>
  <c r="K515" i="3"/>
  <c r="B516" i="3"/>
  <c r="C516" i="3"/>
  <c r="D516" i="3"/>
  <c r="E516" i="3"/>
  <c r="F516" i="3"/>
  <c r="G516" i="3"/>
  <c r="H516" i="3"/>
  <c r="I516" i="3"/>
  <c r="J516" i="3"/>
  <c r="K516" i="3"/>
  <c r="B517" i="3"/>
  <c r="C517" i="3"/>
  <c r="D517" i="3"/>
  <c r="E517" i="3"/>
  <c r="F517" i="3"/>
  <c r="G517" i="3"/>
  <c r="H517" i="3"/>
  <c r="I517" i="3"/>
  <c r="J517" i="3"/>
  <c r="K517" i="3"/>
  <c r="B518" i="3"/>
  <c r="C518" i="3"/>
  <c r="D518" i="3"/>
  <c r="E518" i="3"/>
  <c r="F518" i="3"/>
  <c r="G518" i="3"/>
  <c r="H518" i="3"/>
  <c r="I518" i="3"/>
  <c r="J518" i="3"/>
  <c r="K518" i="3"/>
  <c r="B519" i="3"/>
  <c r="C519" i="3"/>
  <c r="D519" i="3"/>
  <c r="E519" i="3"/>
  <c r="F519" i="3"/>
  <c r="G519" i="3"/>
  <c r="H519" i="3"/>
  <c r="I519" i="3"/>
  <c r="J519" i="3"/>
  <c r="K519" i="3"/>
  <c r="B520" i="3"/>
  <c r="C520" i="3"/>
  <c r="D520" i="3"/>
  <c r="E520" i="3"/>
  <c r="F520" i="3"/>
  <c r="G520" i="3"/>
  <c r="H520" i="3"/>
  <c r="I520" i="3"/>
  <c r="J520" i="3"/>
  <c r="K520" i="3"/>
  <c r="B521" i="3"/>
  <c r="C521" i="3"/>
  <c r="D521" i="3"/>
  <c r="E521" i="3"/>
  <c r="F521" i="3"/>
  <c r="G521" i="3"/>
  <c r="H521" i="3"/>
  <c r="I521" i="3"/>
  <c r="J521" i="3"/>
  <c r="K521" i="3"/>
  <c r="B522" i="3"/>
  <c r="C522" i="3"/>
  <c r="D522" i="3"/>
  <c r="E522" i="3"/>
  <c r="F522" i="3"/>
  <c r="G522" i="3"/>
  <c r="H522" i="3"/>
  <c r="I522" i="3"/>
  <c r="J522" i="3"/>
  <c r="K522" i="3"/>
  <c r="B523" i="3"/>
  <c r="C523" i="3"/>
  <c r="D523" i="3"/>
  <c r="E523" i="3"/>
  <c r="F523" i="3"/>
  <c r="G523" i="3"/>
  <c r="H523" i="3"/>
  <c r="I523" i="3"/>
  <c r="J523" i="3"/>
  <c r="K523" i="3"/>
  <c r="B524" i="3"/>
  <c r="C524" i="3"/>
  <c r="D524" i="3"/>
  <c r="E524" i="3"/>
  <c r="F524" i="3"/>
  <c r="G524" i="3"/>
  <c r="H524" i="3"/>
  <c r="I524" i="3"/>
  <c r="J524" i="3"/>
  <c r="K524" i="3"/>
  <c r="B525" i="3"/>
  <c r="C525" i="3"/>
  <c r="D525" i="3"/>
  <c r="E525" i="3"/>
  <c r="F525" i="3"/>
  <c r="G525" i="3"/>
  <c r="H525" i="3"/>
  <c r="I525" i="3"/>
  <c r="J525" i="3"/>
  <c r="K525" i="3"/>
  <c r="B526" i="3"/>
  <c r="C526" i="3"/>
  <c r="D526" i="3"/>
  <c r="E526" i="3"/>
  <c r="F526" i="3"/>
  <c r="G526" i="3"/>
  <c r="H526" i="3"/>
  <c r="I526" i="3"/>
  <c r="J526" i="3"/>
  <c r="K526" i="3"/>
  <c r="B527" i="3"/>
  <c r="C527" i="3"/>
  <c r="D527" i="3"/>
  <c r="E527" i="3"/>
  <c r="F527" i="3"/>
  <c r="G527" i="3"/>
  <c r="H527" i="3"/>
  <c r="I527" i="3"/>
  <c r="J527" i="3"/>
  <c r="K527" i="3"/>
  <c r="B528" i="3"/>
  <c r="C528" i="3"/>
  <c r="D528" i="3"/>
  <c r="E528" i="3"/>
  <c r="F528" i="3"/>
  <c r="G528" i="3"/>
  <c r="H528" i="3"/>
  <c r="I528" i="3"/>
  <c r="J528" i="3"/>
  <c r="K528" i="3"/>
  <c r="B529" i="3"/>
  <c r="C529" i="3"/>
  <c r="D529" i="3"/>
  <c r="E529" i="3"/>
  <c r="F529" i="3"/>
  <c r="G529" i="3"/>
  <c r="H529" i="3"/>
  <c r="I529" i="3"/>
  <c r="J529" i="3"/>
  <c r="K529" i="3"/>
  <c r="B530" i="3"/>
  <c r="C530" i="3"/>
  <c r="D530" i="3"/>
  <c r="E530" i="3"/>
  <c r="F530" i="3"/>
  <c r="G530" i="3"/>
  <c r="H530" i="3"/>
  <c r="I530" i="3"/>
  <c r="J530" i="3"/>
  <c r="K530" i="3"/>
  <c r="B531" i="3"/>
  <c r="C531" i="3"/>
  <c r="D531" i="3"/>
  <c r="E531" i="3"/>
  <c r="F531" i="3"/>
  <c r="G531" i="3"/>
  <c r="H531" i="3"/>
  <c r="I531" i="3"/>
  <c r="J531" i="3"/>
  <c r="K531" i="3"/>
  <c r="B532" i="3"/>
  <c r="C532" i="3"/>
  <c r="D532" i="3"/>
  <c r="E532" i="3"/>
  <c r="F532" i="3"/>
  <c r="G532" i="3"/>
  <c r="H532" i="3"/>
  <c r="I532" i="3"/>
  <c r="J532" i="3"/>
  <c r="K532" i="3"/>
  <c r="B533" i="3"/>
  <c r="C533" i="3"/>
  <c r="D533" i="3"/>
  <c r="E533" i="3"/>
  <c r="F533" i="3"/>
  <c r="G533" i="3"/>
  <c r="H533" i="3"/>
  <c r="I533" i="3"/>
  <c r="J533" i="3"/>
  <c r="K533" i="3"/>
  <c r="B534" i="3"/>
  <c r="C534" i="3"/>
  <c r="D534" i="3"/>
  <c r="E534" i="3"/>
  <c r="F534" i="3"/>
  <c r="G534" i="3"/>
  <c r="H534" i="3"/>
  <c r="I534" i="3"/>
  <c r="J534" i="3"/>
  <c r="K534" i="3"/>
  <c r="B535" i="3"/>
  <c r="C535" i="3"/>
  <c r="D535" i="3"/>
  <c r="E535" i="3"/>
  <c r="F535" i="3"/>
  <c r="G535" i="3"/>
  <c r="H535" i="3"/>
  <c r="I535" i="3"/>
  <c r="J535" i="3"/>
  <c r="K535" i="3"/>
  <c r="B536" i="3"/>
  <c r="C536" i="3"/>
  <c r="D536" i="3"/>
  <c r="E536" i="3"/>
  <c r="F536" i="3"/>
  <c r="G536" i="3"/>
  <c r="H536" i="3"/>
  <c r="I536" i="3"/>
  <c r="J536" i="3"/>
  <c r="K536" i="3"/>
  <c r="B537" i="3"/>
  <c r="C537" i="3"/>
  <c r="D537" i="3"/>
  <c r="E537" i="3"/>
  <c r="F537" i="3"/>
  <c r="G537" i="3"/>
  <c r="H537" i="3"/>
  <c r="I537" i="3"/>
  <c r="J537" i="3"/>
  <c r="K537" i="3"/>
  <c r="B538" i="3"/>
  <c r="C538" i="3"/>
  <c r="D538" i="3"/>
  <c r="E538" i="3"/>
  <c r="F538" i="3"/>
  <c r="G538" i="3"/>
  <c r="H538" i="3"/>
  <c r="I538" i="3"/>
  <c r="J538" i="3"/>
  <c r="K538" i="3"/>
  <c r="B539" i="3"/>
  <c r="C539" i="3"/>
  <c r="D539" i="3"/>
  <c r="E539" i="3"/>
  <c r="F539" i="3"/>
  <c r="G539" i="3"/>
  <c r="H539" i="3"/>
  <c r="I539" i="3"/>
  <c r="J539" i="3"/>
  <c r="K539" i="3"/>
  <c r="B540" i="3"/>
  <c r="C540" i="3"/>
  <c r="D540" i="3"/>
  <c r="E540" i="3"/>
  <c r="F540" i="3"/>
  <c r="G540" i="3"/>
  <c r="H540" i="3"/>
  <c r="I540" i="3"/>
  <c r="J540" i="3"/>
  <c r="K540" i="3"/>
  <c r="B541" i="3"/>
  <c r="C541" i="3"/>
  <c r="D541" i="3"/>
  <c r="E541" i="3"/>
  <c r="F541" i="3"/>
  <c r="G541" i="3"/>
  <c r="H541" i="3"/>
  <c r="I541" i="3"/>
  <c r="J541" i="3"/>
  <c r="K541" i="3"/>
  <c r="B542" i="3"/>
  <c r="C542" i="3"/>
  <c r="D542" i="3"/>
  <c r="E542" i="3"/>
  <c r="F542" i="3"/>
  <c r="G542" i="3"/>
  <c r="H542" i="3"/>
  <c r="I542" i="3"/>
  <c r="J542" i="3"/>
  <c r="K542" i="3"/>
  <c r="B543" i="3"/>
  <c r="C543" i="3"/>
  <c r="D543" i="3"/>
  <c r="E543" i="3"/>
  <c r="F543" i="3"/>
  <c r="G543" i="3"/>
  <c r="H543" i="3"/>
  <c r="I543" i="3"/>
  <c r="J543" i="3"/>
  <c r="K543" i="3"/>
  <c r="B544" i="3"/>
  <c r="C544" i="3"/>
  <c r="D544" i="3"/>
  <c r="E544" i="3"/>
  <c r="F544" i="3"/>
  <c r="G544" i="3"/>
  <c r="H544" i="3"/>
  <c r="I544" i="3"/>
  <c r="J544" i="3"/>
  <c r="K544" i="3"/>
  <c r="B545" i="3"/>
  <c r="C545" i="3"/>
  <c r="D545" i="3"/>
  <c r="E545" i="3"/>
  <c r="F545" i="3"/>
  <c r="G545" i="3"/>
  <c r="H545" i="3"/>
  <c r="I545" i="3"/>
  <c r="J545" i="3"/>
  <c r="K545" i="3"/>
  <c r="B546" i="3"/>
  <c r="C546" i="3"/>
  <c r="D546" i="3"/>
  <c r="E546" i="3"/>
  <c r="F546" i="3"/>
  <c r="G546" i="3"/>
  <c r="H546" i="3"/>
  <c r="I546" i="3"/>
  <c r="J546" i="3"/>
  <c r="K546" i="3"/>
  <c r="B547" i="3"/>
  <c r="C547" i="3"/>
  <c r="D547" i="3"/>
  <c r="E547" i="3"/>
  <c r="F547" i="3"/>
  <c r="G547" i="3"/>
  <c r="H547" i="3"/>
  <c r="I547" i="3"/>
  <c r="J547" i="3"/>
  <c r="K547" i="3"/>
  <c r="B548" i="3"/>
  <c r="C548" i="3"/>
  <c r="D548" i="3"/>
  <c r="E548" i="3"/>
  <c r="F548" i="3"/>
  <c r="G548" i="3"/>
  <c r="H548" i="3"/>
  <c r="I548" i="3"/>
  <c r="J548" i="3"/>
  <c r="K548" i="3"/>
  <c r="B549" i="3"/>
  <c r="C549" i="3"/>
  <c r="D549" i="3"/>
  <c r="E549" i="3"/>
  <c r="F549" i="3"/>
  <c r="G549" i="3"/>
  <c r="H549" i="3"/>
  <c r="I549" i="3"/>
  <c r="J549" i="3"/>
  <c r="K549" i="3"/>
  <c r="B550" i="3"/>
  <c r="C550" i="3"/>
  <c r="D550" i="3"/>
  <c r="E550" i="3"/>
  <c r="F550" i="3"/>
  <c r="G550" i="3"/>
  <c r="H550" i="3"/>
  <c r="I550" i="3"/>
  <c r="J550" i="3"/>
  <c r="K550" i="3"/>
  <c r="B551" i="3"/>
  <c r="C551" i="3"/>
  <c r="D551" i="3"/>
  <c r="E551" i="3"/>
  <c r="F551" i="3"/>
  <c r="G551" i="3"/>
  <c r="H551" i="3"/>
  <c r="I551" i="3"/>
  <c r="J551" i="3"/>
  <c r="K551" i="3"/>
  <c r="B552" i="3"/>
  <c r="C552" i="3"/>
  <c r="D552" i="3"/>
  <c r="E552" i="3"/>
  <c r="F552" i="3"/>
  <c r="G552" i="3"/>
  <c r="H552" i="3"/>
  <c r="I552" i="3"/>
  <c r="J552" i="3"/>
  <c r="K552" i="3"/>
  <c r="B553" i="3"/>
  <c r="C553" i="3"/>
  <c r="D553" i="3"/>
  <c r="E553" i="3"/>
  <c r="F553" i="3"/>
  <c r="G553" i="3"/>
  <c r="H553" i="3"/>
  <c r="I553" i="3"/>
  <c r="J553" i="3"/>
  <c r="K553" i="3"/>
  <c r="B554" i="3"/>
  <c r="C554" i="3"/>
  <c r="D554" i="3"/>
  <c r="E554" i="3"/>
  <c r="F554" i="3"/>
  <c r="G554" i="3"/>
  <c r="H554" i="3"/>
  <c r="I554" i="3"/>
  <c r="J554" i="3"/>
  <c r="K554" i="3"/>
  <c r="B555" i="3"/>
  <c r="C555" i="3"/>
  <c r="D555" i="3"/>
  <c r="E555" i="3"/>
  <c r="F555" i="3"/>
  <c r="G555" i="3"/>
  <c r="H555" i="3"/>
  <c r="I555" i="3"/>
  <c r="J555" i="3"/>
  <c r="K555" i="3"/>
  <c r="B556" i="3"/>
  <c r="C556" i="3"/>
  <c r="D556" i="3"/>
  <c r="E556" i="3"/>
  <c r="F556" i="3"/>
  <c r="G556" i="3"/>
  <c r="H556" i="3"/>
  <c r="I556" i="3"/>
  <c r="J556" i="3"/>
  <c r="K556" i="3"/>
  <c r="B557" i="3"/>
  <c r="C557" i="3"/>
  <c r="D557" i="3"/>
  <c r="E557" i="3"/>
  <c r="F557" i="3"/>
  <c r="G557" i="3"/>
  <c r="H557" i="3"/>
  <c r="I557" i="3"/>
  <c r="J557" i="3"/>
  <c r="K557" i="3"/>
  <c r="B558" i="3"/>
  <c r="C558" i="3"/>
  <c r="D558" i="3"/>
  <c r="E558" i="3"/>
  <c r="F558" i="3"/>
  <c r="G558" i="3"/>
  <c r="H558" i="3"/>
  <c r="I558" i="3"/>
  <c r="J558" i="3"/>
  <c r="K558" i="3"/>
  <c r="B559" i="3"/>
  <c r="C559" i="3"/>
  <c r="D559" i="3"/>
  <c r="E559" i="3"/>
  <c r="F559" i="3"/>
  <c r="G559" i="3"/>
  <c r="H559" i="3"/>
  <c r="I559" i="3"/>
  <c r="J559" i="3"/>
  <c r="K559" i="3"/>
  <c r="B560" i="3"/>
  <c r="C560" i="3"/>
  <c r="D560" i="3"/>
  <c r="E560" i="3"/>
  <c r="F560" i="3"/>
  <c r="G560" i="3"/>
  <c r="H560" i="3"/>
  <c r="I560" i="3"/>
  <c r="J560" i="3"/>
  <c r="K560" i="3"/>
  <c r="B561" i="3"/>
  <c r="C561" i="3"/>
  <c r="D561" i="3"/>
  <c r="E561" i="3"/>
  <c r="F561" i="3"/>
  <c r="G561" i="3"/>
  <c r="H561" i="3"/>
  <c r="I561" i="3"/>
  <c r="J561" i="3"/>
  <c r="K561" i="3"/>
  <c r="B562" i="3"/>
  <c r="C562" i="3"/>
  <c r="D562" i="3"/>
  <c r="E562" i="3"/>
  <c r="F562" i="3"/>
  <c r="G562" i="3"/>
  <c r="H562" i="3"/>
  <c r="I562" i="3"/>
  <c r="J562" i="3"/>
  <c r="K562" i="3"/>
  <c r="B563" i="3"/>
  <c r="C563" i="3"/>
  <c r="D563" i="3"/>
  <c r="E563" i="3"/>
  <c r="F563" i="3"/>
  <c r="G563" i="3"/>
  <c r="H563" i="3"/>
  <c r="I563" i="3"/>
  <c r="J563" i="3"/>
  <c r="K563" i="3"/>
  <c r="B564" i="3"/>
  <c r="C564" i="3"/>
  <c r="D564" i="3"/>
  <c r="E564" i="3"/>
  <c r="F564" i="3"/>
  <c r="G564" i="3"/>
  <c r="H564" i="3"/>
  <c r="I564" i="3"/>
  <c r="J564" i="3"/>
  <c r="K564" i="3"/>
  <c r="B565" i="3"/>
  <c r="C565" i="3"/>
  <c r="D565" i="3"/>
  <c r="E565" i="3"/>
  <c r="F565" i="3"/>
  <c r="G565" i="3"/>
  <c r="H565" i="3"/>
  <c r="I565" i="3"/>
  <c r="J565" i="3"/>
  <c r="K565" i="3"/>
  <c r="B566" i="3"/>
  <c r="C566" i="3"/>
  <c r="D566" i="3"/>
  <c r="E566" i="3"/>
  <c r="F566" i="3"/>
  <c r="G566" i="3"/>
  <c r="H566" i="3"/>
  <c r="I566" i="3"/>
  <c r="J566" i="3"/>
  <c r="K566" i="3"/>
  <c r="B567" i="3"/>
  <c r="C567" i="3"/>
  <c r="D567" i="3"/>
  <c r="E567" i="3"/>
  <c r="F567" i="3"/>
  <c r="G567" i="3"/>
  <c r="H567" i="3"/>
  <c r="I567" i="3"/>
  <c r="J567" i="3"/>
  <c r="K567" i="3"/>
  <c r="B568" i="3"/>
  <c r="C568" i="3"/>
  <c r="D568" i="3"/>
  <c r="E568" i="3"/>
  <c r="F568" i="3"/>
  <c r="G568" i="3"/>
  <c r="H568" i="3"/>
  <c r="I568" i="3"/>
  <c r="J568" i="3"/>
  <c r="K568" i="3"/>
  <c r="B569" i="3"/>
  <c r="C569" i="3"/>
  <c r="D569" i="3"/>
  <c r="E569" i="3"/>
  <c r="F569" i="3"/>
  <c r="G569" i="3"/>
  <c r="H569" i="3"/>
  <c r="I569" i="3"/>
  <c r="J569" i="3"/>
  <c r="K569" i="3"/>
  <c r="B570" i="3"/>
  <c r="C570" i="3"/>
  <c r="D570" i="3"/>
  <c r="E570" i="3"/>
  <c r="F570" i="3"/>
  <c r="G570" i="3"/>
  <c r="H570" i="3"/>
  <c r="I570" i="3"/>
  <c r="J570" i="3"/>
  <c r="K570" i="3"/>
  <c r="B571" i="3"/>
  <c r="C571" i="3"/>
  <c r="D571" i="3"/>
  <c r="E571" i="3"/>
  <c r="F571" i="3"/>
  <c r="G571" i="3"/>
  <c r="H571" i="3"/>
  <c r="I571" i="3"/>
  <c r="J571" i="3"/>
  <c r="K571" i="3"/>
  <c r="B572" i="3"/>
  <c r="C572" i="3"/>
  <c r="D572" i="3"/>
  <c r="E572" i="3"/>
  <c r="F572" i="3"/>
  <c r="G572" i="3"/>
  <c r="H572" i="3"/>
  <c r="I572" i="3"/>
  <c r="J572" i="3"/>
  <c r="K572" i="3"/>
  <c r="B573" i="3"/>
  <c r="C573" i="3"/>
  <c r="D573" i="3"/>
  <c r="E573" i="3"/>
  <c r="F573" i="3"/>
  <c r="G573" i="3"/>
  <c r="H573" i="3"/>
  <c r="I573" i="3"/>
  <c r="J573" i="3"/>
  <c r="K573" i="3"/>
  <c r="B574" i="3"/>
  <c r="C574" i="3"/>
  <c r="D574" i="3"/>
  <c r="E574" i="3"/>
  <c r="F574" i="3"/>
  <c r="G574" i="3"/>
  <c r="H574" i="3"/>
  <c r="I574" i="3"/>
  <c r="J574" i="3"/>
  <c r="K574" i="3"/>
  <c r="B575" i="3"/>
  <c r="C575" i="3"/>
  <c r="D575" i="3"/>
  <c r="E575" i="3"/>
  <c r="F575" i="3"/>
  <c r="G575" i="3"/>
  <c r="H575" i="3"/>
  <c r="I575" i="3"/>
  <c r="J575" i="3"/>
  <c r="K575" i="3"/>
  <c r="B576" i="3"/>
  <c r="C576" i="3"/>
  <c r="D576" i="3"/>
  <c r="E576" i="3"/>
  <c r="F576" i="3"/>
  <c r="G576" i="3"/>
  <c r="H576" i="3"/>
  <c r="I576" i="3"/>
  <c r="J576" i="3"/>
  <c r="K576" i="3"/>
  <c r="B577" i="3"/>
  <c r="C577" i="3"/>
  <c r="D577" i="3"/>
  <c r="E577" i="3"/>
  <c r="F577" i="3"/>
  <c r="G577" i="3"/>
  <c r="H577" i="3"/>
  <c r="I577" i="3"/>
  <c r="J577" i="3"/>
  <c r="K577" i="3"/>
  <c r="B578" i="3"/>
  <c r="C578" i="3"/>
  <c r="D578" i="3"/>
  <c r="E578" i="3"/>
  <c r="F578" i="3"/>
  <c r="G578" i="3"/>
  <c r="H578" i="3"/>
  <c r="I578" i="3"/>
  <c r="J578" i="3"/>
  <c r="K578" i="3"/>
  <c r="B579" i="3"/>
  <c r="C579" i="3"/>
  <c r="D579" i="3"/>
  <c r="E579" i="3"/>
  <c r="F579" i="3"/>
  <c r="G579" i="3"/>
  <c r="H579" i="3"/>
  <c r="I579" i="3"/>
  <c r="J579" i="3"/>
  <c r="K579" i="3"/>
  <c r="B580" i="3"/>
  <c r="C580" i="3"/>
  <c r="D580" i="3"/>
  <c r="E580" i="3"/>
  <c r="F580" i="3"/>
  <c r="G580" i="3"/>
  <c r="H580" i="3"/>
  <c r="I580" i="3"/>
  <c r="J580" i="3"/>
  <c r="K580" i="3"/>
  <c r="B581" i="3"/>
  <c r="C581" i="3"/>
  <c r="D581" i="3"/>
  <c r="E581" i="3"/>
  <c r="F581" i="3"/>
  <c r="G581" i="3"/>
  <c r="H581" i="3"/>
  <c r="I581" i="3"/>
  <c r="J581" i="3"/>
  <c r="K581" i="3"/>
  <c r="B582" i="3"/>
  <c r="C582" i="3"/>
  <c r="D582" i="3"/>
  <c r="E582" i="3"/>
  <c r="F582" i="3"/>
  <c r="G582" i="3"/>
  <c r="H582" i="3"/>
  <c r="I582" i="3"/>
  <c r="J582" i="3"/>
  <c r="K582" i="3"/>
  <c r="B583" i="3"/>
  <c r="C583" i="3"/>
  <c r="D583" i="3"/>
  <c r="E583" i="3"/>
  <c r="F583" i="3"/>
  <c r="G583" i="3"/>
  <c r="H583" i="3"/>
  <c r="I583" i="3"/>
  <c r="J583" i="3"/>
  <c r="K583" i="3"/>
  <c r="B584" i="3"/>
  <c r="C584" i="3"/>
  <c r="D584" i="3"/>
  <c r="E584" i="3"/>
  <c r="F584" i="3"/>
  <c r="G584" i="3"/>
  <c r="H584" i="3"/>
  <c r="I584" i="3"/>
  <c r="J584" i="3"/>
  <c r="K584" i="3"/>
  <c r="B585" i="3"/>
  <c r="C585" i="3"/>
  <c r="D585" i="3"/>
  <c r="E585" i="3"/>
  <c r="F585" i="3"/>
  <c r="G585" i="3"/>
  <c r="H585" i="3"/>
  <c r="I585" i="3"/>
  <c r="J585" i="3"/>
  <c r="K585" i="3"/>
  <c r="B586" i="3"/>
  <c r="C586" i="3"/>
  <c r="D586" i="3"/>
  <c r="E586" i="3"/>
  <c r="F586" i="3"/>
  <c r="G586" i="3"/>
  <c r="H586" i="3"/>
  <c r="I586" i="3"/>
  <c r="J586" i="3"/>
  <c r="K586" i="3"/>
  <c r="B587" i="3"/>
  <c r="C587" i="3"/>
  <c r="D587" i="3"/>
  <c r="E587" i="3"/>
  <c r="F587" i="3"/>
  <c r="G587" i="3"/>
  <c r="H587" i="3"/>
  <c r="I587" i="3"/>
  <c r="J587" i="3"/>
  <c r="K587" i="3"/>
  <c r="B588" i="3"/>
  <c r="C588" i="3"/>
  <c r="D588" i="3"/>
  <c r="E588" i="3"/>
  <c r="F588" i="3"/>
  <c r="G588" i="3"/>
  <c r="H588" i="3"/>
  <c r="I588" i="3"/>
  <c r="J588" i="3"/>
  <c r="K588" i="3"/>
  <c r="B589" i="3"/>
  <c r="C589" i="3"/>
  <c r="D589" i="3"/>
  <c r="E589" i="3"/>
  <c r="F589" i="3"/>
  <c r="G589" i="3"/>
  <c r="H589" i="3"/>
  <c r="I589" i="3"/>
  <c r="J589" i="3"/>
  <c r="K589" i="3"/>
  <c r="B590" i="3"/>
  <c r="C590" i="3"/>
  <c r="D590" i="3"/>
  <c r="E590" i="3"/>
  <c r="F590" i="3"/>
  <c r="G590" i="3"/>
  <c r="H590" i="3"/>
  <c r="I590" i="3"/>
  <c r="J590" i="3"/>
  <c r="K590" i="3"/>
  <c r="B591" i="3"/>
  <c r="C591" i="3"/>
  <c r="D591" i="3"/>
  <c r="E591" i="3"/>
  <c r="F591" i="3"/>
  <c r="G591" i="3"/>
  <c r="H591" i="3"/>
  <c r="I591" i="3"/>
  <c r="J591" i="3"/>
  <c r="K591" i="3"/>
  <c r="B592" i="3"/>
  <c r="C592" i="3"/>
  <c r="D592" i="3"/>
  <c r="E592" i="3"/>
  <c r="F592" i="3"/>
  <c r="G592" i="3"/>
  <c r="H592" i="3"/>
  <c r="I592" i="3"/>
  <c r="J592" i="3"/>
  <c r="K592" i="3"/>
  <c r="B593" i="3"/>
  <c r="C593" i="3"/>
  <c r="D593" i="3"/>
  <c r="E593" i="3"/>
  <c r="F593" i="3"/>
  <c r="G593" i="3"/>
  <c r="H593" i="3"/>
  <c r="I593" i="3"/>
  <c r="J593" i="3"/>
  <c r="K593" i="3"/>
  <c r="B594" i="3"/>
  <c r="C594" i="3"/>
  <c r="D594" i="3"/>
  <c r="E594" i="3"/>
  <c r="F594" i="3"/>
  <c r="G594" i="3"/>
  <c r="H594" i="3"/>
  <c r="I594" i="3"/>
  <c r="J594" i="3"/>
  <c r="K594" i="3"/>
  <c r="B595" i="3"/>
  <c r="C595" i="3"/>
  <c r="D595" i="3"/>
  <c r="E595" i="3"/>
  <c r="F595" i="3"/>
  <c r="G595" i="3"/>
  <c r="H595" i="3"/>
  <c r="I595" i="3"/>
  <c r="J595" i="3"/>
  <c r="K595" i="3"/>
  <c r="B596" i="3"/>
  <c r="C596" i="3"/>
  <c r="D596" i="3"/>
  <c r="E596" i="3"/>
  <c r="F596" i="3"/>
  <c r="G596" i="3"/>
  <c r="H596" i="3"/>
  <c r="I596" i="3"/>
  <c r="J596" i="3"/>
  <c r="K596" i="3"/>
  <c r="B597" i="3"/>
  <c r="C597" i="3"/>
  <c r="D597" i="3"/>
  <c r="E597" i="3"/>
  <c r="F597" i="3"/>
  <c r="G597" i="3"/>
  <c r="H597" i="3"/>
  <c r="I597" i="3"/>
  <c r="J597" i="3"/>
  <c r="K597" i="3"/>
  <c r="B598" i="3"/>
  <c r="C598" i="3"/>
  <c r="D598" i="3"/>
  <c r="E598" i="3"/>
  <c r="F598" i="3"/>
  <c r="G598" i="3"/>
  <c r="H598" i="3"/>
  <c r="I598" i="3"/>
  <c r="J598" i="3"/>
  <c r="K598" i="3"/>
  <c r="B599" i="3"/>
  <c r="C599" i="3"/>
  <c r="D599" i="3"/>
  <c r="E599" i="3"/>
  <c r="F599" i="3"/>
  <c r="G599" i="3"/>
  <c r="H599" i="3"/>
  <c r="I599" i="3"/>
  <c r="J599" i="3"/>
  <c r="K599" i="3"/>
  <c r="B601" i="3"/>
  <c r="C601" i="3"/>
  <c r="F601" i="3"/>
  <c r="H601" i="3"/>
  <c r="J601" i="3"/>
  <c r="B602" i="3"/>
  <c r="E602" i="3"/>
  <c r="F602" i="3"/>
  <c r="G602" i="3"/>
  <c r="H602" i="3"/>
  <c r="I602" i="3"/>
  <c r="J602" i="3"/>
  <c r="K602" i="3"/>
  <c r="B603" i="3"/>
  <c r="C603" i="3"/>
  <c r="F603" i="3"/>
  <c r="H603" i="3"/>
  <c r="J603" i="3"/>
  <c r="B604" i="3"/>
  <c r="E604" i="3"/>
  <c r="F604" i="3"/>
  <c r="G604" i="3"/>
  <c r="H604" i="3"/>
  <c r="I604" i="3"/>
  <c r="J604" i="3"/>
  <c r="K604" i="3"/>
  <c r="B605" i="3"/>
  <c r="C605" i="3"/>
  <c r="F605" i="3"/>
  <c r="H605" i="3"/>
  <c r="J605" i="3"/>
  <c r="B606" i="3"/>
  <c r="E606" i="3"/>
  <c r="F606" i="3"/>
  <c r="G606" i="3"/>
  <c r="H606" i="3"/>
  <c r="I606" i="3"/>
  <c r="J606" i="3"/>
  <c r="K606" i="3"/>
  <c r="B607" i="3"/>
  <c r="C607" i="3"/>
  <c r="F607" i="3"/>
  <c r="H607" i="3"/>
  <c r="J607" i="3"/>
  <c r="B608" i="3"/>
  <c r="E608" i="3"/>
  <c r="F608" i="3"/>
  <c r="G608" i="3"/>
  <c r="H608" i="3"/>
  <c r="I608" i="3"/>
  <c r="J608" i="3"/>
  <c r="K608" i="3"/>
  <c r="B609" i="3"/>
  <c r="C609" i="3"/>
  <c r="F609" i="3"/>
  <c r="H609" i="3"/>
  <c r="J609" i="3"/>
  <c r="B610" i="3"/>
  <c r="E610" i="3"/>
  <c r="F610" i="3"/>
  <c r="G610" i="3"/>
  <c r="H610" i="3"/>
  <c r="I610" i="3"/>
  <c r="J610" i="3"/>
  <c r="K610" i="3"/>
  <c r="B611" i="3"/>
  <c r="C611" i="3"/>
  <c r="F611" i="3"/>
  <c r="H611" i="3"/>
  <c r="J611" i="3"/>
  <c r="B612" i="3"/>
  <c r="E612" i="3"/>
  <c r="F612" i="3"/>
  <c r="G612" i="3"/>
  <c r="H612" i="3"/>
  <c r="I612" i="3"/>
  <c r="J612" i="3"/>
  <c r="K612" i="3"/>
  <c r="B613" i="3"/>
  <c r="C613" i="3"/>
  <c r="F613" i="3"/>
  <c r="H613" i="3"/>
  <c r="J613" i="3"/>
  <c r="B614" i="3"/>
  <c r="E614" i="3"/>
  <c r="F614" i="3"/>
  <c r="G614" i="3"/>
  <c r="H614" i="3"/>
  <c r="I614" i="3"/>
  <c r="J614" i="3"/>
  <c r="K614" i="3"/>
  <c r="B615" i="3"/>
  <c r="C615" i="3"/>
  <c r="F615" i="3"/>
  <c r="H615" i="3"/>
  <c r="J615" i="3"/>
  <c r="B616" i="3"/>
  <c r="E616" i="3"/>
  <c r="F616" i="3"/>
  <c r="G616" i="3"/>
  <c r="H616" i="3"/>
  <c r="I616" i="3"/>
  <c r="J616" i="3"/>
  <c r="K616" i="3"/>
  <c r="B617" i="3"/>
  <c r="C617" i="3"/>
  <c r="F617" i="3"/>
  <c r="H617" i="3"/>
  <c r="J617" i="3"/>
  <c r="B618" i="3"/>
  <c r="E618" i="3"/>
  <c r="F618" i="3"/>
  <c r="G618" i="3"/>
  <c r="H618" i="3"/>
  <c r="I618" i="3"/>
  <c r="J618" i="3"/>
  <c r="K618" i="3"/>
  <c r="B619" i="3"/>
  <c r="C619" i="3"/>
  <c r="F619" i="3"/>
  <c r="H619" i="3"/>
  <c r="J619" i="3"/>
  <c r="B620" i="3"/>
  <c r="E620" i="3"/>
  <c r="F620" i="3"/>
  <c r="G620" i="3"/>
  <c r="H620" i="3"/>
  <c r="I620" i="3"/>
  <c r="J620" i="3"/>
  <c r="K620" i="3"/>
  <c r="B621" i="3"/>
  <c r="C621" i="3"/>
  <c r="F621" i="3"/>
  <c r="H621" i="3"/>
  <c r="J621" i="3"/>
  <c r="B622" i="3"/>
  <c r="E622" i="3"/>
  <c r="F622" i="3"/>
  <c r="G622" i="3"/>
  <c r="H622" i="3"/>
  <c r="I622" i="3"/>
  <c r="J622" i="3"/>
  <c r="K622" i="3"/>
  <c r="B623" i="3"/>
  <c r="C623" i="3"/>
  <c r="F623" i="3"/>
  <c r="H623" i="3"/>
  <c r="J623" i="3"/>
  <c r="B624" i="3"/>
  <c r="E624" i="3"/>
  <c r="F624" i="3"/>
  <c r="G624" i="3"/>
  <c r="H624" i="3"/>
  <c r="I624" i="3"/>
  <c r="J624" i="3"/>
  <c r="K624" i="3"/>
  <c r="B625" i="3"/>
  <c r="C625" i="3"/>
  <c r="F625" i="3"/>
  <c r="H625" i="3"/>
  <c r="J625" i="3"/>
  <c r="A626" i="3"/>
  <c r="B626" i="3"/>
  <c r="C626" i="3"/>
  <c r="F626" i="3"/>
  <c r="H626" i="3"/>
  <c r="J626" i="3"/>
  <c r="A627" i="3"/>
  <c r="B627" i="3"/>
  <c r="C627" i="3"/>
  <c r="F627" i="3"/>
  <c r="H627" i="3"/>
  <c r="J627" i="3"/>
  <c r="A628" i="3"/>
  <c r="B628" i="3"/>
  <c r="C628" i="3"/>
  <c r="F628" i="3"/>
  <c r="H628" i="3"/>
  <c r="J628" i="3"/>
  <c r="A629" i="3"/>
  <c r="B629" i="3"/>
  <c r="C629" i="3"/>
  <c r="F629" i="3"/>
  <c r="H629" i="3"/>
  <c r="J629" i="3"/>
  <c r="A630" i="3"/>
  <c r="B630" i="3"/>
  <c r="C630" i="3"/>
  <c r="F630" i="3"/>
  <c r="H630" i="3"/>
  <c r="J630" i="3"/>
  <c r="A631" i="3"/>
  <c r="B631" i="3"/>
  <c r="C631" i="3"/>
  <c r="F631" i="3"/>
  <c r="H631" i="3"/>
  <c r="J631" i="3"/>
  <c r="A632" i="3"/>
  <c r="B632" i="3"/>
  <c r="C632" i="3"/>
  <c r="F632" i="3"/>
  <c r="H632" i="3"/>
  <c r="J632" i="3"/>
  <c r="A633" i="3"/>
  <c r="B633" i="3"/>
  <c r="C633" i="3"/>
  <c r="F633" i="3"/>
  <c r="H633" i="3"/>
  <c r="J633" i="3"/>
  <c r="A634" i="3"/>
  <c r="B634" i="3"/>
  <c r="C634" i="3"/>
  <c r="F634" i="3"/>
  <c r="H634" i="3"/>
  <c r="J634" i="3"/>
  <c r="A635" i="3"/>
  <c r="B635" i="3"/>
  <c r="C635" i="3"/>
  <c r="F635" i="3"/>
  <c r="H635" i="3"/>
  <c r="J635" i="3"/>
  <c r="A636" i="3"/>
  <c r="B636" i="3"/>
  <c r="C636" i="3"/>
  <c r="F636" i="3"/>
  <c r="H636" i="3"/>
  <c r="J636" i="3"/>
  <c r="A637" i="3"/>
  <c r="B637" i="3"/>
  <c r="C637" i="3"/>
  <c r="F637" i="3"/>
  <c r="H637" i="3"/>
  <c r="J637" i="3"/>
  <c r="A638" i="3"/>
  <c r="B638" i="3"/>
  <c r="C638" i="3"/>
  <c r="F638" i="3"/>
  <c r="H638" i="3"/>
  <c r="J638" i="3"/>
  <c r="A639" i="3"/>
  <c r="B639" i="3"/>
  <c r="C639" i="3"/>
  <c r="F639" i="3"/>
  <c r="H639" i="3"/>
  <c r="J639" i="3"/>
  <c r="A640" i="3"/>
  <c r="B640" i="3"/>
  <c r="C640" i="3"/>
  <c r="F640" i="3"/>
  <c r="H640" i="3"/>
  <c r="J640" i="3"/>
  <c r="A641" i="3"/>
  <c r="B641" i="3"/>
  <c r="C641" i="3"/>
  <c r="F641" i="3"/>
  <c r="H641" i="3"/>
  <c r="J641" i="3"/>
  <c r="A642" i="3"/>
  <c r="B642" i="3"/>
  <c r="C642" i="3"/>
  <c r="F642" i="3"/>
  <c r="H642" i="3"/>
  <c r="J642" i="3"/>
  <c r="A643" i="3"/>
  <c r="B643" i="3"/>
  <c r="C643" i="3"/>
  <c r="F643" i="3"/>
  <c r="H643" i="3"/>
  <c r="J643" i="3"/>
  <c r="A644" i="3"/>
  <c r="B644" i="3"/>
  <c r="C644" i="3"/>
  <c r="F644" i="3"/>
  <c r="H644" i="3"/>
  <c r="J644" i="3"/>
  <c r="A645" i="3"/>
  <c r="B645" i="3"/>
  <c r="C645" i="3"/>
  <c r="F645" i="3"/>
  <c r="H645" i="3"/>
  <c r="J645" i="3"/>
  <c r="A646" i="3"/>
  <c r="B646" i="3"/>
  <c r="C646" i="3"/>
  <c r="F646" i="3"/>
  <c r="H646" i="3"/>
  <c r="J646" i="3"/>
  <c r="A647" i="3"/>
  <c r="B647" i="3"/>
  <c r="C647" i="3"/>
  <c r="F647" i="3"/>
  <c r="H647" i="3"/>
  <c r="J647" i="3"/>
  <c r="A648" i="3"/>
  <c r="B648" i="3"/>
  <c r="C648" i="3"/>
  <c r="F648" i="3"/>
  <c r="H648" i="3"/>
  <c r="J648" i="3"/>
  <c r="A649" i="3"/>
  <c r="B649" i="3"/>
  <c r="C649" i="3"/>
  <c r="F649" i="3"/>
  <c r="H649" i="3"/>
  <c r="J649" i="3"/>
  <c r="C9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B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O614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A628" i="2"/>
  <c r="B628" i="2"/>
  <c r="D628" i="2"/>
  <c r="F628" i="2"/>
  <c r="H628" i="2"/>
  <c r="J628" i="2"/>
  <c r="L628" i="2"/>
  <c r="N628" i="2"/>
  <c r="A629" i="2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B630" i="2"/>
  <c r="D630" i="2"/>
  <c r="F630" i="2"/>
  <c r="H630" i="2"/>
  <c r="J630" i="2"/>
  <c r="L630" i="2"/>
  <c r="N630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B632" i="2"/>
  <c r="D632" i="2"/>
  <c r="F632" i="2"/>
  <c r="H632" i="2"/>
  <c r="J632" i="2"/>
  <c r="L632" i="2"/>
  <c r="N632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B634" i="2"/>
  <c r="D634" i="2"/>
  <c r="F634" i="2"/>
  <c r="H634" i="2"/>
  <c r="J634" i="2"/>
  <c r="L634" i="2"/>
  <c r="N634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B636" i="2"/>
  <c r="D636" i="2"/>
  <c r="F636" i="2"/>
  <c r="H636" i="2"/>
  <c r="J636" i="2"/>
  <c r="L636" i="2"/>
  <c r="N636" i="2"/>
  <c r="B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B638" i="2"/>
  <c r="D638" i="2"/>
  <c r="F638" i="2"/>
  <c r="H638" i="2"/>
  <c r="J638" i="2"/>
  <c r="L638" i="2"/>
  <c r="N638" i="2"/>
  <c r="B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O639" i="2"/>
  <c r="B640" i="2"/>
  <c r="D640" i="2"/>
  <c r="F640" i="2"/>
  <c r="H640" i="2"/>
  <c r="J640" i="2"/>
  <c r="L640" i="2"/>
  <c r="N640" i="2"/>
  <c r="B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B642" i="2"/>
  <c r="D642" i="2"/>
  <c r="F642" i="2"/>
  <c r="H642" i="2"/>
  <c r="J642" i="2"/>
  <c r="L642" i="2"/>
  <c r="N642" i="2"/>
  <c r="B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B644" i="2"/>
  <c r="D644" i="2"/>
  <c r="F644" i="2"/>
  <c r="H644" i="2"/>
  <c r="J644" i="2"/>
  <c r="L644" i="2"/>
  <c r="N644" i="2"/>
  <c r="B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O645" i="2"/>
  <c r="B646" i="2"/>
  <c r="D646" i="2"/>
  <c r="F646" i="2"/>
  <c r="H646" i="2"/>
  <c r="J646" i="2"/>
  <c r="L646" i="2"/>
  <c r="N646" i="2"/>
  <c r="B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B648" i="2"/>
  <c r="D648" i="2"/>
  <c r="F648" i="2"/>
  <c r="H648" i="2"/>
  <c r="J648" i="2"/>
  <c r="L648" i="2"/>
  <c r="N648" i="2"/>
  <c r="B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B650" i="2"/>
  <c r="D650" i="2"/>
  <c r="F650" i="2"/>
  <c r="H650" i="2"/>
  <c r="J650" i="2"/>
  <c r="L650" i="2"/>
  <c r="N650" i="2"/>
  <c r="B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M650" i="2" l="1"/>
  <c r="I650" i="2"/>
  <c r="E650" i="2"/>
  <c r="M648" i="2"/>
  <c r="I648" i="2"/>
  <c r="E648" i="2"/>
  <c r="M646" i="2"/>
  <c r="I646" i="2"/>
  <c r="E646" i="2"/>
  <c r="M644" i="2"/>
  <c r="I644" i="2"/>
  <c r="E644" i="2"/>
  <c r="M642" i="2"/>
  <c r="I642" i="2"/>
  <c r="E642" i="2"/>
  <c r="M640" i="2"/>
  <c r="I640" i="2"/>
  <c r="E640" i="2"/>
  <c r="M638" i="2"/>
  <c r="I638" i="2"/>
  <c r="E638" i="2"/>
  <c r="M636" i="2"/>
  <c r="I636" i="2"/>
  <c r="E636" i="2"/>
  <c r="M634" i="2"/>
  <c r="I634" i="2"/>
  <c r="E634" i="2"/>
  <c r="M632" i="2"/>
  <c r="I632" i="2"/>
  <c r="E632" i="2"/>
  <c r="M630" i="2"/>
  <c r="I630" i="2"/>
  <c r="E630" i="2"/>
  <c r="M628" i="2"/>
  <c r="I628" i="2"/>
  <c r="E628" i="2"/>
  <c r="K649" i="3"/>
  <c r="G649" i="3"/>
  <c r="O650" i="2"/>
  <c r="K650" i="2"/>
  <c r="G650" i="2"/>
  <c r="C650" i="2"/>
  <c r="O648" i="2"/>
  <c r="K648" i="2"/>
  <c r="G648" i="2"/>
  <c r="C648" i="2"/>
  <c r="O646" i="2"/>
  <c r="K646" i="2"/>
  <c r="G646" i="2"/>
  <c r="C646" i="2"/>
  <c r="O644" i="2"/>
  <c r="K644" i="2"/>
  <c r="G644" i="2"/>
  <c r="C644" i="2"/>
  <c r="O642" i="2"/>
  <c r="K642" i="2"/>
  <c r="G642" i="2"/>
  <c r="C642" i="2"/>
  <c r="O640" i="2"/>
  <c r="K640" i="2"/>
  <c r="G640" i="2"/>
  <c r="C640" i="2"/>
  <c r="O638" i="2"/>
  <c r="K638" i="2"/>
  <c r="G638" i="2"/>
  <c r="C638" i="2"/>
  <c r="O636" i="2"/>
  <c r="K636" i="2"/>
  <c r="G636" i="2"/>
  <c r="C636" i="2"/>
  <c r="O634" i="2"/>
  <c r="K634" i="2"/>
  <c r="G634" i="2"/>
  <c r="C634" i="2"/>
  <c r="O632" i="2"/>
  <c r="K632" i="2"/>
  <c r="G632" i="2"/>
  <c r="C632" i="2"/>
  <c r="O630" i="2"/>
  <c r="K630" i="2"/>
  <c r="G630" i="2"/>
  <c r="C630" i="2"/>
  <c r="O628" i="2"/>
  <c r="K628" i="2"/>
  <c r="G628" i="2"/>
  <c r="C628" i="2"/>
  <c r="I649" i="3"/>
  <c r="E649" i="3"/>
  <c r="K648" i="3"/>
  <c r="G648" i="3"/>
  <c r="K647" i="3"/>
  <c r="G647" i="3"/>
  <c r="K646" i="3"/>
  <c r="G646" i="3"/>
  <c r="K645" i="3"/>
  <c r="G645" i="3"/>
  <c r="K644" i="3"/>
  <c r="G644" i="3"/>
  <c r="K643" i="3"/>
  <c r="G643" i="3"/>
  <c r="K642" i="3"/>
  <c r="G642" i="3"/>
  <c r="K641" i="3"/>
  <c r="G641" i="3"/>
  <c r="K640" i="3"/>
  <c r="G640" i="3"/>
  <c r="K639" i="3"/>
  <c r="G639" i="3"/>
  <c r="K638" i="3"/>
  <c r="G638" i="3"/>
  <c r="K637" i="3"/>
  <c r="G637" i="3"/>
  <c r="K636" i="3"/>
  <c r="G636" i="3"/>
  <c r="K635" i="3"/>
  <c r="G635" i="3"/>
  <c r="K634" i="3"/>
  <c r="G634" i="3"/>
  <c r="K633" i="3"/>
  <c r="G633" i="3"/>
  <c r="K632" i="3"/>
  <c r="G632" i="3"/>
  <c r="K631" i="3"/>
  <c r="G631" i="3"/>
  <c r="K630" i="3"/>
  <c r="G630" i="3"/>
  <c r="K629" i="3"/>
  <c r="G629" i="3"/>
  <c r="K628" i="3"/>
  <c r="G628" i="3"/>
  <c r="K627" i="3"/>
  <c r="G627" i="3"/>
  <c r="K626" i="3"/>
  <c r="G626" i="3"/>
  <c r="K625" i="3"/>
  <c r="G625" i="3"/>
  <c r="C624" i="3"/>
  <c r="K623" i="3"/>
  <c r="G623" i="3"/>
  <c r="C622" i="3"/>
  <c r="K621" i="3"/>
  <c r="G621" i="3"/>
  <c r="C620" i="3"/>
  <c r="K619" i="3"/>
  <c r="G619" i="3"/>
  <c r="C618" i="3"/>
  <c r="K617" i="3"/>
  <c r="G617" i="3"/>
  <c r="C616" i="3"/>
  <c r="K615" i="3"/>
  <c r="G615" i="3"/>
  <c r="C614" i="3"/>
  <c r="K613" i="3"/>
  <c r="G613" i="3"/>
  <c r="C612" i="3"/>
  <c r="K611" i="3"/>
  <c r="G611" i="3"/>
  <c r="C610" i="3"/>
  <c r="K609" i="3"/>
  <c r="G609" i="3"/>
  <c r="C608" i="3"/>
  <c r="K607" i="3"/>
  <c r="G607" i="3"/>
  <c r="C606" i="3"/>
  <c r="K605" i="3"/>
  <c r="G605" i="3"/>
  <c r="C604" i="3"/>
  <c r="K603" i="3"/>
  <c r="G603" i="3"/>
  <c r="C602" i="3"/>
  <c r="I601" i="3"/>
  <c r="E601" i="3"/>
  <c r="H649" i="4"/>
  <c r="D649" i="4"/>
  <c r="H648" i="4"/>
  <c r="D648" i="4"/>
  <c r="H647" i="4"/>
  <c r="D647" i="4"/>
  <c r="H646" i="4"/>
  <c r="D646" i="4"/>
  <c r="H645" i="4"/>
  <c r="D645" i="4"/>
  <c r="H644" i="4"/>
  <c r="D644" i="4"/>
  <c r="H643" i="4"/>
  <c r="I648" i="3"/>
  <c r="E648" i="3"/>
  <c r="I647" i="3"/>
  <c r="E647" i="3"/>
  <c r="I646" i="3"/>
  <c r="E646" i="3"/>
  <c r="I645" i="3"/>
  <c r="E645" i="3"/>
  <c r="I644" i="3"/>
  <c r="E644" i="3"/>
  <c r="I643" i="3"/>
  <c r="E643" i="3"/>
  <c r="I642" i="3"/>
  <c r="E642" i="3"/>
  <c r="I641" i="3"/>
  <c r="E641" i="3"/>
  <c r="I640" i="3"/>
  <c r="E640" i="3"/>
  <c r="I639" i="3"/>
  <c r="E639" i="3"/>
  <c r="I638" i="3"/>
  <c r="E638" i="3"/>
  <c r="I637" i="3"/>
  <c r="E637" i="3"/>
  <c r="I636" i="3"/>
  <c r="E636" i="3"/>
  <c r="I635" i="3"/>
  <c r="E635" i="3"/>
  <c r="I634" i="3"/>
  <c r="E634" i="3"/>
  <c r="I633" i="3"/>
  <c r="E633" i="3"/>
  <c r="I632" i="3"/>
  <c r="E632" i="3"/>
  <c r="I631" i="3"/>
  <c r="E631" i="3"/>
  <c r="I630" i="3"/>
  <c r="E630" i="3"/>
  <c r="I629" i="3"/>
  <c r="E629" i="3"/>
  <c r="I628" i="3"/>
  <c r="E628" i="3"/>
  <c r="I627" i="3"/>
  <c r="E627" i="3"/>
  <c r="I626" i="3"/>
  <c r="E626" i="3"/>
  <c r="I625" i="3"/>
  <c r="E625" i="3"/>
  <c r="I623" i="3"/>
  <c r="E623" i="3"/>
  <c r="I621" i="3"/>
  <c r="E621" i="3"/>
  <c r="I619" i="3"/>
  <c r="E619" i="3"/>
  <c r="I617" i="3"/>
  <c r="E617" i="3"/>
  <c r="I615" i="3"/>
  <c r="E615" i="3"/>
  <c r="I613" i="3"/>
  <c r="E613" i="3"/>
  <c r="I611" i="3"/>
  <c r="E611" i="3"/>
  <c r="I609" i="3"/>
  <c r="E609" i="3"/>
  <c r="I607" i="3"/>
  <c r="E607" i="3"/>
  <c r="I605" i="3"/>
  <c r="E605" i="3"/>
  <c r="I603" i="3"/>
  <c r="E603" i="3"/>
  <c r="K601" i="3"/>
  <c r="G601" i="3"/>
  <c r="F649" i="4"/>
  <c r="B649" i="4"/>
  <c r="F648" i="4"/>
  <c r="B648" i="4"/>
  <c r="F647" i="4"/>
  <c r="B647" i="4"/>
  <c r="F646" i="4"/>
  <c r="B646" i="4"/>
  <c r="F645" i="4"/>
  <c r="B645" i="4"/>
  <c r="F644" i="4"/>
  <c r="B644" i="4"/>
  <c r="F643" i="4"/>
  <c r="B643" i="4"/>
  <c r="D643" i="4"/>
  <c r="H642" i="4"/>
  <c r="D642" i="4"/>
  <c r="H641" i="4"/>
  <c r="D641" i="4"/>
  <c r="H640" i="4"/>
  <c r="D640" i="4"/>
  <c r="H639" i="4"/>
  <c r="D639" i="4"/>
  <c r="H638" i="4"/>
  <c r="D638" i="4"/>
  <c r="H637" i="4"/>
  <c r="D637" i="4"/>
  <c r="H636" i="4"/>
  <c r="D636" i="4"/>
  <c r="H635" i="4"/>
  <c r="D635" i="4"/>
  <c r="H634" i="4"/>
  <c r="D634" i="4"/>
  <c r="H633" i="4"/>
  <c r="D633" i="4"/>
  <c r="H632" i="4"/>
  <c r="D632" i="4"/>
  <c r="H631" i="4"/>
  <c r="D631" i="4"/>
  <c r="H630" i="4"/>
  <c r="D630" i="4"/>
  <c r="H629" i="4"/>
  <c r="D629" i="4"/>
  <c r="H628" i="4"/>
  <c r="D628" i="4"/>
  <c r="H627" i="4"/>
  <c r="D627" i="4"/>
  <c r="H626" i="4"/>
  <c r="D626" i="4"/>
  <c r="H625" i="4"/>
  <c r="D625" i="4"/>
  <c r="I624" i="4"/>
  <c r="E624" i="4"/>
  <c r="H623" i="4"/>
  <c r="D623" i="4"/>
  <c r="I622" i="4"/>
  <c r="E622" i="4"/>
  <c r="H621" i="4"/>
  <c r="D621" i="4"/>
  <c r="I620" i="4"/>
  <c r="E620" i="4"/>
  <c r="H619" i="4"/>
  <c r="D619" i="4"/>
  <c r="I618" i="4"/>
  <c r="E618" i="4"/>
  <c r="H617" i="4"/>
  <c r="D617" i="4"/>
  <c r="I616" i="4"/>
  <c r="E616" i="4"/>
  <c r="H615" i="4"/>
  <c r="D615" i="4"/>
  <c r="I614" i="4"/>
  <c r="E614" i="4"/>
  <c r="H613" i="4"/>
  <c r="D613" i="4"/>
  <c r="I612" i="4"/>
  <c r="E612" i="4"/>
  <c r="H611" i="4"/>
  <c r="D611" i="4"/>
  <c r="I610" i="4"/>
  <c r="E610" i="4"/>
  <c r="H609" i="4"/>
  <c r="D609" i="4"/>
  <c r="I608" i="4"/>
  <c r="E608" i="4"/>
  <c r="H607" i="4"/>
  <c r="D607" i="4"/>
  <c r="I606" i="4"/>
  <c r="E606" i="4"/>
  <c r="H605" i="4"/>
  <c r="D605" i="4"/>
  <c r="I604" i="4"/>
  <c r="E604" i="4"/>
  <c r="H603" i="4"/>
  <c r="D603" i="4"/>
  <c r="I602" i="4"/>
  <c r="E602" i="4"/>
  <c r="F601" i="4"/>
  <c r="B601" i="4"/>
  <c r="AB533" i="5"/>
  <c r="F642" i="4"/>
  <c r="B642" i="4"/>
  <c r="F641" i="4"/>
  <c r="B641" i="4"/>
  <c r="F640" i="4"/>
  <c r="B640" i="4"/>
  <c r="F639" i="4"/>
  <c r="B639" i="4"/>
  <c r="F638" i="4"/>
  <c r="B638" i="4"/>
  <c r="F637" i="4"/>
  <c r="B637" i="4"/>
  <c r="F636" i="4"/>
  <c r="B636" i="4"/>
  <c r="F635" i="4"/>
  <c r="B635" i="4"/>
  <c r="F634" i="4"/>
  <c r="B634" i="4"/>
  <c r="F633" i="4"/>
  <c r="B633" i="4"/>
  <c r="F632" i="4"/>
  <c r="B632" i="4"/>
  <c r="F631" i="4"/>
  <c r="B631" i="4"/>
  <c r="F630" i="4"/>
  <c r="B630" i="4"/>
  <c r="F629" i="4"/>
  <c r="B629" i="4"/>
  <c r="F628" i="4"/>
  <c r="B628" i="4"/>
  <c r="F627" i="4"/>
  <c r="B627" i="4"/>
  <c r="F626" i="4"/>
  <c r="B626" i="4"/>
  <c r="F625" i="4"/>
  <c r="B625" i="4"/>
  <c r="G624" i="4"/>
  <c r="C624" i="4"/>
  <c r="F623" i="4"/>
  <c r="B623" i="4"/>
  <c r="G622" i="4"/>
  <c r="C622" i="4"/>
  <c r="F621" i="4"/>
  <c r="B621" i="4"/>
  <c r="G620" i="4"/>
  <c r="C620" i="4"/>
  <c r="F619" i="4"/>
  <c r="B619" i="4"/>
  <c r="G618" i="4"/>
  <c r="C618" i="4"/>
  <c r="F617" i="4"/>
  <c r="B617" i="4"/>
  <c r="G616" i="4"/>
  <c r="C616" i="4"/>
  <c r="F615" i="4"/>
  <c r="B615" i="4"/>
  <c r="G614" i="4"/>
  <c r="C614" i="4"/>
  <c r="F613" i="4"/>
  <c r="B613" i="4"/>
  <c r="G612" i="4"/>
  <c r="C612" i="4"/>
  <c r="F611" i="4"/>
  <c r="B611" i="4"/>
  <c r="G610" i="4"/>
  <c r="C610" i="4"/>
  <c r="F609" i="4"/>
  <c r="B609" i="4"/>
  <c r="G608" i="4"/>
  <c r="C608" i="4"/>
  <c r="F607" i="4"/>
  <c r="B607" i="4"/>
  <c r="G606" i="4"/>
  <c r="C606" i="4"/>
  <c r="F605" i="4"/>
  <c r="B605" i="4"/>
  <c r="G604" i="4"/>
  <c r="C604" i="4"/>
  <c r="F603" i="4"/>
  <c r="B603" i="4"/>
  <c r="G602" i="4"/>
  <c r="C602" i="4"/>
  <c r="H601" i="4"/>
  <c r="D601" i="4"/>
  <c r="AC650" i="5"/>
  <c r="AC648" i="5"/>
  <c r="AC647" i="5"/>
  <c r="AC646" i="5"/>
  <c r="AC509" i="5"/>
  <c r="AC445" i="5"/>
  <c r="AC443" i="5"/>
  <c r="AC441" i="5"/>
  <c r="AC437" i="5"/>
  <c r="AC435" i="5"/>
  <c r="AC433" i="5"/>
  <c r="AC431" i="5"/>
  <c r="AC429" i="5"/>
  <c r="AC427" i="5"/>
  <c r="AC425" i="5"/>
  <c r="AC423" i="5"/>
  <c r="AB389" i="5"/>
  <c r="AB385" i="5"/>
  <c r="AB381" i="5"/>
  <c r="AB377" i="5"/>
  <c r="AB373" i="5"/>
  <c r="AB369" i="5"/>
  <c r="AB365" i="5"/>
  <c r="AC511" i="5"/>
  <c r="AC469" i="5"/>
  <c r="AC467" i="5"/>
  <c r="AC465" i="5"/>
  <c r="AC463" i="5"/>
  <c r="AC461" i="5"/>
  <c r="AC459" i="5"/>
  <c r="AC457" i="5"/>
  <c r="AC455" i="5"/>
  <c r="AC453" i="5"/>
  <c r="AC451" i="5"/>
  <c r="AC449" i="5"/>
  <c r="AC447" i="5"/>
  <c r="AC533" i="5"/>
  <c r="AC531" i="5"/>
  <c r="AC529" i="5"/>
  <c r="AC527" i="5"/>
  <c r="AC525" i="5"/>
  <c r="AC523" i="5"/>
  <c r="AC521" i="5"/>
  <c r="AC519" i="5"/>
  <c r="AC517" i="5"/>
  <c r="AC644" i="5" s="1"/>
  <c r="AC515" i="5"/>
  <c r="AC513" i="5"/>
  <c r="AC493" i="5"/>
  <c r="AC491" i="5"/>
  <c r="AC489" i="5"/>
  <c r="AC485" i="5"/>
  <c r="AC483" i="5"/>
  <c r="AC481" i="5"/>
  <c r="AC479" i="5"/>
  <c r="AC477" i="5"/>
  <c r="AC475" i="5"/>
  <c r="AC473" i="5"/>
  <c r="AC471" i="5"/>
  <c r="AC397" i="5"/>
  <c r="AC395" i="5"/>
  <c r="AC393" i="5"/>
  <c r="AC391" i="5"/>
  <c r="AB387" i="5"/>
  <c r="AB383" i="5"/>
  <c r="AB379" i="5"/>
  <c r="AB375" i="5"/>
  <c r="AB371" i="5"/>
  <c r="AB367" i="5"/>
  <c r="AC635" i="5"/>
  <c r="AC399" i="5"/>
  <c r="AC388" i="5"/>
  <c r="AC384" i="5"/>
  <c r="W625" i="5"/>
  <c r="S625" i="5"/>
  <c r="O625" i="5"/>
  <c r="K625" i="5"/>
  <c r="G625" i="5"/>
  <c r="C625" i="5"/>
  <c r="W623" i="5"/>
  <c r="S623" i="5"/>
  <c r="O623" i="5"/>
  <c r="K623" i="5"/>
  <c r="G623" i="5"/>
  <c r="C623" i="5"/>
  <c r="W621" i="5"/>
  <c r="S621" i="5"/>
  <c r="O621" i="5"/>
  <c r="K621" i="5"/>
  <c r="G621" i="5"/>
  <c r="C621" i="5"/>
  <c r="W619" i="5"/>
  <c r="S619" i="5"/>
  <c r="O619" i="5"/>
  <c r="K619" i="5"/>
  <c r="G619" i="5"/>
  <c r="C619" i="5"/>
  <c r="W617" i="5"/>
  <c r="S617" i="5"/>
  <c r="O617" i="5"/>
  <c r="K617" i="5"/>
  <c r="G617" i="5"/>
  <c r="C617" i="5"/>
  <c r="W615" i="5"/>
  <c r="S615" i="5"/>
  <c r="O615" i="5"/>
  <c r="K615" i="5"/>
  <c r="G615" i="5"/>
  <c r="C615" i="5"/>
  <c r="W613" i="5"/>
  <c r="S613" i="5"/>
  <c r="O613" i="5"/>
  <c r="K613" i="5"/>
  <c r="G613" i="5"/>
  <c r="C613" i="5"/>
  <c r="W611" i="5"/>
  <c r="S611" i="5"/>
  <c r="O611" i="5"/>
  <c r="K611" i="5"/>
  <c r="G611" i="5"/>
  <c r="C611" i="5"/>
  <c r="X610" i="5"/>
  <c r="T610" i="5"/>
  <c r="P610" i="5"/>
  <c r="L610" i="5"/>
  <c r="H610" i="5"/>
  <c r="D610" i="5"/>
  <c r="X608" i="5"/>
  <c r="T608" i="5"/>
  <c r="P608" i="5"/>
  <c r="L608" i="5"/>
  <c r="H608" i="5"/>
  <c r="D608" i="5"/>
  <c r="X606" i="5"/>
  <c r="T606" i="5"/>
  <c r="X602" i="5"/>
  <c r="T602" i="5"/>
  <c r="P602" i="5"/>
  <c r="L602" i="5"/>
  <c r="G602" i="5"/>
  <c r="C602" i="5"/>
  <c r="U625" i="5"/>
  <c r="Q625" i="5"/>
  <c r="M625" i="5"/>
  <c r="I625" i="5"/>
  <c r="E625" i="5"/>
  <c r="U623" i="5"/>
  <c r="Q623" i="5"/>
  <c r="M623" i="5"/>
  <c r="I623" i="5"/>
  <c r="E623" i="5"/>
  <c r="U621" i="5"/>
  <c r="Q621" i="5"/>
  <c r="M621" i="5"/>
  <c r="I621" i="5"/>
  <c r="E621" i="5"/>
  <c r="U619" i="5"/>
  <c r="Q619" i="5"/>
  <c r="M619" i="5"/>
  <c r="I619" i="5"/>
  <c r="E619" i="5"/>
  <c r="U617" i="5"/>
  <c r="Q617" i="5"/>
  <c r="M617" i="5"/>
  <c r="I617" i="5"/>
  <c r="E617" i="5"/>
  <c r="U615" i="5"/>
  <c r="Q615" i="5"/>
  <c r="M615" i="5"/>
  <c r="I615" i="5"/>
  <c r="E615" i="5"/>
  <c r="U613" i="5"/>
  <c r="Q613" i="5"/>
  <c r="M613" i="5"/>
  <c r="I613" i="5"/>
  <c r="E613" i="5"/>
  <c r="U611" i="5"/>
  <c r="Q611" i="5"/>
  <c r="M611" i="5"/>
  <c r="I611" i="5"/>
  <c r="E611" i="5"/>
  <c r="V610" i="5"/>
  <c r="R610" i="5"/>
  <c r="N610" i="5"/>
  <c r="J610" i="5"/>
  <c r="F610" i="5"/>
  <c r="B610" i="5"/>
  <c r="V608" i="5"/>
  <c r="R608" i="5"/>
  <c r="N608" i="5"/>
  <c r="J608" i="5"/>
  <c r="F608" i="5"/>
  <c r="B608" i="5"/>
  <c r="V606" i="5"/>
  <c r="I606" i="5"/>
  <c r="E606" i="5"/>
  <c r="Z604" i="5"/>
  <c r="U603" i="5"/>
  <c r="Q603" i="5"/>
  <c r="M603" i="5"/>
  <c r="H603" i="5"/>
  <c r="D603" i="5"/>
  <c r="AB24" i="5"/>
  <c r="Z602" i="5"/>
  <c r="AC389" i="5"/>
  <c r="AC387" i="5"/>
  <c r="AC487" i="5"/>
  <c r="AC641" i="5" s="1"/>
  <c r="AB600" i="5"/>
  <c r="AB598" i="5"/>
  <c r="AB596" i="5"/>
  <c r="AB594" i="5"/>
  <c r="AB592" i="5"/>
  <c r="AB590" i="5"/>
  <c r="AB588" i="5"/>
  <c r="AB586" i="5"/>
  <c r="AB584" i="5"/>
  <c r="AB582" i="5"/>
  <c r="AB580" i="5"/>
  <c r="AB578" i="5"/>
  <c r="AB649" i="5" s="1"/>
  <c r="AB576" i="5"/>
  <c r="AB574" i="5"/>
  <c r="AB572" i="5"/>
  <c r="AB570" i="5"/>
  <c r="AB568" i="5"/>
  <c r="AB566" i="5"/>
  <c r="AB564" i="5"/>
  <c r="AB562" i="5"/>
  <c r="AB560" i="5"/>
  <c r="AB558" i="5"/>
  <c r="AB556" i="5"/>
  <c r="AB554" i="5"/>
  <c r="AB647" i="5" s="1"/>
  <c r="AB552" i="5"/>
  <c r="AB550" i="5"/>
  <c r="AB548" i="5"/>
  <c r="AB546" i="5"/>
  <c r="AB544" i="5"/>
  <c r="AB542" i="5"/>
  <c r="AB540" i="5"/>
  <c r="AB538" i="5"/>
  <c r="AB536" i="5"/>
  <c r="AB534" i="5"/>
  <c r="AB532" i="5"/>
  <c r="AB530" i="5"/>
  <c r="AB645" i="5" s="1"/>
  <c r="AB528" i="5"/>
  <c r="AB526" i="5"/>
  <c r="AB524" i="5"/>
  <c r="AB522" i="5"/>
  <c r="AB520" i="5"/>
  <c r="AB518" i="5"/>
  <c r="AB516" i="5"/>
  <c r="AB514" i="5"/>
  <c r="AB512" i="5"/>
  <c r="AB510" i="5"/>
  <c r="AB508" i="5"/>
  <c r="AB506" i="5"/>
  <c r="AB643" i="5" s="1"/>
  <c r="AB504" i="5"/>
  <c r="AB502" i="5"/>
  <c r="AB500" i="5"/>
  <c r="AB498" i="5"/>
  <c r="AB496" i="5"/>
  <c r="AB494" i="5"/>
  <c r="AB492" i="5"/>
  <c r="AB490" i="5"/>
  <c r="AB488" i="5"/>
  <c r="AB486" i="5"/>
  <c r="AB484" i="5"/>
  <c r="AB482" i="5"/>
  <c r="AB641" i="5" s="1"/>
  <c r="AB480" i="5"/>
  <c r="AB478" i="5"/>
  <c r="AB476" i="5"/>
  <c r="AB474" i="5"/>
  <c r="AB472" i="5"/>
  <c r="AB470" i="5"/>
  <c r="AB468" i="5"/>
  <c r="AB466" i="5"/>
  <c r="AB464" i="5"/>
  <c r="AB462" i="5"/>
  <c r="AB460" i="5"/>
  <c r="AB458" i="5"/>
  <c r="AB639" i="5" s="1"/>
  <c r="AB456" i="5"/>
  <c r="AB454" i="5"/>
  <c r="AB452" i="5"/>
  <c r="AB450" i="5"/>
  <c r="AB448" i="5"/>
  <c r="AB446" i="5"/>
  <c r="AB444" i="5"/>
  <c r="AB442" i="5"/>
  <c r="AB440" i="5"/>
  <c r="AB438" i="5"/>
  <c r="AB436" i="5"/>
  <c r="AB434" i="5"/>
  <c r="AB637" i="5" s="1"/>
  <c r="AB432" i="5"/>
  <c r="AB430" i="5"/>
  <c r="AB428" i="5"/>
  <c r="AB426" i="5"/>
  <c r="AB424" i="5"/>
  <c r="AB422" i="5"/>
  <c r="AB420" i="5"/>
  <c r="AB418" i="5"/>
  <c r="AB416" i="5"/>
  <c r="AB414" i="5"/>
  <c r="AB412" i="5"/>
  <c r="AB410" i="5"/>
  <c r="AB635" i="5" s="1"/>
  <c r="AB408" i="5"/>
  <c r="AB406" i="5"/>
  <c r="AB404" i="5"/>
  <c r="AB402" i="5"/>
  <c r="AB400" i="5"/>
  <c r="AB398" i="5"/>
  <c r="AB396" i="5"/>
  <c r="AB394" i="5"/>
  <c r="AB392" i="5"/>
  <c r="AB390" i="5"/>
  <c r="AB388" i="5"/>
  <c r="AB386" i="5"/>
  <c r="AB633" i="5" s="1"/>
  <c r="AB384" i="5"/>
  <c r="AB382" i="5"/>
  <c r="AB380" i="5"/>
  <c r="AB378" i="5"/>
  <c r="AB376" i="5"/>
  <c r="AB374" i="5"/>
  <c r="AB372" i="5"/>
  <c r="AB370" i="5"/>
  <c r="AB368" i="5"/>
  <c r="AB366" i="5"/>
  <c r="AB364" i="5"/>
  <c r="AB362" i="5"/>
  <c r="AB631" i="5" s="1"/>
  <c r="AB360" i="5"/>
  <c r="AB358" i="5"/>
  <c r="AB356" i="5"/>
  <c r="AB354" i="5"/>
  <c r="AB352" i="5"/>
  <c r="AB350" i="5"/>
  <c r="AB348" i="5"/>
  <c r="AB346" i="5"/>
  <c r="AB344" i="5"/>
  <c r="AB342" i="5"/>
  <c r="AB340" i="5"/>
  <c r="AB338" i="5"/>
  <c r="AB629" i="5" s="1"/>
  <c r="AB336" i="5"/>
  <c r="AB334" i="5"/>
  <c r="AB332" i="5"/>
  <c r="AB330" i="5"/>
  <c r="AB328" i="5"/>
  <c r="AB326" i="5"/>
  <c r="AB324" i="5"/>
  <c r="AB322" i="5"/>
  <c r="AB320" i="5"/>
  <c r="AB318" i="5"/>
  <c r="AB316" i="5"/>
  <c r="AB314" i="5"/>
  <c r="AB627" i="5" s="1"/>
  <c r="AB312" i="5"/>
  <c r="AB310" i="5"/>
  <c r="AB308" i="5"/>
  <c r="AB306" i="5"/>
  <c r="AB304" i="5"/>
  <c r="AB302" i="5"/>
  <c r="AB300" i="5"/>
  <c r="AB298" i="5"/>
  <c r="AB296" i="5"/>
  <c r="AB294" i="5"/>
  <c r="AB292" i="5"/>
  <c r="AB290" i="5"/>
  <c r="AB625" i="5" s="1"/>
  <c r="AB288" i="5"/>
  <c r="AB286" i="5"/>
  <c r="AB284" i="5"/>
  <c r="AB282" i="5"/>
  <c r="AB280" i="5"/>
  <c r="AB278" i="5"/>
  <c r="AB276" i="5"/>
  <c r="AB274" i="5"/>
  <c r="AB272" i="5"/>
  <c r="AB270" i="5"/>
  <c r="AB268" i="5"/>
  <c r="AB266" i="5"/>
  <c r="AB623" i="5" s="1"/>
  <c r="AB264" i="5"/>
  <c r="AB262" i="5"/>
  <c r="AB260" i="5"/>
  <c r="AB258" i="5"/>
  <c r="AB256" i="5"/>
  <c r="AB254" i="5"/>
  <c r="AB252" i="5"/>
  <c r="AB250" i="5"/>
  <c r="AB248" i="5"/>
  <c r="AB246" i="5"/>
  <c r="AB244" i="5"/>
  <c r="AB242" i="5"/>
  <c r="AB621" i="5" s="1"/>
  <c r="AB240" i="5"/>
  <c r="AB238" i="5"/>
  <c r="AB236" i="5"/>
  <c r="AB234" i="5"/>
  <c r="AB232" i="5"/>
  <c r="AB230" i="5"/>
  <c r="AB228" i="5"/>
  <c r="AB226" i="5"/>
  <c r="AB224" i="5"/>
  <c r="AB222" i="5"/>
  <c r="AB220" i="5"/>
  <c r="AB218" i="5"/>
  <c r="AB619" i="5" s="1"/>
  <c r="AB216" i="5"/>
  <c r="AB214" i="5"/>
  <c r="AB212" i="5"/>
  <c r="AB210" i="5"/>
  <c r="AB208" i="5"/>
  <c r="AB206" i="5"/>
  <c r="AB204" i="5"/>
  <c r="AB202" i="5"/>
  <c r="AB200" i="5"/>
  <c r="AB198" i="5"/>
  <c r="AB196" i="5"/>
  <c r="AB194" i="5"/>
  <c r="AB617" i="5" s="1"/>
  <c r="AB192" i="5"/>
  <c r="AB190" i="5"/>
  <c r="AB188" i="5"/>
  <c r="AB186" i="5"/>
  <c r="AB184" i="5"/>
  <c r="AB182" i="5"/>
  <c r="AB180" i="5"/>
  <c r="AB178" i="5"/>
  <c r="AB176" i="5"/>
  <c r="AB174" i="5"/>
  <c r="AB172" i="5"/>
  <c r="AB170" i="5"/>
  <c r="AB615" i="5" s="1"/>
  <c r="AB168" i="5"/>
  <c r="AB166" i="5"/>
  <c r="AB164" i="5"/>
  <c r="AB162" i="5"/>
  <c r="AB160" i="5"/>
  <c r="AB158" i="5"/>
  <c r="AB156" i="5"/>
  <c r="AB154" i="5"/>
  <c r="AB152" i="5"/>
  <c r="AB150" i="5"/>
  <c r="AB148" i="5"/>
  <c r="AB146" i="5"/>
  <c r="AB613" i="5" s="1"/>
  <c r="AB144" i="5"/>
  <c r="AB142" i="5"/>
  <c r="AB140" i="5"/>
  <c r="AB138" i="5"/>
  <c r="AB136" i="5"/>
  <c r="AB134" i="5"/>
  <c r="AB132" i="5"/>
  <c r="AB130" i="5"/>
  <c r="AB128" i="5"/>
  <c r="AB126" i="5"/>
  <c r="AB124" i="5"/>
  <c r="AB122" i="5"/>
  <c r="AB611" i="5" s="1"/>
  <c r="AB120" i="5"/>
  <c r="AB118" i="5"/>
  <c r="AC114" i="5"/>
  <c r="AB114" i="5"/>
  <c r="AC110" i="5"/>
  <c r="AB110" i="5"/>
  <c r="AC106" i="5"/>
  <c r="AB106" i="5"/>
  <c r="AC102" i="5"/>
  <c r="AB102" i="5"/>
  <c r="AC98" i="5"/>
  <c r="AB98" i="5"/>
  <c r="AC94" i="5"/>
  <c r="AB94" i="5"/>
  <c r="AC90" i="5"/>
  <c r="AB90" i="5"/>
  <c r="AC86" i="5"/>
  <c r="AB86" i="5"/>
  <c r="AC82" i="5"/>
  <c r="AB82" i="5"/>
  <c r="AC78" i="5"/>
  <c r="AB78" i="5"/>
  <c r="AC74" i="5"/>
  <c r="AB74" i="5"/>
  <c r="AC70" i="5"/>
  <c r="AB70" i="5"/>
  <c r="AC66" i="5"/>
  <c r="J606" i="5"/>
  <c r="H606" i="5"/>
  <c r="F606" i="5"/>
  <c r="D606" i="5"/>
  <c r="AB66" i="5"/>
  <c r="B606" i="5"/>
  <c r="R606" i="5"/>
  <c r="P606" i="5"/>
  <c r="AC62" i="5"/>
  <c r="N606" i="5"/>
  <c r="L606" i="5"/>
  <c r="AB62" i="5"/>
  <c r="AC58" i="5"/>
  <c r="AB58" i="5"/>
  <c r="AC54" i="5"/>
  <c r="AB54" i="5"/>
  <c r="AC50" i="5"/>
  <c r="AB50" i="5"/>
  <c r="AC46" i="5"/>
  <c r="AB46" i="5"/>
  <c r="AC42" i="5"/>
  <c r="AB42" i="5"/>
  <c r="I645" i="6"/>
  <c r="Q631" i="6"/>
  <c r="Q629" i="6"/>
  <c r="Q627" i="6"/>
  <c r="Q625" i="6"/>
  <c r="Q623" i="6"/>
  <c r="Q621" i="6"/>
  <c r="AC579" i="5"/>
  <c r="AC649" i="5" s="1"/>
  <c r="AC499" i="5"/>
  <c r="AC439" i="5"/>
  <c r="AC637" i="5" s="1"/>
  <c r="AC407" i="5"/>
  <c r="AC385" i="5"/>
  <c r="AC633" i="5" s="1"/>
  <c r="AC383" i="5"/>
  <c r="AC381" i="5"/>
  <c r="AC379" i="5"/>
  <c r="AC377" i="5"/>
  <c r="AC375" i="5"/>
  <c r="AC373" i="5"/>
  <c r="AC371" i="5"/>
  <c r="AC369" i="5"/>
  <c r="AC367" i="5"/>
  <c r="AC365" i="5"/>
  <c r="AC363" i="5"/>
  <c r="AC361" i="5"/>
  <c r="AC359" i="5"/>
  <c r="AC357" i="5"/>
  <c r="AC355" i="5"/>
  <c r="AC353" i="5"/>
  <c r="AC351" i="5"/>
  <c r="AC349" i="5"/>
  <c r="AC347" i="5"/>
  <c r="AC345" i="5"/>
  <c r="AC343" i="5"/>
  <c r="AC341" i="5"/>
  <c r="AC339" i="5"/>
  <c r="AC337" i="5"/>
  <c r="AC335" i="5"/>
  <c r="AC333" i="5"/>
  <c r="AC331" i="5"/>
  <c r="AC329" i="5"/>
  <c r="AC327" i="5"/>
  <c r="AC325" i="5"/>
  <c r="AC323" i="5"/>
  <c r="AC321" i="5"/>
  <c r="AC319" i="5"/>
  <c r="AC317" i="5"/>
  <c r="AC315" i="5"/>
  <c r="AC313" i="5"/>
  <c r="AC311" i="5"/>
  <c r="AC309" i="5"/>
  <c r="AC307" i="5"/>
  <c r="AC305" i="5"/>
  <c r="AC303" i="5"/>
  <c r="AC301" i="5"/>
  <c r="AC299" i="5"/>
  <c r="AC297" i="5"/>
  <c r="AC295" i="5"/>
  <c r="AC293" i="5"/>
  <c r="AC291" i="5"/>
  <c r="AC289" i="5"/>
  <c r="AC287" i="5"/>
  <c r="AC285" i="5"/>
  <c r="AC283" i="5"/>
  <c r="AC281" i="5"/>
  <c r="AC279" i="5"/>
  <c r="AC277" i="5"/>
  <c r="AC275" i="5"/>
  <c r="AC273" i="5"/>
  <c r="AC271" i="5"/>
  <c r="AC269" i="5"/>
  <c r="AC267" i="5"/>
  <c r="AC265" i="5"/>
  <c r="AC263" i="5"/>
  <c r="AC261" i="5"/>
  <c r="AC259" i="5"/>
  <c r="AC257" i="5"/>
  <c r="AC255" i="5"/>
  <c r="AC253" i="5"/>
  <c r="AC251" i="5"/>
  <c r="AC249" i="5"/>
  <c r="AC247" i="5"/>
  <c r="AC245" i="5"/>
  <c r="AC243" i="5"/>
  <c r="AC241" i="5"/>
  <c r="AC239" i="5"/>
  <c r="AC237" i="5"/>
  <c r="AC235" i="5"/>
  <c r="AC233" i="5"/>
  <c r="AC231" i="5"/>
  <c r="AC229" i="5"/>
  <c r="AC227" i="5"/>
  <c r="AC225" i="5"/>
  <c r="AC223" i="5"/>
  <c r="AC221" i="5"/>
  <c r="AC219" i="5"/>
  <c r="AC217" i="5"/>
  <c r="AC215" i="5"/>
  <c r="AC213" i="5"/>
  <c r="AC211" i="5"/>
  <c r="AC209" i="5"/>
  <c r="AC207" i="5"/>
  <c r="AC205" i="5"/>
  <c r="AC203" i="5"/>
  <c r="AC201" i="5"/>
  <c r="AC199" i="5"/>
  <c r="AC197" i="5"/>
  <c r="AC195" i="5"/>
  <c r="AC193" i="5"/>
  <c r="AC191" i="5"/>
  <c r="AC189" i="5"/>
  <c r="AC187" i="5"/>
  <c r="AC185" i="5"/>
  <c r="AC183" i="5"/>
  <c r="AC181" i="5"/>
  <c r="AC179" i="5"/>
  <c r="AC177" i="5"/>
  <c r="AC175" i="5"/>
  <c r="AC173" i="5"/>
  <c r="AC171" i="5"/>
  <c r="AC169" i="5"/>
  <c r="AC167" i="5"/>
  <c r="AC165" i="5"/>
  <c r="AC163" i="5"/>
  <c r="AC161" i="5"/>
  <c r="AC159" i="5"/>
  <c r="AC157" i="5"/>
  <c r="AC155" i="5"/>
  <c r="AC153" i="5"/>
  <c r="AC151" i="5"/>
  <c r="AC149" i="5"/>
  <c r="AC147" i="5"/>
  <c r="AC145" i="5"/>
  <c r="AC143" i="5"/>
  <c r="AC141" i="5"/>
  <c r="AC139" i="5"/>
  <c r="AC137" i="5"/>
  <c r="AC135" i="5"/>
  <c r="AC133" i="5"/>
  <c r="AC131" i="5"/>
  <c r="AC129" i="5"/>
  <c r="AC127" i="5"/>
  <c r="AC125" i="5"/>
  <c r="AC123" i="5"/>
  <c r="AC121" i="5"/>
  <c r="AC119" i="5"/>
  <c r="AC116" i="5"/>
  <c r="AB116" i="5"/>
  <c r="AC112" i="5"/>
  <c r="AB112" i="5"/>
  <c r="AC108" i="5"/>
  <c r="AB108" i="5"/>
  <c r="AC104" i="5"/>
  <c r="AB104" i="5"/>
  <c r="AC100" i="5"/>
  <c r="AB100" i="5"/>
  <c r="AC96" i="5"/>
  <c r="AB96" i="5"/>
  <c r="AC92" i="5"/>
  <c r="AB92" i="5"/>
  <c r="AC88" i="5"/>
  <c r="AB88" i="5"/>
  <c r="AC84" i="5"/>
  <c r="AB84" i="5"/>
  <c r="AC80" i="5"/>
  <c r="AB80" i="5"/>
  <c r="AC76" i="5"/>
  <c r="AB76" i="5"/>
  <c r="AC72" i="5"/>
  <c r="AB72" i="5"/>
  <c r="AC68" i="5"/>
  <c r="AB68" i="5"/>
  <c r="AC64" i="5"/>
  <c r="AB64" i="5"/>
  <c r="AC60" i="5"/>
  <c r="AB60" i="5"/>
  <c r="AC56" i="5"/>
  <c r="AB56" i="5"/>
  <c r="AC52" i="5"/>
  <c r="AB52" i="5"/>
  <c r="AC48" i="5"/>
  <c r="AB48" i="5"/>
  <c r="AC44" i="5"/>
  <c r="AB44" i="5"/>
  <c r="AC40" i="5"/>
  <c r="AB40" i="5"/>
  <c r="AC38" i="5"/>
  <c r="AC604" i="5" s="1"/>
  <c r="AC36" i="5"/>
  <c r="N603" i="5"/>
  <c r="AC34" i="5"/>
  <c r="AC32" i="5"/>
  <c r="AC30" i="5"/>
  <c r="AC28" i="5"/>
  <c r="Z603" i="5"/>
  <c r="AC26" i="5"/>
  <c r="AC24" i="5"/>
  <c r="M602" i="5"/>
  <c r="AC22" i="5"/>
  <c r="AC20" i="5"/>
  <c r="AC18" i="5"/>
  <c r="AC16" i="5"/>
  <c r="L589" i="6"/>
  <c r="L585" i="6"/>
  <c r="L583" i="6"/>
  <c r="L581" i="6"/>
  <c r="L579" i="6"/>
  <c r="L576" i="6"/>
  <c r="L565" i="6"/>
  <c r="L561" i="6"/>
  <c r="L559" i="6"/>
  <c r="L557" i="6"/>
  <c r="L555" i="6"/>
  <c r="L552" i="6"/>
  <c r="L541" i="6"/>
  <c r="L537" i="6"/>
  <c r="L535" i="6"/>
  <c r="L533" i="6"/>
  <c r="L531" i="6"/>
  <c r="L528" i="6"/>
  <c r="E644" i="6"/>
  <c r="E646" i="6"/>
  <c r="E648" i="6"/>
  <c r="E645" i="6"/>
  <c r="E647" i="6"/>
  <c r="E649" i="6"/>
  <c r="L517" i="6"/>
  <c r="C644" i="6"/>
  <c r="C646" i="6"/>
  <c r="C648" i="6"/>
  <c r="L513" i="6"/>
  <c r="T649" i="6"/>
  <c r="N649" i="6"/>
  <c r="Q511" i="6"/>
  <c r="R649" i="6"/>
  <c r="I648" i="6"/>
  <c r="F649" i="6"/>
  <c r="L511" i="6"/>
  <c r="D649" i="6"/>
  <c r="D648" i="6"/>
  <c r="T647" i="6"/>
  <c r="T648" i="6"/>
  <c r="N647" i="6"/>
  <c r="N648" i="6"/>
  <c r="Q509" i="6"/>
  <c r="R647" i="6"/>
  <c r="I646" i="6"/>
  <c r="F647" i="6"/>
  <c r="L509" i="6"/>
  <c r="D647" i="6"/>
  <c r="D646" i="6"/>
  <c r="T645" i="6"/>
  <c r="T646" i="6"/>
  <c r="N645" i="6"/>
  <c r="N646" i="6"/>
  <c r="Q507" i="6"/>
  <c r="R643" i="6"/>
  <c r="R645" i="6"/>
  <c r="I644" i="6"/>
  <c r="F643" i="6"/>
  <c r="F645" i="6"/>
  <c r="L507" i="6"/>
  <c r="D643" i="6"/>
  <c r="D645" i="6"/>
  <c r="D642" i="6"/>
  <c r="D644" i="6"/>
  <c r="T643" i="6"/>
  <c r="T642" i="6"/>
  <c r="T644" i="6"/>
  <c r="N643" i="6"/>
  <c r="N642" i="6"/>
  <c r="N644" i="6"/>
  <c r="S504" i="6"/>
  <c r="Q642" i="6"/>
  <c r="I642" i="6"/>
  <c r="L504" i="6"/>
  <c r="C642" i="6"/>
  <c r="Q493" i="6"/>
  <c r="R641" i="6"/>
  <c r="L493" i="6"/>
  <c r="F641" i="6"/>
  <c r="D641" i="6"/>
  <c r="L489" i="6"/>
  <c r="L487" i="6"/>
  <c r="L485" i="6"/>
  <c r="L483" i="6"/>
  <c r="D640" i="6"/>
  <c r="T640" i="6"/>
  <c r="N640" i="6"/>
  <c r="S480" i="6"/>
  <c r="S640" i="6" s="1"/>
  <c r="Q640" i="6"/>
  <c r="I640" i="6"/>
  <c r="L480" i="6"/>
  <c r="C640" i="6"/>
  <c r="Q469" i="6"/>
  <c r="R639" i="6"/>
  <c r="L469" i="6"/>
  <c r="F639" i="6"/>
  <c r="D639" i="6"/>
  <c r="L465" i="6"/>
  <c r="L463" i="6"/>
  <c r="L461" i="6"/>
  <c r="L459" i="6"/>
  <c r="D638" i="6"/>
  <c r="T638" i="6"/>
  <c r="N638" i="6"/>
  <c r="S456" i="6"/>
  <c r="S638" i="6" s="1"/>
  <c r="Q638" i="6"/>
  <c r="I638" i="6"/>
  <c r="L456" i="6"/>
  <c r="C638" i="6"/>
  <c r="Q445" i="6"/>
  <c r="R637" i="6"/>
  <c r="L445" i="6"/>
  <c r="F637" i="6"/>
  <c r="D637" i="6"/>
  <c r="L441" i="6"/>
  <c r="L439" i="6"/>
  <c r="L437" i="6"/>
  <c r="L435" i="6"/>
  <c r="D636" i="6"/>
  <c r="T636" i="6"/>
  <c r="N636" i="6"/>
  <c r="S432" i="6"/>
  <c r="S636" i="6" s="1"/>
  <c r="Q636" i="6"/>
  <c r="I636" i="6"/>
  <c r="L432" i="6"/>
  <c r="C636" i="6"/>
  <c r="Q421" i="6"/>
  <c r="R635" i="6"/>
  <c r="L421" i="6"/>
  <c r="F635" i="6"/>
  <c r="D635" i="6"/>
  <c r="L417" i="6"/>
  <c r="L415" i="6"/>
  <c r="L413" i="6"/>
  <c r="L411" i="6"/>
  <c r="D634" i="6"/>
  <c r="T634" i="6"/>
  <c r="N634" i="6"/>
  <c r="S408" i="6"/>
  <c r="S634" i="6" s="1"/>
  <c r="Q634" i="6"/>
  <c r="I634" i="6"/>
  <c r="L408" i="6"/>
  <c r="C634" i="6"/>
  <c r="Q397" i="6"/>
  <c r="R633" i="6"/>
  <c r="L397" i="6"/>
  <c r="F633" i="6"/>
  <c r="D633" i="6"/>
  <c r="L393" i="6"/>
  <c r="L391" i="6"/>
  <c r="L389" i="6"/>
  <c r="L387" i="6"/>
  <c r="D632" i="6"/>
  <c r="T632" i="6"/>
  <c r="N632" i="6"/>
  <c r="S384" i="6"/>
  <c r="S632" i="6" s="1"/>
  <c r="Q632" i="6"/>
  <c r="I632" i="6"/>
  <c r="L384" i="6"/>
  <c r="C632" i="6"/>
  <c r="S360" i="6"/>
  <c r="S630" i="6" s="1"/>
  <c r="Q630" i="6"/>
  <c r="S336" i="6"/>
  <c r="S628" i="6" s="1"/>
  <c r="Q628" i="6"/>
  <c r="S312" i="6"/>
  <c r="S626" i="6" s="1"/>
  <c r="Q626" i="6"/>
  <c r="S288" i="6"/>
  <c r="S624" i="6" s="1"/>
  <c r="Q624" i="6"/>
  <c r="L624" i="6"/>
  <c r="S264" i="6"/>
  <c r="S622" i="6" s="1"/>
  <c r="Q622" i="6"/>
  <c r="L622" i="6"/>
  <c r="S240" i="6"/>
  <c r="S620" i="6" s="1"/>
  <c r="Q620" i="6"/>
  <c r="L620" i="6"/>
  <c r="AC117" i="5"/>
  <c r="AC115" i="5"/>
  <c r="AC113" i="5"/>
  <c r="AC111" i="5"/>
  <c r="AC109" i="5"/>
  <c r="AC107" i="5"/>
  <c r="AC105" i="5"/>
  <c r="AC103" i="5"/>
  <c r="AC101" i="5"/>
  <c r="AC99" i="5"/>
  <c r="AC97" i="5"/>
  <c r="AC95" i="5"/>
  <c r="AC93" i="5"/>
  <c r="AC91" i="5"/>
  <c r="AC89" i="5"/>
  <c r="AC87" i="5"/>
  <c r="AC85" i="5"/>
  <c r="AC83" i="5"/>
  <c r="AC81" i="5"/>
  <c r="AC79" i="5"/>
  <c r="AC77" i="5"/>
  <c r="AC75" i="5"/>
  <c r="AC73" i="5"/>
  <c r="AC71" i="5"/>
  <c r="AC69" i="5"/>
  <c r="AC67" i="5"/>
  <c r="AC65" i="5"/>
  <c r="AB63" i="5"/>
  <c r="AB61" i="5"/>
  <c r="AB59" i="5"/>
  <c r="AB57" i="5"/>
  <c r="AB55" i="5"/>
  <c r="AB53" i="5"/>
  <c r="AB51" i="5"/>
  <c r="AB49" i="5"/>
  <c r="AB47" i="5"/>
  <c r="AB45" i="5"/>
  <c r="AB43" i="5"/>
  <c r="AB41" i="5"/>
  <c r="AB39" i="5"/>
  <c r="AB37" i="5"/>
  <c r="AB35" i="5"/>
  <c r="AB603" i="5" s="1"/>
  <c r="AC33" i="5"/>
  <c r="AC31" i="5"/>
  <c r="AC29" i="5"/>
  <c r="AC27" i="5"/>
  <c r="AC25" i="5"/>
  <c r="AC23" i="5"/>
  <c r="AB21" i="5"/>
  <c r="AB19" i="5"/>
  <c r="AB17" i="5"/>
  <c r="AB602" i="5" s="1"/>
  <c r="L598" i="6"/>
  <c r="L587" i="6"/>
  <c r="L584" i="6"/>
  <c r="L582" i="6"/>
  <c r="L580" i="6"/>
  <c r="L578" i="6"/>
  <c r="L574" i="6"/>
  <c r="L563" i="6"/>
  <c r="L560" i="6"/>
  <c r="L558" i="6"/>
  <c r="L556" i="6"/>
  <c r="L554" i="6"/>
  <c r="L550" i="6"/>
  <c r="L539" i="6"/>
  <c r="L536" i="6"/>
  <c r="L534" i="6"/>
  <c r="L532" i="6"/>
  <c r="L530" i="6"/>
  <c r="L526" i="6"/>
  <c r="L515" i="6"/>
  <c r="L512" i="6"/>
  <c r="L510" i="6"/>
  <c r="L648" i="6" s="1"/>
  <c r="L508" i="6"/>
  <c r="L506" i="6"/>
  <c r="L502" i="6"/>
  <c r="L641" i="6" s="1"/>
  <c r="L491" i="6"/>
  <c r="L488" i="6"/>
  <c r="L486" i="6"/>
  <c r="L484" i="6"/>
  <c r="L482" i="6"/>
  <c r="L478" i="6"/>
  <c r="L639" i="6" s="1"/>
  <c r="L467" i="6"/>
  <c r="L464" i="6"/>
  <c r="L462" i="6"/>
  <c r="L460" i="6"/>
  <c r="L458" i="6"/>
  <c r="L454" i="6"/>
  <c r="L637" i="6" s="1"/>
  <c r="L443" i="6"/>
  <c r="L440" i="6"/>
  <c r="L438" i="6"/>
  <c r="L436" i="6"/>
  <c r="L434" i="6"/>
  <c r="L430" i="6"/>
  <c r="L635" i="6" s="1"/>
  <c r="L419" i="6"/>
  <c r="L416" i="6"/>
  <c r="L414" i="6"/>
  <c r="L412" i="6"/>
  <c r="L410" i="6"/>
  <c r="L406" i="6"/>
  <c r="L633" i="6" s="1"/>
  <c r="L395" i="6"/>
  <c r="L392" i="6"/>
  <c r="L390" i="6"/>
  <c r="L388" i="6"/>
  <c r="L386" i="6"/>
  <c r="L236" i="6"/>
  <c r="L234" i="6"/>
  <c r="L232" i="6"/>
  <c r="L230" i="6"/>
  <c r="L226" i="6"/>
  <c r="L215" i="6"/>
  <c r="L212" i="6"/>
  <c r="L210" i="6"/>
  <c r="L208" i="6"/>
  <c r="L206" i="6"/>
  <c r="L202" i="6"/>
  <c r="L191" i="6"/>
  <c r="L188" i="6"/>
  <c r="L186" i="6"/>
  <c r="L184" i="6"/>
  <c r="L182" i="6"/>
  <c r="L178" i="6"/>
  <c r="L167" i="6"/>
  <c r="L164" i="6"/>
  <c r="L162" i="6"/>
  <c r="L160" i="6"/>
  <c r="L158" i="6"/>
  <c r="L154" i="6"/>
  <c r="L143" i="6"/>
  <c r="L140" i="6"/>
  <c r="L138" i="6"/>
  <c r="L136" i="6"/>
  <c r="L134" i="6"/>
  <c r="L130" i="6"/>
  <c r="L235" i="6"/>
  <c r="L233" i="6"/>
  <c r="L231" i="6"/>
  <c r="L228" i="6"/>
  <c r="L619" i="6" s="1"/>
  <c r="L217" i="6"/>
  <c r="L618" i="6" s="1"/>
  <c r="L213" i="6"/>
  <c r="L211" i="6"/>
  <c r="L209" i="6"/>
  <c r="L207" i="6"/>
  <c r="L204" i="6"/>
  <c r="L617" i="6" s="1"/>
  <c r="L193" i="6"/>
  <c r="L616" i="6" s="1"/>
  <c r="L189" i="6"/>
  <c r="L187" i="6"/>
  <c r="L185" i="6"/>
  <c r="L183" i="6"/>
  <c r="L180" i="6"/>
  <c r="L615" i="6" s="1"/>
  <c r="L169" i="6"/>
  <c r="L614" i="6" s="1"/>
  <c r="L165" i="6"/>
  <c r="L163" i="6"/>
  <c r="L161" i="6"/>
  <c r="L159" i="6"/>
  <c r="L156" i="6"/>
  <c r="L613" i="6" s="1"/>
  <c r="L145" i="6"/>
  <c r="L612" i="6" s="1"/>
  <c r="L141" i="6"/>
  <c r="L139" i="6"/>
  <c r="L137" i="6"/>
  <c r="L135" i="6"/>
  <c r="L132" i="6"/>
  <c r="L122" i="6"/>
  <c r="L610" i="6" s="1"/>
  <c r="L68" i="6"/>
  <c r="L66" i="6"/>
  <c r="S33" i="6"/>
  <c r="S29" i="6"/>
  <c r="S602" i="6" s="1"/>
  <c r="S19" i="6"/>
  <c r="S601" i="6" s="1"/>
  <c r="L69" i="6"/>
  <c r="L67" i="6"/>
  <c r="L65" i="6"/>
  <c r="L605" i="6" s="1"/>
  <c r="AC603" i="5" l="1"/>
  <c r="AC607" i="5"/>
  <c r="AB604" i="5"/>
  <c r="AB606" i="5"/>
  <c r="AC608" i="5"/>
  <c r="AC610" i="5"/>
  <c r="AC611" i="5"/>
  <c r="AC613" i="5"/>
  <c r="AC615" i="5"/>
  <c r="AC617" i="5"/>
  <c r="AC619" i="5"/>
  <c r="AC645" i="5"/>
  <c r="AC639" i="5"/>
  <c r="AB605" i="5"/>
  <c r="AC609" i="5"/>
  <c r="AC612" i="5"/>
  <c r="AC614" i="5"/>
  <c r="AC616" i="5"/>
  <c r="AC618" i="5"/>
  <c r="AB612" i="5"/>
  <c r="AB614" i="5"/>
  <c r="AB616" i="5"/>
  <c r="AB618" i="5"/>
  <c r="AB620" i="5"/>
  <c r="AB622" i="5"/>
  <c r="AB624" i="5"/>
  <c r="AB626" i="5"/>
  <c r="AB628" i="5"/>
  <c r="AB630" i="5"/>
  <c r="AB632" i="5"/>
  <c r="AB634" i="5"/>
  <c r="AB636" i="5"/>
  <c r="AB638" i="5"/>
  <c r="AB640" i="5"/>
  <c r="AB642" i="5"/>
  <c r="AB644" i="5"/>
  <c r="AB646" i="5"/>
  <c r="AB648" i="5"/>
  <c r="AB650" i="5"/>
  <c r="L611" i="6"/>
  <c r="L646" i="6"/>
  <c r="L632" i="6"/>
  <c r="S421" i="6"/>
  <c r="S635" i="6" s="1"/>
  <c r="Q635" i="6"/>
  <c r="AC422" i="5"/>
  <c r="AC636" i="5" s="1"/>
  <c r="L636" i="6"/>
  <c r="S469" i="6"/>
  <c r="S639" i="6" s="1"/>
  <c r="Q639" i="6"/>
  <c r="AC470" i="5"/>
  <c r="AC640" i="5" s="1"/>
  <c r="L640" i="6"/>
  <c r="L647" i="6"/>
  <c r="S509" i="6"/>
  <c r="Q646" i="6"/>
  <c r="AC510" i="5"/>
  <c r="Q647" i="6"/>
  <c r="AC620" i="5"/>
  <c r="AC621" i="5"/>
  <c r="AC622" i="5"/>
  <c r="AC623" i="5"/>
  <c r="AC624" i="5"/>
  <c r="AC625" i="5"/>
  <c r="AC626" i="5"/>
  <c r="AC627" i="5"/>
  <c r="AC628" i="5"/>
  <c r="AC629" i="5"/>
  <c r="AC630" i="5"/>
  <c r="AC631" i="5"/>
  <c r="AC632" i="5"/>
  <c r="L643" i="6"/>
  <c r="L644" i="6"/>
  <c r="S397" i="6"/>
  <c r="S633" i="6" s="1"/>
  <c r="Q633" i="6"/>
  <c r="AC398" i="5"/>
  <c r="AC634" i="5" s="1"/>
  <c r="L634" i="6"/>
  <c r="S445" i="6"/>
  <c r="S637" i="6" s="1"/>
  <c r="Q637" i="6"/>
  <c r="AC446" i="5"/>
  <c r="AC638" i="5" s="1"/>
  <c r="L638" i="6"/>
  <c r="S493" i="6"/>
  <c r="S641" i="6" s="1"/>
  <c r="Q641" i="6"/>
  <c r="AC494" i="5"/>
  <c r="AC642" i="5" s="1"/>
  <c r="L642" i="6"/>
  <c r="L645" i="6"/>
  <c r="S507" i="6"/>
  <c r="Q644" i="6"/>
  <c r="Q643" i="6"/>
  <c r="Q645" i="6"/>
  <c r="AC508" i="5"/>
  <c r="L649" i="6"/>
  <c r="S511" i="6"/>
  <c r="Q648" i="6"/>
  <c r="AC512" i="5"/>
  <c r="Q649" i="6"/>
  <c r="AC602" i="5"/>
  <c r="AC605" i="5"/>
  <c r="AC606" i="5"/>
  <c r="AB607" i="5"/>
  <c r="AB608" i="5"/>
  <c r="AB609" i="5"/>
  <c r="AB610" i="5"/>
  <c r="S648" i="6" l="1"/>
  <c r="S649" i="6"/>
  <c r="AC643" i="5"/>
  <c r="S644" i="6"/>
  <c r="S643" i="6"/>
  <c r="S645" i="6"/>
  <c r="S646" i="6"/>
  <c r="S647" i="6"/>
  <c r="S642" i="6"/>
</calcChain>
</file>

<file path=xl/sharedStrings.xml><?xml version="1.0" encoding="utf-8"?>
<sst xmlns="http://schemas.openxmlformats.org/spreadsheetml/2006/main" count="254" uniqueCount="101">
  <si>
    <t>WITHOUT NOx</t>
  </si>
  <si>
    <t>WITH NOx</t>
  </si>
  <si>
    <t>Selection</t>
  </si>
  <si>
    <t>Natural Gas</t>
  </si>
  <si>
    <t>WITHOUT SO2 &amp; NOx</t>
  </si>
  <si>
    <t>WITH SO2 &amp; NOx</t>
  </si>
  <si>
    <t>Heavy Oil SO2</t>
  </si>
  <si>
    <t>HIGH PRICES</t>
  </si>
  <si>
    <t>MEDIUM PRICES</t>
  </si>
  <si>
    <t>LOW PRICES</t>
  </si>
  <si>
    <t>Coal</t>
  </si>
  <si>
    <t>Light Oil SO2</t>
  </si>
  <si>
    <t>Heavy Oil</t>
  </si>
  <si>
    <t>Light Oil</t>
  </si>
  <si>
    <t>$/MMBTU</t>
  </si>
  <si>
    <t>MONTH</t>
  </si>
  <si>
    <t>DISPATCH PRICE WITH SO2 &amp; NOx</t>
  </si>
  <si>
    <t>DISPATCH PRICE WITHOUT SO2 &amp; NOx</t>
  </si>
  <si>
    <t>WEIGHTED AVERAGE WITH SO2 &amp; NOx</t>
  </si>
  <si>
    <t>WEIGHTED AVERAGE WITHOUT SO2 &amp; NOx</t>
  </si>
  <si>
    <t>CEDAR BAY</t>
  </si>
  <si>
    <t>ICL</t>
  </si>
  <si>
    <t>ST. JOHNS RIVER POWER PARK</t>
  </si>
  <si>
    <t>PLANT SCHERER UNIT 4</t>
  </si>
  <si>
    <t>HIGH</t>
  </si>
  <si>
    <t>LOW</t>
  </si>
  <si>
    <t xml:space="preserve"> </t>
  </si>
  <si>
    <t>March 04, 2013 - EUGENE UNGAR</t>
  </si>
  <si>
    <t>RIVIERA</t>
  </si>
  <si>
    <t>CANAVERAL</t>
  </si>
  <si>
    <t>MARTIN</t>
  </si>
  <si>
    <t>PUTNAM</t>
  </si>
  <si>
    <t>FT MYERS</t>
  </si>
  <si>
    <t>LAUDERDALE</t>
  </si>
  <si>
    <t>PORT EVERGLADES</t>
  </si>
  <si>
    <t>OLEANDER</t>
  </si>
  <si>
    <t>WCEC</t>
  </si>
  <si>
    <t>TURKEY POINT</t>
  </si>
  <si>
    <t>$/BBL.</t>
  </si>
  <si>
    <t>WTI</t>
  </si>
  <si>
    <t>RIVIERA 1%</t>
  </si>
  <si>
    <t>SANFORD 1%</t>
  </si>
  <si>
    <t>INDIAN RIVER &amp; CANAVERAL 1%</t>
  </si>
  <si>
    <r>
      <t>TURKEY POINT 1%</t>
    </r>
    <r>
      <rPr>
        <b/>
        <sz val="14"/>
        <rFont val="Arial"/>
        <family val="2"/>
      </rPr>
      <t>/</t>
    </r>
    <r>
      <rPr>
        <b/>
        <sz val="14"/>
        <color indexed="17"/>
        <rFont val="Arial"/>
        <family val="2"/>
      </rPr>
      <t>0.7%</t>
    </r>
  </si>
  <si>
    <t>MANATEE 1%</t>
  </si>
  <si>
    <t>PORT EVERGLADES 1%</t>
  </si>
  <si>
    <t>MARTIN 1%</t>
  </si>
  <si>
    <t>MARTIN 0.7%</t>
  </si>
  <si>
    <t>MM$</t>
  </si>
  <si>
    <t>WEIGHTED AVERAGE GULFSTREAM FIRM</t>
  </si>
  <si>
    <t>WEIGHTED AVERAGE FGT FIRM</t>
  </si>
  <si>
    <t>UPS REPLACEMENT SUNK DEMAND CHARGE</t>
  </si>
  <si>
    <t>UPS REPLACEMENT DISPATCH PRICE</t>
  </si>
  <si>
    <t>BAY GAS STORAGE DEMAND CHARGE</t>
  </si>
  <si>
    <t>GULF SOUTH</t>
  </si>
  <si>
    <t>TRANSCO 4A</t>
  </si>
  <si>
    <t>SESH</t>
  </si>
  <si>
    <t>GULFSTREAM</t>
  </si>
  <si>
    <t>FGT</t>
  </si>
  <si>
    <t>HENRY HUB</t>
  </si>
  <si>
    <t>GULFSTREAM NON-FIRM BACKHAUL</t>
  </si>
  <si>
    <t>GULFSTREAM NON-FIRM</t>
  </si>
  <si>
    <r>
      <t xml:space="preserve">GULFSTREAM FIRN </t>
    </r>
    <r>
      <rPr>
        <b/>
        <sz val="12"/>
        <color indexed="10"/>
        <rFont val="Arial"/>
        <family val="2"/>
      </rPr>
      <t>TRANSNCO 4A</t>
    </r>
    <r>
      <rPr>
        <b/>
        <sz val="12"/>
        <rFont val="Arial"/>
        <family val="2"/>
      </rPr>
      <t xml:space="preserve"> VOLUMES</t>
    </r>
  </si>
  <si>
    <t>GULFSTREAM FIRM CONTRACTUAL DISPATCH PRICE</t>
  </si>
  <si>
    <r>
      <t xml:space="preserve">GULFSTREAM FIRM </t>
    </r>
    <r>
      <rPr>
        <b/>
        <sz val="12"/>
        <color indexed="12"/>
        <rFont val="Arial"/>
        <family val="2"/>
      </rPr>
      <t xml:space="preserve">GULF SOUTH </t>
    </r>
    <r>
      <rPr>
        <b/>
        <sz val="12"/>
        <rFont val="Arial"/>
        <family val="2"/>
      </rPr>
      <t>DISPATCH PRICE</t>
    </r>
  </si>
  <si>
    <r>
      <t xml:space="preserve">GULFSTREAM FIRM </t>
    </r>
    <r>
      <rPr>
        <b/>
        <sz val="12"/>
        <color indexed="17"/>
        <rFont val="Arial"/>
        <family val="2"/>
      </rPr>
      <t>SESH</t>
    </r>
    <r>
      <rPr>
        <b/>
        <sz val="12"/>
        <rFont val="Arial"/>
        <family val="2"/>
      </rPr>
      <t xml:space="preserve"> DISPATCH PRICE</t>
    </r>
  </si>
  <si>
    <t>FGT NON-FIRM</t>
  </si>
  <si>
    <t>FUTURE GAS PIPELINE</t>
  </si>
  <si>
    <r>
      <t xml:space="preserve">PHASE VIII FGT FIRM FROM </t>
    </r>
    <r>
      <rPr>
        <b/>
        <sz val="12"/>
        <color indexed="17"/>
        <rFont val="Arial"/>
        <family val="2"/>
      </rPr>
      <t>SESH</t>
    </r>
  </si>
  <si>
    <r>
      <t xml:space="preserve">PHASE VIII FGT FIRM FROM </t>
    </r>
    <r>
      <rPr>
        <b/>
        <sz val="12"/>
        <color indexed="10"/>
        <rFont val="Arial"/>
        <family val="2"/>
      </rPr>
      <t>TRANSCO 4A</t>
    </r>
  </si>
  <si>
    <t>PHASE VIII ZONE 3 MOBILE BAY/DESTIN FGT FIRM</t>
  </si>
  <si>
    <r>
      <t xml:space="preserve">ZONE 3 MOBILE BAY/DESTIN FGT FIRM </t>
    </r>
    <r>
      <rPr>
        <b/>
        <sz val="12"/>
        <color indexed="12"/>
        <rFont val="Arial"/>
        <family val="2"/>
      </rPr>
      <t>GULF SOUTH</t>
    </r>
  </si>
  <si>
    <r>
      <t xml:space="preserve">ZONE 3 MOBILE BAY/DESTIN FGT FIRM </t>
    </r>
    <r>
      <rPr>
        <b/>
        <sz val="12"/>
        <color indexed="17"/>
        <rFont val="Arial"/>
        <family val="2"/>
      </rPr>
      <t>SESH</t>
    </r>
  </si>
  <si>
    <t>ZONE 3 MOBILE BAY/DESTIN FGT FIRM</t>
  </si>
  <si>
    <t>ZONE 3 FGT FIRM</t>
  </si>
  <si>
    <t>ZONE 2 FGT FIRM</t>
  </si>
  <si>
    <t>ZONE 1 FGT FIRM</t>
  </si>
  <si>
    <t>ESTMATED SUNK DEMAND CHARGE(S) FOR THE NEW PIPELINE WILL BE PROVIDED UPON REQUEST</t>
  </si>
  <si>
    <t>FIRM TRANSPORT AND STORAGE CONTRACTS THROUGH FGT PHASE VIII</t>
  </si>
  <si>
    <t>SUNK DEMAND CHARGE FOR ALL CURRENT</t>
  </si>
  <si>
    <t>MMCF/DAY</t>
  </si>
  <si>
    <t>DAYS</t>
  </si>
  <si>
    <t>GULFSTREAM NON-FIRM &amp; NON-FIRM BACKHAUL</t>
  </si>
  <si>
    <t>TOTAL GULFSTREAM FIRM</t>
  </si>
  <si>
    <t>GULFSTREAM FIRM CONTRACTUAL BALANCE</t>
  </si>
  <si>
    <r>
      <t xml:space="preserve">GULFSTREAM FIRM </t>
    </r>
    <r>
      <rPr>
        <b/>
        <sz val="12"/>
        <color indexed="12"/>
        <rFont val="Arial"/>
        <family val="2"/>
      </rPr>
      <t>GULF SOUTH</t>
    </r>
    <r>
      <rPr>
        <b/>
        <sz val="12"/>
        <rFont val="Arial"/>
        <family val="2"/>
      </rPr>
      <t xml:space="preserve"> VOLUMES</t>
    </r>
  </si>
  <si>
    <r>
      <t xml:space="preserve">GULFSTREAM FIRM </t>
    </r>
    <r>
      <rPr>
        <b/>
        <sz val="12"/>
        <color indexed="17"/>
        <rFont val="Arial"/>
        <family val="2"/>
      </rPr>
      <t>SESH</t>
    </r>
    <r>
      <rPr>
        <b/>
        <sz val="12"/>
        <rFont val="Arial"/>
        <family val="2"/>
      </rPr>
      <t xml:space="preserve"> VOLUMES</t>
    </r>
  </si>
  <si>
    <t>TOTAL FGT FIRM</t>
  </si>
  <si>
    <t>PHASE VIII FTS 3</t>
  </si>
  <si>
    <t>FGT FIRM BY ZONE</t>
  </si>
  <si>
    <t>Florida Power &amp; Light Company</t>
  </si>
  <si>
    <t>Docket No. 160154-EI</t>
  </si>
  <si>
    <t>Staff's First Set of Interrogatories</t>
  </si>
  <si>
    <t>Interrogatory No. 2</t>
  </si>
  <si>
    <t>Tab 1 of 6</t>
  </si>
  <si>
    <t>Attachment No. 14</t>
  </si>
  <si>
    <t>Tab 2 of 6</t>
  </si>
  <si>
    <t>Tab 3 of 6</t>
  </si>
  <si>
    <t>Tab 4 of 6</t>
  </si>
  <si>
    <t>Tab 5 of 6</t>
  </si>
  <si>
    <t>Tab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</si>
</sst>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0_)"/>
    <numFmt numFmtId="166" formatCode="&quot;$&quot;#,##0.00"/>
    <numFmt numFmtId="167" formatCode="[$-409]mmm\-yy;@"/>
    <numFmt numFmtId="168" formatCode="&quot;$&quot;#,##0.0"/>
    <numFmt numFmtId="169" formatCode="&quot;$&quot;#,##0.0_);[Red]\(&quot;$&quot;#,##0.0\)"/>
    <numFmt numFmtId="170" formatCode="0.0"/>
  </numFmts>
  <fonts count="20" x14ac:knownFonts="1">
    <font>
      <sz val="12"/>
      <name val="Helv"/>
    </font>
    <font>
      <sz val="12"/>
      <name val="Helv"/>
    </font>
    <font>
      <sz val="12"/>
      <color indexed="12"/>
      <name val="Helv"/>
    </font>
    <font>
      <b/>
      <sz val="12"/>
      <name val="Helv"/>
    </font>
    <font>
      <sz val="10"/>
      <name val="Arial"/>
      <family val="2"/>
    </font>
    <font>
      <sz val="12"/>
      <name val="Arial"/>
      <family val="2"/>
    </font>
    <font>
      <b/>
      <u val="singleAccounting"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sz val="12"/>
      <color indexed="12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2">
    <xf numFmtId="164" fontId="0" fillId="0" borderId="0">
      <alignment horizontal="left" wrapText="1"/>
    </xf>
    <xf numFmtId="44" fontId="4" fillId="0" borderId="0" applyFont="0" applyFill="0" applyBorder="0" applyAlignment="0" applyProtection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</cellStyleXfs>
  <cellXfs count="119">
    <xf numFmtId="164" fontId="0" fillId="0" borderId="0" xfId="0">
      <alignment horizontal="left" wrapText="1"/>
    </xf>
    <xf numFmtId="165" fontId="0" fillId="0" borderId="0" xfId="0" applyNumberFormat="1" applyAlignment="1"/>
    <xf numFmtId="165" fontId="2" fillId="0" borderId="1" xfId="0" quotePrefix="1" applyNumberFormat="1" applyFont="1" applyBorder="1" applyAlignment="1">
      <alignment horizontal="left"/>
    </xf>
    <xf numFmtId="165" fontId="2" fillId="0" borderId="3" xfId="0" quotePrefix="1" applyNumberFormat="1" applyFont="1" applyBorder="1" applyAlignment="1">
      <alignment horizontal="left"/>
    </xf>
    <xf numFmtId="165" fontId="3" fillId="0" borderId="4" xfId="0" applyNumberFormat="1" applyFont="1" applyBorder="1" applyAlignment="1"/>
    <xf numFmtId="165" fontId="2" fillId="0" borderId="1" xfId="0" applyNumberFormat="1" applyFont="1" applyBorder="1" applyAlignment="1"/>
    <xf numFmtId="165" fontId="2" fillId="0" borderId="3" xfId="0" applyNumberFormat="1" applyFont="1" applyBorder="1" applyAlignment="1"/>
    <xf numFmtId="165" fontId="3" fillId="0" borderId="4" xfId="0" quotePrefix="1" applyNumberFormat="1" applyFont="1" applyBorder="1" applyAlignment="1">
      <alignment horizontal="left"/>
    </xf>
    <xf numFmtId="0" fontId="4" fillId="0" borderId="0" xfId="21"/>
    <xf numFmtId="166" fontId="5" fillId="0" borderId="0" xfId="1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7" fontId="1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166" fontId="5" fillId="0" borderId="0" xfId="21" applyNumberFormat="1" applyFont="1" applyAlignment="1">
      <alignment horizontal="center"/>
    </xf>
    <xf numFmtId="44" fontId="6" fillId="0" borderId="0" xfId="1" applyFont="1" applyAlignment="1">
      <alignment horizontal="center"/>
    </xf>
    <xf numFmtId="0" fontId="7" fillId="0" borderId="0" xfId="21" applyFont="1" applyAlignment="1">
      <alignment horizontal="center"/>
    </xf>
    <xf numFmtId="165" fontId="8" fillId="0" borderId="0" xfId="0" quotePrefix="1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2" borderId="0" xfId="0" quotePrefix="1" applyNumberFormat="1" applyFont="1" applyFill="1" applyAlignment="1">
      <alignment horizontal="center"/>
    </xf>
    <xf numFmtId="165" fontId="8" fillId="3" borderId="0" xfId="0" quotePrefix="1" applyNumberFormat="1" applyFont="1" applyFill="1" applyAlignment="1">
      <alignment horizontal="center"/>
    </xf>
    <xf numFmtId="165" fontId="8" fillId="4" borderId="0" xfId="0" quotePrefix="1" applyNumberFormat="1" applyFont="1" applyFill="1" applyAlignment="1">
      <alignment horizontal="center"/>
    </xf>
    <xf numFmtId="0" fontId="4" fillId="0" borderId="0" xfId="21" applyFill="1"/>
    <xf numFmtId="165" fontId="8" fillId="2" borderId="0" xfId="0" quotePrefix="1" applyNumberFormat="1" applyFont="1" applyFill="1" applyAlignment="1">
      <alignment horizontal="center" vertical="center" wrapText="1"/>
    </xf>
    <xf numFmtId="165" fontId="8" fillId="3" borderId="0" xfId="0" quotePrefix="1" applyNumberFormat="1" applyFont="1" applyFill="1" applyAlignment="1">
      <alignment horizontal="center" vertical="center" wrapText="1"/>
    </xf>
    <xf numFmtId="165" fontId="8" fillId="4" borderId="0" xfId="0" quotePrefix="1" applyNumberFormat="1" applyFont="1" applyFill="1" applyAlignment="1">
      <alignment horizontal="center" vertical="center" wrapText="1"/>
    </xf>
    <xf numFmtId="0" fontId="9" fillId="0" borderId="0" xfId="21" applyFont="1"/>
    <xf numFmtId="10" fontId="8" fillId="7" borderId="0" xfId="21" quotePrefix="1" applyNumberFormat="1" applyFont="1" applyFill="1" applyAlignment="1">
      <alignment horizontal="center"/>
    </xf>
    <xf numFmtId="15" fontId="8" fillId="7" borderId="0" xfId="21" applyNumberFormat="1" applyFont="1" applyFill="1" applyAlignment="1">
      <alignment horizontal="left"/>
    </xf>
    <xf numFmtId="15" fontId="8" fillId="0" borderId="0" xfId="21" quotePrefix="1" applyNumberFormat="1" applyFont="1" applyAlignment="1">
      <alignment horizontal="left"/>
    </xf>
    <xf numFmtId="0" fontId="4" fillId="0" borderId="0" xfId="21" applyAlignment="1">
      <alignment horizontal="center"/>
    </xf>
    <xf numFmtId="8" fontId="4" fillId="0" borderId="0" xfId="21" applyNumberFormat="1"/>
    <xf numFmtId="0" fontId="4" fillId="0" borderId="0" xfId="21" applyAlignment="1">
      <alignment horizontal="center" wrapText="1"/>
    </xf>
    <xf numFmtId="0" fontId="8" fillId="0" borderId="0" xfId="21" applyFont="1" applyAlignment="1">
      <alignment horizontal="center" wrapText="1"/>
    </xf>
    <xf numFmtId="0" fontId="7" fillId="0" borderId="0" xfId="21" applyFont="1" applyAlignment="1">
      <alignment horizontal="center" wrapText="1"/>
    </xf>
    <xf numFmtId="0" fontId="8" fillId="0" borderId="0" xfId="21" quotePrefix="1" applyFont="1" applyAlignment="1">
      <alignment horizontal="center" wrapText="1"/>
    </xf>
    <xf numFmtId="10" fontId="11" fillId="7" borderId="0" xfId="21" applyNumberFormat="1" applyFont="1" applyFill="1" applyAlignment="1">
      <alignment horizontal="center"/>
    </xf>
    <xf numFmtId="0" fontId="8" fillId="7" borderId="0" xfId="21" applyFont="1" applyFill="1" applyAlignment="1">
      <alignment horizontal="center"/>
    </xf>
    <xf numFmtId="166" fontId="8" fillId="0" borderId="0" xfId="21" applyNumberFormat="1" applyFont="1" applyFill="1" applyAlignment="1">
      <alignment horizontal="center"/>
    </xf>
    <xf numFmtId="15" fontId="8" fillId="0" borderId="0" xfId="21" applyNumberFormat="1" applyFont="1" applyAlignment="1">
      <alignment horizontal="left"/>
    </xf>
    <xf numFmtId="0" fontId="5" fillId="0" borderId="0" xfId="21" applyFont="1" applyAlignment="1">
      <alignment horizontal="center"/>
    </xf>
    <xf numFmtId="8" fontId="5" fillId="0" borderId="0" xfId="21" applyNumberFormat="1" applyFont="1" applyAlignment="1">
      <alignment horizontal="center"/>
    </xf>
    <xf numFmtId="166" fontId="5" fillId="6" borderId="0" xfId="21" applyNumberFormat="1" applyFont="1" applyFill="1" applyAlignment="1">
      <alignment horizontal="center"/>
    </xf>
    <xf numFmtId="15" fontId="8" fillId="0" borderId="0" xfId="21" applyNumberFormat="1" applyFont="1" applyFill="1" applyAlignment="1">
      <alignment horizontal="left"/>
    </xf>
    <xf numFmtId="0" fontId="4" fillId="0" borderId="0" xfId="21" applyFill="1" applyAlignment="1">
      <alignment horizontal="center"/>
    </xf>
    <xf numFmtId="166" fontId="5" fillId="3" borderId="0" xfId="21" applyNumberFormat="1" applyFont="1" applyFill="1" applyAlignment="1">
      <alignment horizontal="center"/>
    </xf>
    <xf numFmtId="168" fontId="4" fillId="0" borderId="0" xfId="21" applyNumberFormat="1"/>
    <xf numFmtId="166" fontId="4" fillId="0" borderId="0" xfId="21" applyNumberFormat="1"/>
    <xf numFmtId="168" fontId="5" fillId="0" borderId="0" xfId="21" applyNumberFormat="1" applyFont="1" applyAlignment="1">
      <alignment horizontal="center"/>
    </xf>
    <xf numFmtId="166" fontId="8" fillId="5" borderId="0" xfId="21" applyNumberFormat="1" applyFont="1" applyFill="1" applyAlignment="1">
      <alignment horizontal="center"/>
    </xf>
    <xf numFmtId="168" fontId="5" fillId="0" borderId="0" xfId="21" applyNumberFormat="1" applyFont="1"/>
    <xf numFmtId="166" fontId="5" fillId="0" borderId="0" xfId="21" applyNumberFormat="1" applyFont="1"/>
    <xf numFmtId="168" fontId="14" fillId="0" borderId="0" xfId="21" applyNumberFormat="1" applyFont="1" applyAlignment="1">
      <alignment horizontal="center"/>
    </xf>
    <xf numFmtId="169" fontId="5" fillId="0" borderId="0" xfId="21" applyNumberFormat="1" applyFont="1" applyAlignment="1">
      <alignment horizontal="center"/>
    </xf>
    <xf numFmtId="169" fontId="5" fillId="5" borderId="0" xfId="21" applyNumberFormat="1" applyFont="1" applyFill="1" applyAlignment="1">
      <alignment horizontal="center"/>
    </xf>
    <xf numFmtId="166" fontId="5" fillId="5" borderId="0" xfId="21" applyNumberFormat="1" applyFont="1" applyFill="1" applyAlignment="1">
      <alignment horizontal="center"/>
    </xf>
    <xf numFmtId="166" fontId="15" fillId="6" borderId="0" xfId="21" applyNumberFormat="1" applyFont="1" applyFill="1" applyAlignment="1">
      <alignment horizontal="center"/>
    </xf>
    <xf numFmtId="166" fontId="15" fillId="3" borderId="0" xfId="21" applyNumberFormat="1" applyFont="1" applyFill="1" applyAlignment="1">
      <alignment horizontal="center"/>
    </xf>
    <xf numFmtId="168" fontId="15" fillId="0" borderId="0" xfId="21" applyNumberFormat="1" applyFont="1" applyAlignment="1">
      <alignment horizontal="center"/>
    </xf>
    <xf numFmtId="166" fontId="15" fillId="0" borderId="0" xfId="21" applyNumberFormat="1" applyFont="1" applyAlignment="1">
      <alignment horizontal="center"/>
    </xf>
    <xf numFmtId="169" fontId="15" fillId="0" borderId="0" xfId="21" applyNumberFormat="1" applyFont="1" applyAlignment="1">
      <alignment horizontal="center"/>
    </xf>
    <xf numFmtId="166" fontId="16" fillId="5" borderId="0" xfId="21" applyNumberFormat="1" applyFont="1" applyFill="1" applyAlignment="1">
      <alignment horizontal="center"/>
    </xf>
    <xf numFmtId="0" fontId="8" fillId="6" borderId="0" xfId="21" applyFont="1" applyFill="1" applyAlignment="1">
      <alignment horizontal="center" wrapText="1"/>
    </xf>
    <xf numFmtId="0" fontId="8" fillId="3" borderId="0" xfId="21" applyFont="1" applyFill="1" applyAlignment="1">
      <alignment horizontal="center" wrapText="1"/>
    </xf>
    <xf numFmtId="0" fontId="8" fillId="5" borderId="0" xfId="21" applyFont="1" applyFill="1" applyAlignment="1">
      <alignment horizontal="center" wrapText="1"/>
    </xf>
    <xf numFmtId="0" fontId="8" fillId="6" borderId="0" xfId="21" quotePrefix="1" applyFont="1" applyFill="1" applyAlignment="1">
      <alignment horizontal="center" wrapText="1"/>
    </xf>
    <xf numFmtId="0" fontId="8" fillId="2" borderId="0" xfId="21" quotePrefix="1" applyFont="1" applyFill="1" applyAlignment="1">
      <alignment horizontal="center" wrapText="1"/>
    </xf>
    <xf numFmtId="0" fontId="8" fillId="3" borderId="0" xfId="21" quotePrefix="1" applyFont="1" applyFill="1" applyAlignment="1">
      <alignment horizontal="center" wrapText="1"/>
    </xf>
    <xf numFmtId="0" fontId="8" fillId="0" borderId="0" xfId="21" applyFont="1" applyAlignment="1">
      <alignment horizontal="center"/>
    </xf>
    <xf numFmtId="10" fontId="8" fillId="0" borderId="0" xfId="21" applyNumberFormat="1" applyFont="1" applyFill="1" applyAlignment="1">
      <alignment horizontal="center"/>
    </xf>
    <xf numFmtId="0" fontId="8" fillId="0" borderId="0" xfId="21" applyFont="1" applyFill="1" applyAlignment="1">
      <alignment horizontal="center"/>
    </xf>
    <xf numFmtId="10" fontId="8" fillId="7" borderId="0" xfId="21" applyNumberFormat="1" applyFont="1" applyFill="1" applyAlignment="1">
      <alignment horizontal="center"/>
    </xf>
    <xf numFmtId="0" fontId="8" fillId="0" borderId="0" xfId="21" quotePrefix="1" applyFont="1" applyAlignment="1">
      <alignment horizontal="center"/>
    </xf>
    <xf numFmtId="1" fontId="4" fillId="0" borderId="0" xfId="21" applyNumberFormat="1" applyAlignment="1">
      <alignment horizontal="center"/>
    </xf>
    <xf numFmtId="1" fontId="4" fillId="0" borderId="0" xfId="21" applyNumberFormat="1"/>
    <xf numFmtId="1" fontId="5" fillId="0" borderId="0" xfId="21" applyNumberFormat="1" applyFont="1" applyAlignment="1">
      <alignment horizontal="center"/>
    </xf>
    <xf numFmtId="1" fontId="5" fillId="8" borderId="0" xfId="21" applyNumberFormat="1" applyFont="1" applyFill="1" applyAlignment="1">
      <alignment horizontal="center"/>
    </xf>
    <xf numFmtId="1" fontId="5" fillId="0" borderId="0" xfId="21" applyNumberFormat="1" applyFont="1" applyFill="1" applyAlignment="1">
      <alignment horizontal="center"/>
    </xf>
    <xf numFmtId="3" fontId="5" fillId="0" borderId="0" xfId="21" applyNumberFormat="1" applyFont="1" applyAlignment="1">
      <alignment horizontal="center"/>
    </xf>
    <xf numFmtId="3" fontId="5" fillId="0" borderId="0" xfId="21" applyNumberFormat="1" applyFont="1" applyFill="1" applyAlignment="1">
      <alignment horizontal="center"/>
    </xf>
    <xf numFmtId="3" fontId="5" fillId="8" borderId="0" xfId="21" applyNumberFormat="1" applyFont="1" applyFill="1" applyAlignment="1">
      <alignment horizontal="center"/>
    </xf>
    <xf numFmtId="170" fontId="8" fillId="5" borderId="0" xfId="21" applyNumberFormat="1" applyFont="1" applyFill="1" applyAlignment="1">
      <alignment horizontal="center"/>
    </xf>
    <xf numFmtId="3" fontId="5" fillId="5" borderId="0" xfId="21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8" fillId="5" borderId="0" xfId="21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5" borderId="0" xfId="21" applyNumberFormat="1" applyFont="1" applyFill="1" applyAlignment="1">
      <alignment horizontal="center"/>
    </xf>
    <xf numFmtId="0" fontId="7" fillId="5" borderId="0" xfId="21" applyFont="1" applyFill="1" applyAlignment="1">
      <alignment horizontal="center" wrapText="1"/>
    </xf>
    <xf numFmtId="0" fontId="8" fillId="2" borderId="0" xfId="21" applyFont="1" applyFill="1" applyAlignment="1">
      <alignment horizontal="center" wrapText="1"/>
    </xf>
    <xf numFmtId="0" fontId="5" fillId="0" borderId="0" xfId="21" applyFont="1" applyAlignment="1">
      <alignment horizontal="center" wrapText="1"/>
    </xf>
    <xf numFmtId="0" fontId="8" fillId="0" borderId="0" xfId="21" quotePrefix="1" applyFont="1" applyFill="1" applyAlignment="1">
      <alignment horizontal="center"/>
    </xf>
    <xf numFmtId="0" fontId="8" fillId="0" borderId="0" xfId="21" applyFont="1" applyFill="1" applyAlignment="1"/>
    <xf numFmtId="0" fontId="8" fillId="4" borderId="0" xfId="21" applyFont="1" applyFill="1" applyAlignment="1">
      <alignment horizontal="center"/>
    </xf>
    <xf numFmtId="0" fontId="8" fillId="6" borderId="0" xfId="21" quotePrefix="1" applyFont="1" applyFill="1" applyAlignment="1">
      <alignment horizontal="center"/>
    </xf>
    <xf numFmtId="0" fontId="8" fillId="0" borderId="0" xfId="21" applyFont="1"/>
    <xf numFmtId="0" fontId="10" fillId="0" borderId="0" xfId="21" applyFont="1" applyFill="1"/>
    <xf numFmtId="165" fontId="0" fillId="0" borderId="0" xfId="0" applyNumberFormat="1" applyFill="1" applyAlignment="1"/>
    <xf numFmtId="165" fontId="3" fillId="0" borderId="0" xfId="0" applyNumberFormat="1" applyFont="1" applyAlignment="1">
      <alignment horizontal="left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8" fillId="6" borderId="0" xfId="0" quotePrefix="1" applyNumberFormat="1" applyFont="1" applyFill="1" applyAlignment="1">
      <alignment horizontal="center"/>
    </xf>
    <xf numFmtId="0" fontId="8" fillId="0" borderId="0" xfId="21" applyFont="1" applyAlignment="1">
      <alignment horizontal="center"/>
    </xf>
    <xf numFmtId="0" fontId="8" fillId="5" borderId="0" xfId="21" quotePrefix="1" applyFont="1" applyFill="1" applyAlignment="1">
      <alignment horizontal="center"/>
    </xf>
    <xf numFmtId="0" fontId="8" fillId="5" borderId="0" xfId="21" applyFont="1" applyFill="1" applyAlignment="1">
      <alignment horizontal="center"/>
    </xf>
    <xf numFmtId="0" fontId="8" fillId="6" borderId="0" xfId="21" applyFont="1" applyFill="1" applyAlignment="1">
      <alignment horizontal="center"/>
    </xf>
    <xf numFmtId="0" fontId="8" fillId="6" borderId="0" xfId="21" quotePrefix="1" applyFont="1" applyFill="1" applyAlignment="1">
      <alignment horizontal="center"/>
    </xf>
    <xf numFmtId="0" fontId="19" fillId="6" borderId="7" xfId="21" quotePrefix="1" applyFont="1" applyFill="1" applyBorder="1" applyAlignment="1">
      <alignment horizontal="center"/>
    </xf>
    <xf numFmtId="0" fontId="19" fillId="6" borderId="6" xfId="21" quotePrefix="1" applyFont="1" applyFill="1" applyBorder="1" applyAlignment="1">
      <alignment horizontal="center"/>
    </xf>
    <xf numFmtId="0" fontId="19" fillId="6" borderId="5" xfId="21" quotePrefix="1" applyFont="1" applyFill="1" applyBorder="1" applyAlignment="1">
      <alignment horizontal="center"/>
    </xf>
    <xf numFmtId="0" fontId="8" fillId="0" borderId="0" xfId="21" quotePrefix="1" applyFont="1" applyFill="1" applyAlignment="1">
      <alignment horizontal="center"/>
    </xf>
    <xf numFmtId="0" fontId="8" fillId="4" borderId="0" xfId="21" quotePrefix="1" applyFont="1" applyFill="1" applyAlignment="1">
      <alignment horizontal="center"/>
    </xf>
    <xf numFmtId="0" fontId="8" fillId="4" borderId="0" xfId="21" applyFont="1" applyFill="1" applyAlignment="1">
      <alignment horizontal="center"/>
    </xf>
  </cellXfs>
  <cellStyles count="22">
    <cellStyle name="_CC Oil" xfId="2"/>
    <cellStyle name="_DSO Oil" xfId="3"/>
    <cellStyle name="_FLCC Oil" xfId="4"/>
    <cellStyle name="_FLPEGT Oil" xfId="5"/>
    <cellStyle name="_FMCT Oil" xfId="6"/>
    <cellStyle name="_GTDW_DataTemplate" xfId="7"/>
    <cellStyle name="_Gulfstream Gas" xfId="8"/>
    <cellStyle name="_MR .7 Oil" xfId="9"/>
    <cellStyle name="_MR 1 Oil" xfId="10"/>
    <cellStyle name="_MRCT Oil" xfId="11"/>
    <cellStyle name="_MT Gulfstream Gas" xfId="12"/>
    <cellStyle name="_MT Oil" xfId="13"/>
    <cellStyle name="_OLCT Oil" xfId="14"/>
    <cellStyle name="_PE Oil" xfId="15"/>
    <cellStyle name="_PN Oil" xfId="16"/>
    <cellStyle name="_RV Oil" xfId="17"/>
    <cellStyle name="_SHCT Oil" xfId="18"/>
    <cellStyle name="_SN Oil" xfId="19"/>
    <cellStyle name="_TP Oil" xfId="20"/>
    <cellStyle name="Currency" xfId="1" builtinId="4"/>
    <cellStyle name="Normal" xfId="0" builtinId="0"/>
    <cellStyle name="Normal_060415 RAP Fuel Price Forecast Template - Case 1 (Historical Spread)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32" fmlaRange="CONTROL!$B$32:$B$34" sel="2" val="0"/>
</file>

<file path=xl/ctrlProps/ctrlProp2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3.xml><?xml version="1.0" encoding="utf-8"?>
<formControlPr xmlns="http://schemas.microsoft.com/office/spreadsheetml/2009/9/main" objectType="Drop" dropLines="2" dropStyle="combo" dx="18" fmlaLink="CONTROL!$C$27" fmlaRange="CONTROL!$B$27:$B$28" val="0"/>
</file>

<file path=xl/ctrlProps/ctrlProp4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5.xml><?xml version="1.0" encoding="utf-8"?>
<formControlPr xmlns="http://schemas.microsoft.com/office/spreadsheetml/2009/9/main" objectType="Drop" dropLines="2" dropStyle="combo" dx="18" fmlaLink="CONTROL!$C$38" fmlaRange="CONTROL!$B$38:$B$39" val="0"/>
</file>

<file path=xl/ctrlProps/ctrlProp6.xml><?xml version="1.0" encoding="utf-8"?>
<formControlPr xmlns="http://schemas.microsoft.com/office/spreadsheetml/2009/9/main" objectType="Drop" dropLines="3" dropStyle="combo" dx="18" fmlaLink="CONTROL!$C$21" fmlaRange="CONTROL!$B$21:$B$23" sel="2" val="0"/>
</file>

<file path=xl/ctrlProps/ctrlProp7.xml><?xml version="1.0" encoding="utf-8"?>
<formControlPr xmlns="http://schemas.microsoft.com/office/spreadsheetml/2009/9/main" objectType="Drop" dropLines="2" dropStyle="combo" dx="18" fmlaLink="CONTROL!$C$42" fmlaRange="CONTROL!$B$42:$B$4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7</xdr:row>
          <xdr:rowOff>76200</xdr:rowOff>
        </xdr:from>
        <xdr:to>
          <xdr:col>6</xdr:col>
          <xdr:colOff>400050</xdr:colOff>
          <xdr:row>8</xdr:row>
          <xdr:rowOff>133350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85725</xdr:rowOff>
        </xdr:from>
        <xdr:to>
          <xdr:col>7</xdr:col>
          <xdr:colOff>104775</xdr:colOff>
          <xdr:row>8</xdr:row>
          <xdr:rowOff>171450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</xdr:row>
          <xdr:rowOff>114300</xdr:rowOff>
        </xdr:from>
        <xdr:to>
          <xdr:col>8</xdr:col>
          <xdr:colOff>295275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</xdr:row>
          <xdr:rowOff>180975</xdr:rowOff>
        </xdr:from>
        <xdr:to>
          <xdr:col>8</xdr:col>
          <xdr:colOff>342900</xdr:colOff>
          <xdr:row>9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7</xdr:row>
          <xdr:rowOff>180975</xdr:rowOff>
        </xdr:from>
        <xdr:to>
          <xdr:col>9</xdr:col>
          <xdr:colOff>609600</xdr:colOff>
          <xdr:row>9</xdr:row>
          <xdr:rowOff>85725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85725</xdr:rowOff>
        </xdr:from>
        <xdr:to>
          <xdr:col>8</xdr:col>
          <xdr:colOff>600075</xdr:colOff>
          <xdr:row>8</xdr:row>
          <xdr:rowOff>171450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180975</xdr:rowOff>
        </xdr:from>
        <xdr:to>
          <xdr:col>12</xdr:col>
          <xdr:colOff>323850</xdr:colOff>
          <xdr:row>9</xdr:row>
          <xdr:rowOff>66675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3.zip\2013\3.%20March\130304%202013%20-%202061%20LONG-TERM%20FORECAST%20FPL%20METHODOLOGY%20-%20To%20Dele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_Setup_"/>
      <sheetName val="PIRA - LONG TERM OIL BACKUP"/>
      <sheetName val="PIRA - LONG TERM GAS BACKUP"/>
      <sheetName val="OIL &amp; GAS SEASONALITY"/>
      <sheetName val="DISTILLATE &amp; RESIDUAL FUEL OIL"/>
      <sheetName val="FGT NON-FIRM"/>
      <sheetName val="FGT PRIMARY FIRM ZONE 1"/>
      <sheetName val="FGT PRIMARY FIRM ZONE 2"/>
      <sheetName val="FGT PRIMARY FIRM ZONE 3"/>
      <sheetName val="FGT FIRM ZONE 3 MOBILE BAY-DES"/>
      <sheetName val="FTS 3  FIRM ZONE 3 MOBILE BAY-D"/>
      <sheetName val="TRANSCO 4A LATERAL TO FTS 3"/>
      <sheetName val="TRANSCO 4 LATERAL TO GULFSTREAM"/>
      <sheetName val="SESH TO FGT FIRM ZONE 3 MOB BAY"/>
      <sheetName val="SESH TO FTS 3"/>
      <sheetName val="SESH TO GULFSTREAM"/>
      <sheetName val="GULFSTREAM FIRM "/>
      <sheetName val="GULFSTREAM NON-FIRM"/>
      <sheetName val="GULFSTREAM NON-FIRM  BACKHAUL "/>
      <sheetName val="UPS REPLACEMENT"/>
      <sheetName val="FUTURE GAS PIPELINE"/>
      <sheetName val="Upload"/>
      <sheetName val="MOST LIKELY COAL &amp; PET COKE"/>
      <sheetName val="GULF SOUTH TO FGT Z3 MOBILE BAY"/>
      <sheetName val="GULF SOUTH TO GULFSTRE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43"/>
  <sheetViews>
    <sheetView showGridLines="0" tabSelected="1" zoomScale="75" zoomScaleNormal="75" workbookViewId="0">
      <selection activeCell="A7" sqref="A7"/>
    </sheetView>
  </sheetViews>
  <sheetFormatPr defaultColWidth="8.88671875" defaultRowHeight="15.75" x14ac:dyDescent="0.25"/>
  <cols>
    <col min="1" max="1" width="8.88671875" style="1"/>
    <col min="2" max="2" width="15.5546875" style="1" bestFit="1" customWidth="1"/>
    <col min="3" max="3" width="9.5546875" style="1" bestFit="1" customWidth="1"/>
    <col min="4" max="16384" width="8.88671875" style="1"/>
  </cols>
  <sheetData>
    <row r="1" spans="1:3" x14ac:dyDescent="0.25">
      <c r="A1" s="103" t="s">
        <v>90</v>
      </c>
    </row>
    <row r="2" spans="1:3" x14ac:dyDescent="0.25">
      <c r="A2" s="103" t="s">
        <v>91</v>
      </c>
    </row>
    <row r="3" spans="1:3" x14ac:dyDescent="0.25">
      <c r="A3" s="103" t="s">
        <v>92</v>
      </c>
    </row>
    <row r="4" spans="1:3" x14ac:dyDescent="0.25">
      <c r="A4" s="103" t="s">
        <v>93</v>
      </c>
    </row>
    <row r="5" spans="1:3" x14ac:dyDescent="0.25">
      <c r="A5" s="103" t="s">
        <v>95</v>
      </c>
    </row>
    <row r="6" spans="1:3" x14ac:dyDescent="0.25">
      <c r="A6" s="103" t="s">
        <v>94</v>
      </c>
    </row>
    <row r="7" spans="1:3" s="102" customFormat="1" x14ac:dyDescent="0.25"/>
    <row r="8" spans="1:3" x14ac:dyDescent="0.25">
      <c r="B8" s="4" t="s">
        <v>13</v>
      </c>
      <c r="C8" s="4" t="s">
        <v>2</v>
      </c>
    </row>
    <row r="9" spans="1:3" x14ac:dyDescent="0.25">
      <c r="B9" s="6" t="s">
        <v>9</v>
      </c>
      <c r="C9" s="104">
        <v>2</v>
      </c>
    </row>
    <row r="10" spans="1:3" x14ac:dyDescent="0.25">
      <c r="B10" s="6" t="s">
        <v>8</v>
      </c>
      <c r="C10" s="106"/>
    </row>
    <row r="11" spans="1:3" x14ac:dyDescent="0.25">
      <c r="B11" s="5" t="s">
        <v>7</v>
      </c>
      <c r="C11" s="105"/>
    </row>
    <row r="14" spans="1:3" x14ac:dyDescent="0.25">
      <c r="B14" s="4" t="s">
        <v>12</v>
      </c>
      <c r="C14" s="4" t="s">
        <v>2</v>
      </c>
    </row>
    <row r="15" spans="1:3" x14ac:dyDescent="0.25">
      <c r="B15" s="6" t="s">
        <v>9</v>
      </c>
      <c r="C15" s="104">
        <v>2</v>
      </c>
    </row>
    <row r="16" spans="1:3" x14ac:dyDescent="0.25">
      <c r="B16" s="6" t="s">
        <v>8</v>
      </c>
      <c r="C16" s="106"/>
    </row>
    <row r="17" spans="2:3" x14ac:dyDescent="0.25">
      <c r="B17" s="5" t="s">
        <v>7</v>
      </c>
      <c r="C17" s="105"/>
    </row>
    <row r="20" spans="2:3" x14ac:dyDescent="0.25">
      <c r="B20" s="4" t="s">
        <v>3</v>
      </c>
      <c r="C20" s="4" t="s">
        <v>2</v>
      </c>
    </row>
    <row r="21" spans="2:3" x14ac:dyDescent="0.25">
      <c r="B21" s="6" t="s">
        <v>9</v>
      </c>
      <c r="C21" s="104">
        <v>2</v>
      </c>
    </row>
    <row r="22" spans="2:3" x14ac:dyDescent="0.25">
      <c r="B22" s="6" t="s">
        <v>8</v>
      </c>
      <c r="C22" s="106"/>
    </row>
    <row r="23" spans="2:3" x14ac:dyDescent="0.25">
      <c r="B23" s="5" t="s">
        <v>7</v>
      </c>
      <c r="C23" s="105"/>
    </row>
    <row r="26" spans="2:3" x14ac:dyDescent="0.25">
      <c r="B26" s="7" t="s">
        <v>11</v>
      </c>
      <c r="C26" s="7" t="s">
        <v>2</v>
      </c>
    </row>
    <row r="27" spans="2:3" x14ac:dyDescent="0.25">
      <c r="B27" s="3" t="s">
        <v>5</v>
      </c>
      <c r="C27" s="104">
        <v>1</v>
      </c>
    </row>
    <row r="28" spans="2:3" x14ac:dyDescent="0.25">
      <c r="B28" s="2" t="s">
        <v>4</v>
      </c>
      <c r="C28" s="105"/>
    </row>
    <row r="31" spans="2:3" x14ac:dyDescent="0.25">
      <c r="B31" s="4" t="s">
        <v>10</v>
      </c>
      <c r="C31" s="4" t="s">
        <v>2</v>
      </c>
    </row>
    <row r="32" spans="2:3" x14ac:dyDescent="0.25">
      <c r="B32" s="6" t="s">
        <v>9</v>
      </c>
      <c r="C32" s="104">
        <v>2</v>
      </c>
    </row>
    <row r="33" spans="2:3" x14ac:dyDescent="0.25">
      <c r="B33" s="6" t="s">
        <v>8</v>
      </c>
      <c r="C33" s="106"/>
    </row>
    <row r="34" spans="2:3" x14ac:dyDescent="0.25">
      <c r="B34" s="5" t="s">
        <v>7</v>
      </c>
      <c r="C34" s="105"/>
    </row>
    <row r="37" spans="2:3" x14ac:dyDescent="0.25">
      <c r="B37" s="4" t="s">
        <v>6</v>
      </c>
      <c r="C37" s="4" t="s">
        <v>2</v>
      </c>
    </row>
    <row r="38" spans="2:3" x14ac:dyDescent="0.25">
      <c r="B38" s="3" t="s">
        <v>5</v>
      </c>
      <c r="C38" s="104">
        <v>1</v>
      </c>
    </row>
    <row r="39" spans="2:3" x14ac:dyDescent="0.25">
      <c r="B39" s="2" t="s">
        <v>4</v>
      </c>
      <c r="C39" s="105"/>
    </row>
    <row r="41" spans="2:3" x14ac:dyDescent="0.25">
      <c r="B41" s="4" t="s">
        <v>3</v>
      </c>
      <c r="C41" s="4" t="s">
        <v>2</v>
      </c>
    </row>
    <row r="42" spans="2:3" x14ac:dyDescent="0.25">
      <c r="B42" s="3" t="s">
        <v>1</v>
      </c>
      <c r="C42" s="104">
        <v>1</v>
      </c>
    </row>
    <row r="43" spans="2:3" x14ac:dyDescent="0.25">
      <c r="B43" s="2" t="s">
        <v>0</v>
      </c>
      <c r="C43" s="105"/>
    </row>
  </sheetData>
  <mergeCells count="7">
    <mergeCell ref="C42:C43"/>
    <mergeCell ref="C32:C34"/>
    <mergeCell ref="C38:C39"/>
    <mergeCell ref="C9:C11"/>
    <mergeCell ref="C15:C17"/>
    <mergeCell ref="C21:C23"/>
    <mergeCell ref="C27:C28"/>
  </mergeCells>
  <pageMargins left="0.25" right="0.25" top="0.5" bottom="0.5" header="0.25" footer="0.25"/>
  <pageSetup scale="70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S652"/>
  <sheetViews>
    <sheetView zoomScale="75" zoomScaleNormal="75" workbookViewId="0">
      <pane xSplit="1" ySplit="13" topLeftCell="B14" activePane="bottomRight" state="frozen"/>
      <selection activeCell="A7" sqref="A7"/>
      <selection pane="topRight" activeCell="A7" sqref="A7"/>
      <selection pane="bottomLeft" activeCell="A7" sqref="A7"/>
      <selection pane="bottomRight" activeCell="B14" sqref="B14"/>
    </sheetView>
  </sheetViews>
  <sheetFormatPr defaultColWidth="7.109375" defaultRowHeight="12.75" x14ac:dyDescent="0.2"/>
  <cols>
    <col min="1" max="1" width="14.5546875" style="8" customWidth="1"/>
    <col min="2" max="2" width="19" style="8" customWidth="1"/>
    <col min="3" max="3" width="16.109375" style="8" customWidth="1"/>
    <col min="4" max="4" width="20.21875" style="8" customWidth="1"/>
    <col min="5" max="5" width="20.6640625" style="8" customWidth="1"/>
    <col min="6" max="6" width="16.109375" style="8" customWidth="1"/>
    <col min="7" max="9" width="20" style="8" customWidth="1"/>
    <col min="10" max="10" width="16.109375" style="8" customWidth="1"/>
    <col min="11" max="13" width="19.109375" style="8" customWidth="1"/>
    <col min="14" max="14" width="16.109375" style="8" customWidth="1"/>
    <col min="15" max="15" width="19.77734375" style="8" customWidth="1"/>
    <col min="16" max="16" width="16.109375" style="8" customWidth="1"/>
    <col min="17" max="19" width="17.6640625" style="8" customWidth="1"/>
    <col min="20" max="16384" width="7.109375" style="8"/>
  </cols>
  <sheetData>
    <row r="1" spans="1:19" ht="15.75" x14ac:dyDescent="0.25">
      <c r="A1" s="103" t="s">
        <v>90</v>
      </c>
    </row>
    <row r="2" spans="1:19" ht="15.75" x14ac:dyDescent="0.25">
      <c r="A2" s="103" t="s">
        <v>91</v>
      </c>
    </row>
    <row r="3" spans="1:19" ht="15.75" x14ac:dyDescent="0.25">
      <c r="A3" s="103" t="s">
        <v>92</v>
      </c>
    </row>
    <row r="4" spans="1:19" ht="15.75" x14ac:dyDescent="0.25">
      <c r="A4" s="103" t="s">
        <v>93</v>
      </c>
    </row>
    <row r="5" spans="1:19" ht="15.75" x14ac:dyDescent="0.25">
      <c r="A5" s="103" t="s">
        <v>95</v>
      </c>
    </row>
    <row r="6" spans="1:19" ht="15.75" x14ac:dyDescent="0.25">
      <c r="A6" s="103" t="s">
        <v>96</v>
      </c>
    </row>
    <row r="7" spans="1:19" s="25" customFormat="1" ht="20.25" x14ac:dyDescent="0.3">
      <c r="A7" s="101"/>
    </row>
    <row r="8" spans="1:19" ht="18" x14ac:dyDescent="0.25">
      <c r="A8" s="32" t="s">
        <v>27</v>
      </c>
      <c r="B8" s="32"/>
      <c r="H8" s="29" t="s">
        <v>26</v>
      </c>
    </row>
    <row r="9" spans="1:19" ht="18" x14ac:dyDescent="0.25">
      <c r="A9" s="32"/>
      <c r="B9" s="31" t="s">
        <v>25</v>
      </c>
      <c r="C9" s="30">
        <f>1-0.149</f>
        <v>0.85099999999999998</v>
      </c>
      <c r="D9" s="31" t="s">
        <v>24</v>
      </c>
      <c r="E9" s="30">
        <v>1.149</v>
      </c>
      <c r="H9" s="29"/>
      <c r="P9" s="108"/>
      <c r="Q9" s="108"/>
      <c r="R9" s="108"/>
      <c r="S9" s="108"/>
    </row>
    <row r="10" spans="1:19" ht="15.75" x14ac:dyDescent="0.25">
      <c r="B10" s="107" t="s">
        <v>23</v>
      </c>
      <c r="C10" s="107"/>
      <c r="D10" s="107"/>
      <c r="E10" s="109" t="s">
        <v>22</v>
      </c>
      <c r="F10" s="109"/>
      <c r="G10" s="110"/>
      <c r="H10" s="111" t="s">
        <v>21</v>
      </c>
      <c r="I10" s="111"/>
      <c r="J10" s="111"/>
      <c r="K10" s="111"/>
      <c r="L10" s="110" t="s">
        <v>20</v>
      </c>
      <c r="M10" s="110"/>
      <c r="N10" s="110"/>
      <c r="O10" s="110"/>
      <c r="P10" s="108"/>
      <c r="Q10" s="108"/>
      <c r="R10" s="108"/>
      <c r="S10" s="108"/>
    </row>
    <row r="11" spans="1:19" ht="63" x14ac:dyDescent="0.25">
      <c r="B11" s="28" t="s">
        <v>19</v>
      </c>
      <c r="C11" s="27" t="s">
        <v>17</v>
      </c>
      <c r="D11" s="26" t="s">
        <v>16</v>
      </c>
      <c r="E11" s="28" t="s">
        <v>19</v>
      </c>
      <c r="F11" s="27" t="s">
        <v>17</v>
      </c>
      <c r="G11" s="26" t="s">
        <v>16</v>
      </c>
      <c r="H11" s="28" t="s">
        <v>19</v>
      </c>
      <c r="I11" s="28" t="s">
        <v>18</v>
      </c>
      <c r="J11" s="27" t="s">
        <v>17</v>
      </c>
      <c r="K11" s="26" t="s">
        <v>16</v>
      </c>
      <c r="L11" s="28" t="s">
        <v>19</v>
      </c>
      <c r="M11" s="28" t="s">
        <v>18</v>
      </c>
      <c r="N11" s="27" t="s">
        <v>17</v>
      </c>
      <c r="O11" s="26" t="s">
        <v>16</v>
      </c>
      <c r="P11" s="25"/>
      <c r="Q11" s="21"/>
      <c r="R11" s="21"/>
      <c r="S11" s="21"/>
    </row>
    <row r="12" spans="1:19" ht="13.5" customHeight="1" x14ac:dyDescent="0.25">
      <c r="B12" s="24"/>
      <c r="C12" s="23"/>
      <c r="D12" s="22"/>
      <c r="E12" s="24"/>
      <c r="F12" s="23"/>
      <c r="G12" s="22"/>
      <c r="H12" s="24"/>
      <c r="I12" s="24"/>
      <c r="J12" s="23"/>
      <c r="K12" s="22"/>
      <c r="L12" s="24"/>
      <c r="M12" s="24"/>
      <c r="N12" s="23"/>
      <c r="O12" s="22"/>
      <c r="P12" s="21"/>
      <c r="Q12" s="20"/>
      <c r="R12" s="20"/>
      <c r="S12" s="20"/>
    </row>
    <row r="13" spans="1:19" ht="20.25" x14ac:dyDescent="0.55000000000000004">
      <c r="A13" s="19" t="s">
        <v>15</v>
      </c>
      <c r="B13" s="18" t="s">
        <v>14</v>
      </c>
      <c r="C13" s="18" t="s">
        <v>14</v>
      </c>
      <c r="D13" s="18" t="s">
        <v>14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18" t="s">
        <v>14</v>
      </c>
      <c r="K13" s="18" t="s">
        <v>14</v>
      </c>
      <c r="L13" s="18" t="s">
        <v>14</v>
      </c>
      <c r="M13" s="18" t="s">
        <v>14</v>
      </c>
      <c r="N13" s="18" t="s">
        <v>14</v>
      </c>
      <c r="O13" s="18" t="s">
        <v>14</v>
      </c>
      <c r="P13" s="18"/>
      <c r="Q13" s="18"/>
      <c r="R13" s="18"/>
      <c r="S13" s="18"/>
    </row>
    <row r="14" spans="1:19" ht="15" x14ac:dyDescent="0.2">
      <c r="A14" s="16">
        <v>41275</v>
      </c>
      <c r="B14" s="10">
        <f>2.4363 * CHOOSE(CONTROL!$C$32, $C$9, 100%, $E$9)</f>
        <v>2.4363000000000001</v>
      </c>
      <c r="C14" s="10">
        <f>2.4856 * CHOOSE(CONTROL!$C$32, $C$9, 100%, $E$9)</f>
        <v>2.4855999999999998</v>
      </c>
      <c r="D14" s="10">
        <f>2.5202 * CHOOSE(CONTROL!$C$32, $C$9, 100%, $E$9)</f>
        <v>2.5202</v>
      </c>
      <c r="E14" s="9">
        <f>4.0897 * CHOOSE(CONTROL!$C$32, $C$9, 100%, $E$9)</f>
        <v>4.0896999999999997</v>
      </c>
      <c r="F14" s="9">
        <f>3.5487 * CHOOSE(CONTROL!$C$32, $C$9, 100%, $E$9)</f>
        <v>3.5487000000000002</v>
      </c>
      <c r="G14" s="9">
        <f>3.5602 * CHOOSE(CONTROL!$C$32, $C$9, 100%, $E$9)</f>
        <v>3.5602</v>
      </c>
      <c r="H14" s="9">
        <f>5.79 * CHOOSE(CONTROL!$C$32, $C$9, 100%, $E$9)</f>
        <v>5.79</v>
      </c>
      <c r="I14" s="9">
        <f>5.8015 * CHOOSE(CONTROL!$C$32, $C$9, 100%, $E$9)</f>
        <v>5.8014999999999999</v>
      </c>
      <c r="J14" s="9">
        <f>5.79 * CHOOSE(CONTROL!$C$32, $C$9, 100%, $E$9)</f>
        <v>5.79</v>
      </c>
      <c r="K14" s="9">
        <f>5.8015 * CHOOSE(CONTROL!$C$32, $C$9, 100%, $E$9)</f>
        <v>5.8014999999999999</v>
      </c>
      <c r="L14" s="9">
        <f>4.0897 * CHOOSE(CONTROL!$C$32, $C$9, 100%, $E$9)</f>
        <v>4.0896999999999997</v>
      </c>
      <c r="M14" s="9">
        <f>4.1013 * CHOOSE(CONTROL!$C$32, $C$9, 100%, $E$9)</f>
        <v>4.1013000000000002</v>
      </c>
      <c r="N14" s="9">
        <f>4.0897 * CHOOSE(CONTROL!$C$32, $C$9, 100%, $E$9)</f>
        <v>4.0896999999999997</v>
      </c>
      <c r="O14" s="9">
        <f>4.1013 * CHOOSE(CONTROL!$C$32, $C$9, 100%, $E$9)</f>
        <v>4.1013000000000002</v>
      </c>
      <c r="P14" s="17"/>
      <c r="Q14" s="9"/>
      <c r="R14" s="9"/>
    </row>
    <row r="15" spans="1:19" ht="15" x14ac:dyDescent="0.2">
      <c r="A15" s="16">
        <v>41306</v>
      </c>
      <c r="B15" s="10">
        <f>2.441 * CHOOSE(CONTROL!$C$32, $C$9, 100%, $E$9)</f>
        <v>2.4409999999999998</v>
      </c>
      <c r="C15" s="10">
        <f>2.4903 * CHOOSE(CONTROL!$C$32, $C$9, 100%, $E$9)</f>
        <v>2.4903</v>
      </c>
      <c r="D15" s="10">
        <f>2.5249 * CHOOSE(CONTROL!$C$32, $C$9, 100%, $E$9)</f>
        <v>2.5249000000000001</v>
      </c>
      <c r="E15" s="9">
        <f>3.9826 * CHOOSE(CONTROL!$C$32, $C$9, 100%, $E$9)</f>
        <v>3.9826000000000001</v>
      </c>
      <c r="F15" s="9">
        <f>3.5669 * CHOOSE(CONTROL!$C$32, $C$9, 100%, $E$9)</f>
        <v>3.5669</v>
      </c>
      <c r="G15" s="9">
        <f>3.5784 * CHOOSE(CONTROL!$C$32, $C$9, 100%, $E$9)</f>
        <v>3.5783999999999998</v>
      </c>
      <c r="H15" s="9">
        <f>5.79 * CHOOSE(CONTROL!$C$32, $C$9, 100%, $E$9)</f>
        <v>5.79</v>
      </c>
      <c r="I15" s="9">
        <f>5.8015 * CHOOSE(CONTROL!$C$32, $C$9, 100%, $E$9)</f>
        <v>5.8014999999999999</v>
      </c>
      <c r="J15" s="9">
        <f>5.79 * CHOOSE(CONTROL!$C$32, $C$9, 100%, $E$9)</f>
        <v>5.79</v>
      </c>
      <c r="K15" s="9">
        <f>5.8015 * CHOOSE(CONTROL!$C$32, $C$9, 100%, $E$9)</f>
        <v>5.8014999999999999</v>
      </c>
      <c r="L15" s="9">
        <f>3.9826 * CHOOSE(CONTROL!$C$32, $C$9, 100%, $E$9)</f>
        <v>3.9826000000000001</v>
      </c>
      <c r="M15" s="9">
        <f>3.9941 * CHOOSE(CONTROL!$C$32, $C$9, 100%, $E$9)</f>
        <v>3.9941</v>
      </c>
      <c r="N15" s="9">
        <f>3.9826 * CHOOSE(CONTROL!$C$32, $C$9, 100%, $E$9)</f>
        <v>3.9826000000000001</v>
      </c>
      <c r="O15" s="9">
        <f>3.9941 * CHOOSE(CONTROL!$C$32, $C$9, 100%, $E$9)</f>
        <v>3.9941</v>
      </c>
      <c r="P15" s="17"/>
      <c r="Q15" s="9"/>
      <c r="R15" s="9"/>
    </row>
    <row r="16" spans="1:19" ht="15" x14ac:dyDescent="0.2">
      <c r="A16" s="16">
        <v>41334</v>
      </c>
      <c r="B16" s="10">
        <f>2.4418 * CHOOSE(CONTROL!$C$32, $C$9, 100%, $E$9)</f>
        <v>2.4418000000000002</v>
      </c>
      <c r="C16" s="10">
        <f>2.4932 * CHOOSE(CONTROL!$C$32, $C$9, 100%, $E$9)</f>
        <v>2.4931999999999999</v>
      </c>
      <c r="D16" s="10">
        <f>2.5278 * CHOOSE(CONTROL!$C$32, $C$9, 100%, $E$9)</f>
        <v>2.5278</v>
      </c>
      <c r="E16" s="9">
        <f>3.9826 * CHOOSE(CONTROL!$C$32, $C$9, 100%, $E$9)</f>
        <v>3.9826000000000001</v>
      </c>
      <c r="F16" s="9">
        <f>3.5919 * CHOOSE(CONTROL!$C$32, $C$9, 100%, $E$9)</f>
        <v>3.5918999999999999</v>
      </c>
      <c r="G16" s="9">
        <f>3.6034 * CHOOSE(CONTROL!$C$32, $C$9, 100%, $E$9)</f>
        <v>3.6034000000000002</v>
      </c>
      <c r="H16" s="9">
        <f>5.79 * CHOOSE(CONTROL!$C$32, $C$9, 100%, $E$9)</f>
        <v>5.79</v>
      </c>
      <c r="I16" s="9">
        <f>5.8015 * CHOOSE(CONTROL!$C$32, $C$9, 100%, $E$9)</f>
        <v>5.8014999999999999</v>
      </c>
      <c r="J16" s="9">
        <f>5.79 * CHOOSE(CONTROL!$C$32, $C$9, 100%, $E$9)</f>
        <v>5.79</v>
      </c>
      <c r="K16" s="9">
        <f>5.8015 * CHOOSE(CONTROL!$C$32, $C$9, 100%, $E$9)</f>
        <v>5.8014999999999999</v>
      </c>
      <c r="L16" s="9">
        <f>3.9826 * CHOOSE(CONTROL!$C$32, $C$9, 100%, $E$9)</f>
        <v>3.9826000000000001</v>
      </c>
      <c r="M16" s="9">
        <f>3.9941 * CHOOSE(CONTROL!$C$32, $C$9, 100%, $E$9)</f>
        <v>3.9941</v>
      </c>
      <c r="N16" s="9">
        <f>3.9826 * CHOOSE(CONTROL!$C$32, $C$9, 100%, $E$9)</f>
        <v>3.9826000000000001</v>
      </c>
      <c r="O16" s="9">
        <f>3.9941 * CHOOSE(CONTROL!$C$32, $C$9, 100%, $E$9)</f>
        <v>3.9941</v>
      </c>
      <c r="P16" s="17"/>
      <c r="Q16" s="9"/>
      <c r="R16" s="9"/>
    </row>
    <row r="17" spans="1:18" ht="15" x14ac:dyDescent="0.2">
      <c r="A17" s="16">
        <v>41365</v>
      </c>
      <c r="B17" s="10">
        <f>2.4427 * CHOOSE(CONTROL!$C$32, $C$9, 100%, $E$9)</f>
        <v>2.4426999999999999</v>
      </c>
      <c r="C17" s="10">
        <f>2.4963 * CHOOSE(CONTROL!$C$32, $C$9, 100%, $E$9)</f>
        <v>2.4963000000000002</v>
      </c>
      <c r="D17" s="10">
        <f>2.5309 * CHOOSE(CONTROL!$C$32, $C$9, 100%, $E$9)</f>
        <v>2.5308999999999999</v>
      </c>
      <c r="E17" s="9">
        <f>4.0701 * CHOOSE(CONTROL!$C$32, $C$9, 100%, $E$9)</f>
        <v>4.0701000000000001</v>
      </c>
      <c r="F17" s="9">
        <f>3.5985 * CHOOSE(CONTROL!$C$32, $C$9, 100%, $E$9)</f>
        <v>3.5985</v>
      </c>
      <c r="G17" s="9">
        <f>3.61 * CHOOSE(CONTROL!$C$32, $C$9, 100%, $E$9)</f>
        <v>3.61</v>
      </c>
      <c r="H17" s="9">
        <f>5.8021 * CHOOSE(CONTROL!$C$32, $C$9, 100%, $E$9)</f>
        <v>5.8021000000000003</v>
      </c>
      <c r="I17" s="9">
        <f>5.8136 * CHOOSE(CONTROL!$C$32, $C$9, 100%, $E$9)</f>
        <v>5.8136000000000001</v>
      </c>
      <c r="J17" s="9">
        <f>5.8021 * CHOOSE(CONTROL!$C$32, $C$9, 100%, $E$9)</f>
        <v>5.8021000000000003</v>
      </c>
      <c r="K17" s="9">
        <f>5.8136 * CHOOSE(CONTROL!$C$32, $C$9, 100%, $E$9)</f>
        <v>5.8136000000000001</v>
      </c>
      <c r="L17" s="9">
        <f>4.0701 * CHOOSE(CONTROL!$C$32, $C$9, 100%, $E$9)</f>
        <v>4.0701000000000001</v>
      </c>
      <c r="M17" s="9">
        <f>4.0816 * CHOOSE(CONTROL!$C$32, $C$9, 100%, $E$9)</f>
        <v>4.0815999999999999</v>
      </c>
      <c r="N17" s="9">
        <f>4.0701 * CHOOSE(CONTROL!$C$32, $C$9, 100%, $E$9)</f>
        <v>4.0701000000000001</v>
      </c>
      <c r="O17" s="9">
        <f>4.0816 * CHOOSE(CONTROL!$C$32, $C$9, 100%, $E$9)</f>
        <v>4.0815999999999999</v>
      </c>
      <c r="P17" s="17"/>
      <c r="Q17" s="9"/>
      <c r="R17" s="9"/>
    </row>
    <row r="18" spans="1:18" ht="15" x14ac:dyDescent="0.2">
      <c r="A18" s="16">
        <v>41395</v>
      </c>
      <c r="B18" s="10">
        <f>2.4463 * CHOOSE(CONTROL!$C$32, $C$9, 100%, $E$9)</f>
        <v>2.4462999999999999</v>
      </c>
      <c r="C18" s="10">
        <f>2.4978 * CHOOSE(CONTROL!$C$32, $C$9, 100%, $E$9)</f>
        <v>2.4977999999999998</v>
      </c>
      <c r="D18" s="10">
        <f>2.5432 * CHOOSE(CONTROL!$C$32, $C$9, 100%, $E$9)</f>
        <v>2.5432000000000001</v>
      </c>
      <c r="E18" s="9">
        <f>4.1148 * CHOOSE(CONTROL!$C$32, $C$9, 100%, $E$9)</f>
        <v>4.1147999999999998</v>
      </c>
      <c r="F18" s="9">
        <f>3.5985 * CHOOSE(CONTROL!$C$32, $C$9, 100%, $E$9)</f>
        <v>3.5985</v>
      </c>
      <c r="G18" s="9">
        <f>3.6136 * CHOOSE(CONTROL!$C$32, $C$9, 100%, $E$9)</f>
        <v>3.6135999999999999</v>
      </c>
      <c r="H18" s="9">
        <f>5.8142 * CHOOSE(CONTROL!$C$32, $C$9, 100%, $E$9)</f>
        <v>5.8141999999999996</v>
      </c>
      <c r="I18" s="9">
        <f>5.8292 * CHOOSE(CONTROL!$C$32, $C$9, 100%, $E$9)</f>
        <v>5.8292000000000002</v>
      </c>
      <c r="J18" s="9">
        <f>5.8142 * CHOOSE(CONTROL!$C$32, $C$9, 100%, $E$9)</f>
        <v>5.8141999999999996</v>
      </c>
      <c r="K18" s="9">
        <f>5.8292 * CHOOSE(CONTROL!$C$32, $C$9, 100%, $E$9)</f>
        <v>5.8292000000000002</v>
      </c>
      <c r="L18" s="9">
        <f>4.1148 * CHOOSE(CONTROL!$C$32, $C$9, 100%, $E$9)</f>
        <v>4.1147999999999998</v>
      </c>
      <c r="M18" s="9">
        <f>4.1299 * CHOOSE(CONTROL!$C$32, $C$9, 100%, $E$9)</f>
        <v>4.1299000000000001</v>
      </c>
      <c r="N18" s="9">
        <f>4.1148 * CHOOSE(CONTROL!$C$32, $C$9, 100%, $E$9)</f>
        <v>4.1147999999999998</v>
      </c>
      <c r="O18" s="9">
        <f>4.1299 * CHOOSE(CONTROL!$C$32, $C$9, 100%, $E$9)</f>
        <v>4.1299000000000001</v>
      </c>
      <c r="P18" s="17"/>
      <c r="Q18" s="9"/>
      <c r="R18" s="9"/>
    </row>
    <row r="19" spans="1:18" ht="15" x14ac:dyDescent="0.2">
      <c r="A19" s="16">
        <v>41426</v>
      </c>
      <c r="B19" s="10">
        <f>2.4471 * CHOOSE(CONTROL!$C$32, $C$9, 100%, $E$9)</f>
        <v>2.4470999999999998</v>
      </c>
      <c r="C19" s="10">
        <f>2.5007 * CHOOSE(CONTROL!$C$32, $C$9, 100%, $E$9)</f>
        <v>2.5007000000000001</v>
      </c>
      <c r="D19" s="10">
        <f>2.5461 * CHOOSE(CONTROL!$C$32, $C$9, 100%, $E$9)</f>
        <v>2.5461</v>
      </c>
      <c r="E19" s="9">
        <f>4.1148 * CHOOSE(CONTROL!$C$32, $C$9, 100%, $E$9)</f>
        <v>4.1147999999999998</v>
      </c>
      <c r="F19" s="9">
        <f>3.5985 * CHOOSE(CONTROL!$C$32, $C$9, 100%, $E$9)</f>
        <v>3.5985</v>
      </c>
      <c r="G19" s="9">
        <f>3.6136 * CHOOSE(CONTROL!$C$32, $C$9, 100%, $E$9)</f>
        <v>3.6135999999999999</v>
      </c>
      <c r="H19" s="9">
        <f>5.8263 * CHOOSE(CONTROL!$C$32, $C$9, 100%, $E$9)</f>
        <v>5.8262999999999998</v>
      </c>
      <c r="I19" s="9">
        <f>5.8413 * CHOOSE(CONTROL!$C$32, $C$9, 100%, $E$9)</f>
        <v>5.8413000000000004</v>
      </c>
      <c r="J19" s="9">
        <f>5.8263 * CHOOSE(CONTROL!$C$32, $C$9, 100%, $E$9)</f>
        <v>5.8262999999999998</v>
      </c>
      <c r="K19" s="9">
        <f>5.8413 * CHOOSE(CONTROL!$C$32, $C$9, 100%, $E$9)</f>
        <v>5.8413000000000004</v>
      </c>
      <c r="L19" s="9">
        <f>4.1148 * CHOOSE(CONTROL!$C$32, $C$9, 100%, $E$9)</f>
        <v>4.1147999999999998</v>
      </c>
      <c r="M19" s="9">
        <f>4.1299 * CHOOSE(CONTROL!$C$32, $C$9, 100%, $E$9)</f>
        <v>4.1299000000000001</v>
      </c>
      <c r="N19" s="9">
        <f>4.1148 * CHOOSE(CONTROL!$C$32, $C$9, 100%, $E$9)</f>
        <v>4.1147999999999998</v>
      </c>
      <c r="O19" s="9">
        <f>4.1299 * CHOOSE(CONTROL!$C$32, $C$9, 100%, $E$9)</f>
        <v>4.1299000000000001</v>
      </c>
      <c r="P19" s="17"/>
      <c r="Q19" s="9"/>
      <c r="R19" s="9"/>
    </row>
    <row r="20" spans="1:18" ht="15" x14ac:dyDescent="0.2">
      <c r="A20" s="16">
        <v>41456</v>
      </c>
      <c r="B20" s="10">
        <f>2.449 * CHOOSE(CONTROL!$C$32, $C$9, 100%, $E$9)</f>
        <v>2.4489999999999998</v>
      </c>
      <c r="C20" s="10">
        <f>2.5067 * CHOOSE(CONTROL!$C$32, $C$9, 100%, $E$9)</f>
        <v>2.5066999999999999</v>
      </c>
      <c r="D20" s="10">
        <f>2.5521 * CHOOSE(CONTROL!$C$32, $C$9, 100%, $E$9)</f>
        <v>2.5520999999999998</v>
      </c>
      <c r="E20" s="9">
        <f>4.2046 * CHOOSE(CONTROL!$C$32, $C$9, 100%, $E$9)</f>
        <v>4.2046000000000001</v>
      </c>
      <c r="F20" s="9">
        <f>3.6027 * CHOOSE(CONTROL!$C$32, $C$9, 100%, $E$9)</f>
        <v>3.6027</v>
      </c>
      <c r="G20" s="9">
        <f>3.6178 * CHOOSE(CONTROL!$C$32, $C$9, 100%, $E$9)</f>
        <v>3.6177999999999999</v>
      </c>
      <c r="H20" s="9">
        <f>5.8384 * CHOOSE(CONTROL!$C$32, $C$9, 100%, $E$9)</f>
        <v>5.8384</v>
      </c>
      <c r="I20" s="9">
        <f>5.8535 * CHOOSE(CONTROL!$C$32, $C$9, 100%, $E$9)</f>
        <v>5.8535000000000004</v>
      </c>
      <c r="J20" s="9">
        <f>5.8384 * CHOOSE(CONTROL!$C$32, $C$9, 100%, $E$9)</f>
        <v>5.8384</v>
      </c>
      <c r="K20" s="9">
        <f>5.8535 * CHOOSE(CONTROL!$C$32, $C$9, 100%, $E$9)</f>
        <v>5.8535000000000004</v>
      </c>
      <c r="L20" s="9">
        <f>4.2046 * CHOOSE(CONTROL!$C$32, $C$9, 100%, $E$9)</f>
        <v>4.2046000000000001</v>
      </c>
      <c r="M20" s="9">
        <f>4.2197 * CHOOSE(CONTROL!$C$32, $C$9, 100%, $E$9)</f>
        <v>4.2196999999999996</v>
      </c>
      <c r="N20" s="9">
        <f>4.2046 * CHOOSE(CONTROL!$C$32, $C$9, 100%, $E$9)</f>
        <v>4.2046000000000001</v>
      </c>
      <c r="O20" s="9">
        <f>4.2197 * CHOOSE(CONTROL!$C$32, $C$9, 100%, $E$9)</f>
        <v>4.2196999999999996</v>
      </c>
      <c r="P20" s="17"/>
      <c r="Q20" s="9"/>
      <c r="R20" s="9"/>
    </row>
    <row r="21" spans="1:18" ht="15" x14ac:dyDescent="0.2">
      <c r="A21" s="16">
        <v>41487</v>
      </c>
      <c r="B21" s="10">
        <f>2.4554 * CHOOSE(CONTROL!$C$32, $C$9, 100%, $E$9)</f>
        <v>2.4554</v>
      </c>
      <c r="C21" s="10">
        <f>2.5174 * CHOOSE(CONTROL!$C$32, $C$9, 100%, $E$9)</f>
        <v>2.5173999999999999</v>
      </c>
      <c r="D21" s="10">
        <f>2.5628 * CHOOSE(CONTROL!$C$32, $C$9, 100%, $E$9)</f>
        <v>2.5628000000000002</v>
      </c>
      <c r="E21" s="9">
        <f>4.1681 * CHOOSE(CONTROL!$C$32, $C$9, 100%, $E$9)</f>
        <v>4.1680999999999999</v>
      </c>
      <c r="F21" s="9">
        <f>3.605 * CHOOSE(CONTROL!$C$32, $C$9, 100%, $E$9)</f>
        <v>3.605</v>
      </c>
      <c r="G21" s="9">
        <f>3.62 * CHOOSE(CONTROL!$C$32, $C$9, 100%, $E$9)</f>
        <v>3.62</v>
      </c>
      <c r="H21" s="9">
        <f>5.8506 * CHOOSE(CONTROL!$C$32, $C$9, 100%, $E$9)</f>
        <v>5.8506</v>
      </c>
      <c r="I21" s="9">
        <f>5.8656 * CHOOSE(CONTROL!$C$32, $C$9, 100%, $E$9)</f>
        <v>5.8655999999999997</v>
      </c>
      <c r="J21" s="9">
        <f>5.8506 * CHOOSE(CONTROL!$C$32, $C$9, 100%, $E$9)</f>
        <v>5.8506</v>
      </c>
      <c r="K21" s="9">
        <f>5.8656 * CHOOSE(CONTROL!$C$32, $C$9, 100%, $E$9)</f>
        <v>5.8655999999999997</v>
      </c>
      <c r="L21" s="9">
        <f>4.1681 * CHOOSE(CONTROL!$C$32, $C$9, 100%, $E$9)</f>
        <v>4.1680999999999999</v>
      </c>
      <c r="M21" s="9">
        <f>4.1832 * CHOOSE(CONTROL!$C$32, $C$9, 100%, $E$9)</f>
        <v>4.1832000000000003</v>
      </c>
      <c r="N21" s="9">
        <f>4.1681 * CHOOSE(CONTROL!$C$32, $C$9, 100%, $E$9)</f>
        <v>4.1680999999999999</v>
      </c>
      <c r="O21" s="9">
        <f>4.1832 * CHOOSE(CONTROL!$C$32, $C$9, 100%, $E$9)</f>
        <v>4.1832000000000003</v>
      </c>
      <c r="P21" s="17"/>
      <c r="Q21" s="9"/>
      <c r="R21" s="9"/>
    </row>
    <row r="22" spans="1:18" ht="15" x14ac:dyDescent="0.2">
      <c r="A22" s="16">
        <v>41518</v>
      </c>
      <c r="B22" s="10">
        <f>2.4534 * CHOOSE(CONTROL!$C$32, $C$9, 100%, $E$9)</f>
        <v>2.4533999999999998</v>
      </c>
      <c r="C22" s="10">
        <f>2.5111 * CHOOSE(CONTROL!$C$32, $C$9, 100%, $E$9)</f>
        <v>2.5110999999999999</v>
      </c>
      <c r="D22" s="10">
        <f>2.5565 * CHOOSE(CONTROL!$C$32, $C$9, 100%, $E$9)</f>
        <v>2.5565000000000002</v>
      </c>
      <c r="E22" s="9">
        <f>4.1681 * CHOOSE(CONTROL!$C$32, $C$9, 100%, $E$9)</f>
        <v>4.1680999999999999</v>
      </c>
      <c r="F22" s="9">
        <f>3.6459 * CHOOSE(CONTROL!$C$32, $C$9, 100%, $E$9)</f>
        <v>3.6459000000000001</v>
      </c>
      <c r="G22" s="9">
        <f>3.661 * CHOOSE(CONTROL!$C$32, $C$9, 100%, $E$9)</f>
        <v>3.661</v>
      </c>
      <c r="H22" s="9">
        <f>5.8628 * CHOOSE(CONTROL!$C$32, $C$9, 100%, $E$9)</f>
        <v>5.8628</v>
      </c>
      <c r="I22" s="9">
        <f>5.8778 * CHOOSE(CONTROL!$C$32, $C$9, 100%, $E$9)</f>
        <v>5.8777999999999997</v>
      </c>
      <c r="J22" s="9">
        <f>5.8628 * CHOOSE(CONTROL!$C$32, $C$9, 100%, $E$9)</f>
        <v>5.8628</v>
      </c>
      <c r="K22" s="9">
        <f>5.8778 * CHOOSE(CONTROL!$C$32, $C$9, 100%, $E$9)</f>
        <v>5.8777999999999997</v>
      </c>
      <c r="L22" s="9">
        <f>4.1681 * CHOOSE(CONTROL!$C$32, $C$9, 100%, $E$9)</f>
        <v>4.1680999999999999</v>
      </c>
      <c r="M22" s="9">
        <f>4.1832 * CHOOSE(CONTROL!$C$32, $C$9, 100%, $E$9)</f>
        <v>4.1832000000000003</v>
      </c>
      <c r="N22" s="9">
        <f>4.1681 * CHOOSE(CONTROL!$C$32, $C$9, 100%, $E$9)</f>
        <v>4.1680999999999999</v>
      </c>
      <c r="O22" s="9">
        <f>4.1832 * CHOOSE(CONTROL!$C$32, $C$9, 100%, $E$9)</f>
        <v>4.1832000000000003</v>
      </c>
      <c r="P22" s="17"/>
      <c r="Q22" s="9"/>
      <c r="R22" s="9"/>
    </row>
    <row r="23" spans="1:18" ht="15" x14ac:dyDescent="0.2">
      <c r="A23" s="16">
        <v>41548</v>
      </c>
      <c r="B23" s="10">
        <f>2.4506 * CHOOSE(CONTROL!$C$32, $C$9, 100%, $E$9)</f>
        <v>2.4506000000000001</v>
      </c>
      <c r="C23" s="10">
        <f>2.502 * CHOOSE(CONTROL!$C$32, $C$9, 100%, $E$9)</f>
        <v>2.5019999999999998</v>
      </c>
      <c r="D23" s="10">
        <f>2.5366 * CHOOSE(CONTROL!$C$32, $C$9, 100%, $E$9)</f>
        <v>2.5366</v>
      </c>
      <c r="E23" s="9">
        <f>4.2553 * CHOOSE(CONTROL!$C$32, $C$9, 100%, $E$9)</f>
        <v>4.2553000000000001</v>
      </c>
      <c r="F23" s="9">
        <f>3.6481 * CHOOSE(CONTROL!$C$32, $C$9, 100%, $E$9)</f>
        <v>3.6480999999999999</v>
      </c>
      <c r="G23" s="9">
        <f>3.6596 * CHOOSE(CONTROL!$C$32, $C$9, 100%, $E$9)</f>
        <v>3.6596000000000002</v>
      </c>
      <c r="H23" s="9">
        <f>5.875 * CHOOSE(CONTROL!$C$32, $C$9, 100%, $E$9)</f>
        <v>5.875</v>
      </c>
      <c r="I23" s="9">
        <f>5.8865 * CHOOSE(CONTROL!$C$32, $C$9, 100%, $E$9)</f>
        <v>5.8864999999999998</v>
      </c>
      <c r="J23" s="9">
        <f>5.875 * CHOOSE(CONTROL!$C$32, $C$9, 100%, $E$9)</f>
        <v>5.875</v>
      </c>
      <c r="K23" s="9">
        <f>5.8865 * CHOOSE(CONTROL!$C$32, $C$9, 100%, $E$9)</f>
        <v>5.8864999999999998</v>
      </c>
      <c r="L23" s="9">
        <f>4.2553 * CHOOSE(CONTROL!$C$32, $C$9, 100%, $E$9)</f>
        <v>4.2553000000000001</v>
      </c>
      <c r="M23" s="9">
        <f>4.2669 * CHOOSE(CONTROL!$C$32, $C$9, 100%, $E$9)</f>
        <v>4.2668999999999997</v>
      </c>
      <c r="N23" s="9">
        <f>4.2553 * CHOOSE(CONTROL!$C$32, $C$9, 100%, $E$9)</f>
        <v>4.2553000000000001</v>
      </c>
      <c r="O23" s="9">
        <f>4.2669 * CHOOSE(CONTROL!$C$32, $C$9, 100%, $E$9)</f>
        <v>4.2668999999999997</v>
      </c>
      <c r="P23" s="17"/>
      <c r="Q23" s="9"/>
      <c r="R23" s="9"/>
    </row>
    <row r="24" spans="1:18" ht="15" x14ac:dyDescent="0.2">
      <c r="A24" s="16">
        <v>41579</v>
      </c>
      <c r="B24" s="10">
        <f>2.4533 * CHOOSE(CONTROL!$C$32, $C$9, 100%, $E$9)</f>
        <v>2.4533</v>
      </c>
      <c r="C24" s="10">
        <f>2.5005 * CHOOSE(CONTROL!$C$32, $C$9, 100%, $E$9)</f>
        <v>2.5005000000000002</v>
      </c>
      <c r="D24" s="10">
        <f>2.5351 * CHOOSE(CONTROL!$C$32, $C$9, 100%, $E$9)</f>
        <v>2.5350999999999999</v>
      </c>
      <c r="E24" s="9">
        <f>4.2163 * CHOOSE(CONTROL!$C$32, $C$9, 100%, $E$9)</f>
        <v>4.2163000000000004</v>
      </c>
      <c r="F24" s="9">
        <f>3.6458 * CHOOSE(CONTROL!$C$32, $C$9, 100%, $E$9)</f>
        <v>3.6457999999999999</v>
      </c>
      <c r="G24" s="9">
        <f>3.6573 * CHOOSE(CONTROL!$C$32, $C$9, 100%, $E$9)</f>
        <v>3.6573000000000002</v>
      </c>
      <c r="H24" s="9">
        <f>5.8872 * CHOOSE(CONTROL!$C$32, $C$9, 100%, $E$9)</f>
        <v>5.8872</v>
      </c>
      <c r="I24" s="9">
        <f>5.8987 * CHOOSE(CONTROL!$C$32, $C$9, 100%, $E$9)</f>
        <v>5.8986999999999998</v>
      </c>
      <c r="J24" s="9">
        <f>5.8872 * CHOOSE(CONTROL!$C$32, $C$9, 100%, $E$9)</f>
        <v>5.8872</v>
      </c>
      <c r="K24" s="9">
        <f>5.8987 * CHOOSE(CONTROL!$C$32, $C$9, 100%, $E$9)</f>
        <v>5.8986999999999998</v>
      </c>
      <c r="L24" s="9">
        <f>4.2163 * CHOOSE(CONTROL!$C$32, $C$9, 100%, $E$9)</f>
        <v>4.2163000000000004</v>
      </c>
      <c r="M24" s="9">
        <f>4.2278 * CHOOSE(CONTROL!$C$32, $C$9, 100%, $E$9)</f>
        <v>4.2278000000000002</v>
      </c>
      <c r="N24" s="9">
        <f>4.2163 * CHOOSE(CONTROL!$C$32, $C$9, 100%, $E$9)</f>
        <v>4.2163000000000004</v>
      </c>
      <c r="O24" s="9">
        <f>4.2278 * CHOOSE(CONTROL!$C$32, $C$9, 100%, $E$9)</f>
        <v>4.2278000000000002</v>
      </c>
      <c r="P24" s="17"/>
      <c r="Q24" s="9"/>
      <c r="R24" s="9"/>
    </row>
    <row r="25" spans="1:18" ht="15" x14ac:dyDescent="0.2">
      <c r="A25" s="16">
        <v>41609</v>
      </c>
      <c r="B25" s="10">
        <f>2.4559 * CHOOSE(CONTROL!$C$32, $C$9, 100%, $E$9)</f>
        <v>2.4559000000000002</v>
      </c>
      <c r="C25" s="10">
        <f>2.5094 * CHOOSE(CONTROL!$C$32, $C$9, 100%, $E$9)</f>
        <v>2.5093999999999999</v>
      </c>
      <c r="D25" s="10">
        <f>2.544 * CHOOSE(CONTROL!$C$32, $C$9, 100%, $E$9)</f>
        <v>2.544</v>
      </c>
      <c r="E25" s="9">
        <f>4.1195 * CHOOSE(CONTROL!$C$32, $C$9, 100%, $E$9)</f>
        <v>4.1195000000000004</v>
      </c>
      <c r="F25" s="9">
        <f>3.6458 * CHOOSE(CONTROL!$C$32, $C$9, 100%, $E$9)</f>
        <v>3.6457999999999999</v>
      </c>
      <c r="G25" s="9">
        <f>3.6573 * CHOOSE(CONTROL!$C$32, $C$9, 100%, $E$9)</f>
        <v>3.6573000000000002</v>
      </c>
      <c r="H25" s="9">
        <f>5.8995 * CHOOSE(CONTROL!$C$32, $C$9, 100%, $E$9)</f>
        <v>5.8994999999999997</v>
      </c>
      <c r="I25" s="9">
        <f>5.911 * CHOOSE(CONTROL!$C$32, $C$9, 100%, $E$9)</f>
        <v>5.9109999999999996</v>
      </c>
      <c r="J25" s="9">
        <f>5.8995 * CHOOSE(CONTROL!$C$32, $C$9, 100%, $E$9)</f>
        <v>5.8994999999999997</v>
      </c>
      <c r="K25" s="9">
        <f>5.911 * CHOOSE(CONTROL!$C$32, $C$9, 100%, $E$9)</f>
        <v>5.9109999999999996</v>
      </c>
      <c r="L25" s="9">
        <f>4.1195 * CHOOSE(CONTROL!$C$32, $C$9, 100%, $E$9)</f>
        <v>4.1195000000000004</v>
      </c>
      <c r="M25" s="9">
        <f>4.131 * CHOOSE(CONTROL!$C$32, $C$9, 100%, $E$9)</f>
        <v>4.1310000000000002</v>
      </c>
      <c r="N25" s="9">
        <f>4.1195 * CHOOSE(CONTROL!$C$32, $C$9, 100%, $E$9)</f>
        <v>4.1195000000000004</v>
      </c>
      <c r="O25" s="9">
        <f>4.131 * CHOOSE(CONTROL!$C$32, $C$9, 100%, $E$9)</f>
        <v>4.1310000000000002</v>
      </c>
      <c r="P25" s="17"/>
      <c r="Q25" s="9"/>
      <c r="R25" s="9"/>
    </row>
    <row r="26" spans="1:18" ht="15" x14ac:dyDescent="0.2">
      <c r="A26" s="16">
        <v>41640</v>
      </c>
      <c r="B26" s="10">
        <f>2.4985 * CHOOSE(CONTROL!$C$32, $C$9, 100%, $E$9)</f>
        <v>2.4984999999999999</v>
      </c>
      <c r="C26" s="10">
        <f>2.5259 * CHOOSE(CONTROL!$C$32, $C$9, 100%, $E$9)</f>
        <v>2.5259</v>
      </c>
      <c r="D26" s="10">
        <f>2.5605 * CHOOSE(CONTROL!$C$32, $C$9, 100%, $E$9)</f>
        <v>2.5605000000000002</v>
      </c>
      <c r="E26" s="9">
        <f>3.5428 * CHOOSE(CONTROL!$C$32, $C$9, 100%, $E$9)</f>
        <v>3.5428000000000002</v>
      </c>
      <c r="F26" s="9">
        <f>3.525 * CHOOSE(CONTROL!$C$32, $C$9, 100%, $E$9)</f>
        <v>3.5249999999999999</v>
      </c>
      <c r="G26" s="9">
        <f>3.5366 * CHOOSE(CONTROL!$C$32, $C$9, 100%, $E$9)</f>
        <v>3.5366</v>
      </c>
      <c r="H26" s="9">
        <f>5.9118 * CHOOSE(CONTROL!$C$32, $C$9, 100%, $E$9)</f>
        <v>5.9118000000000004</v>
      </c>
      <c r="I26" s="9">
        <f>5.9233 * CHOOSE(CONTROL!$C$32, $C$9, 100%, $E$9)</f>
        <v>5.9233000000000002</v>
      </c>
      <c r="J26" s="9">
        <f>5.9118 * CHOOSE(CONTROL!$C$32, $C$9, 100%, $E$9)</f>
        <v>5.9118000000000004</v>
      </c>
      <c r="K26" s="9">
        <f>5.9233 * CHOOSE(CONTROL!$C$32, $C$9, 100%, $E$9)</f>
        <v>5.9233000000000002</v>
      </c>
      <c r="L26" s="9">
        <f>3.5428 * CHOOSE(CONTROL!$C$32, $C$9, 100%, $E$9)</f>
        <v>3.5428000000000002</v>
      </c>
      <c r="M26" s="9">
        <f>3.5544 * CHOOSE(CONTROL!$C$32, $C$9, 100%, $E$9)</f>
        <v>3.5543999999999998</v>
      </c>
      <c r="N26" s="9">
        <f>3.5428 * CHOOSE(CONTROL!$C$32, $C$9, 100%, $E$9)</f>
        <v>3.5428000000000002</v>
      </c>
      <c r="O26" s="9">
        <f>3.5544 * CHOOSE(CONTROL!$C$32, $C$9, 100%, $E$9)</f>
        <v>3.5543999999999998</v>
      </c>
      <c r="P26" s="17"/>
      <c r="Q26" s="9"/>
      <c r="R26" s="9"/>
    </row>
    <row r="27" spans="1:18" ht="15" x14ac:dyDescent="0.2">
      <c r="A27" s="16">
        <v>41671</v>
      </c>
      <c r="B27" s="10">
        <f>2.5018 * CHOOSE(CONTROL!$C$32, $C$9, 100%, $E$9)</f>
        <v>2.5017999999999998</v>
      </c>
      <c r="C27" s="10">
        <f>2.5277 * CHOOSE(CONTROL!$C$32, $C$9, 100%, $E$9)</f>
        <v>2.5276999999999998</v>
      </c>
      <c r="D27" s="10">
        <f>2.5622 * CHOOSE(CONTROL!$C$32, $C$9, 100%, $E$9)</f>
        <v>2.5621999999999998</v>
      </c>
      <c r="E27" s="9">
        <f>3.5391 * CHOOSE(CONTROL!$C$32, $C$9, 100%, $E$9)</f>
        <v>3.5390999999999999</v>
      </c>
      <c r="F27" s="9">
        <f>3.517 * CHOOSE(CONTROL!$C$32, $C$9, 100%, $E$9)</f>
        <v>3.5169999999999999</v>
      </c>
      <c r="G27" s="9">
        <f>3.5286 * CHOOSE(CONTROL!$C$32, $C$9, 100%, $E$9)</f>
        <v>3.5286</v>
      </c>
      <c r="H27" s="9">
        <f>5.9241 * CHOOSE(CONTROL!$C$32, $C$9, 100%, $E$9)</f>
        <v>5.9241000000000001</v>
      </c>
      <c r="I27" s="9">
        <f>5.9356 * CHOOSE(CONTROL!$C$32, $C$9, 100%, $E$9)</f>
        <v>5.9356</v>
      </c>
      <c r="J27" s="9">
        <f>5.9241 * CHOOSE(CONTROL!$C$32, $C$9, 100%, $E$9)</f>
        <v>5.9241000000000001</v>
      </c>
      <c r="K27" s="9">
        <f>5.9356 * CHOOSE(CONTROL!$C$32, $C$9, 100%, $E$9)</f>
        <v>5.9356</v>
      </c>
      <c r="L27" s="9">
        <f>3.5391 * CHOOSE(CONTROL!$C$32, $C$9, 100%, $E$9)</f>
        <v>3.5390999999999999</v>
      </c>
      <c r="M27" s="9">
        <f>3.5506 * CHOOSE(CONTROL!$C$32, $C$9, 100%, $E$9)</f>
        <v>3.5506000000000002</v>
      </c>
      <c r="N27" s="9">
        <f>3.5391 * CHOOSE(CONTROL!$C$32, $C$9, 100%, $E$9)</f>
        <v>3.5390999999999999</v>
      </c>
      <c r="O27" s="9">
        <f>3.5506 * CHOOSE(CONTROL!$C$32, $C$9, 100%, $E$9)</f>
        <v>3.5506000000000002</v>
      </c>
      <c r="P27" s="17"/>
      <c r="Q27" s="9"/>
      <c r="R27" s="9"/>
    </row>
    <row r="28" spans="1:18" ht="15" x14ac:dyDescent="0.2">
      <c r="A28" s="16">
        <v>41699</v>
      </c>
      <c r="B28" s="10">
        <f>2.5001 * CHOOSE(CONTROL!$C$32, $C$9, 100%, $E$9)</f>
        <v>2.5001000000000002</v>
      </c>
      <c r="C28" s="10">
        <f>2.5244 * CHOOSE(CONTROL!$C$32, $C$9, 100%, $E$9)</f>
        <v>2.5244</v>
      </c>
      <c r="D28" s="10">
        <f>2.559 * CHOOSE(CONTROL!$C$32, $C$9, 100%, $E$9)</f>
        <v>2.5590000000000002</v>
      </c>
      <c r="E28" s="9">
        <f>3.5362 * CHOOSE(CONTROL!$C$32, $C$9, 100%, $E$9)</f>
        <v>3.5362</v>
      </c>
      <c r="F28" s="9">
        <f>3.511 * CHOOSE(CONTROL!$C$32, $C$9, 100%, $E$9)</f>
        <v>3.5110000000000001</v>
      </c>
      <c r="G28" s="9">
        <f>3.5226 * CHOOSE(CONTROL!$C$32, $C$9, 100%, $E$9)</f>
        <v>3.5226000000000002</v>
      </c>
      <c r="H28" s="9">
        <f>5.9364 * CHOOSE(CONTROL!$C$32, $C$9, 100%, $E$9)</f>
        <v>5.9363999999999999</v>
      </c>
      <c r="I28" s="9">
        <f>5.9479 * CHOOSE(CONTROL!$C$32, $C$9, 100%, $E$9)</f>
        <v>5.9478999999999997</v>
      </c>
      <c r="J28" s="9">
        <f>5.9364 * CHOOSE(CONTROL!$C$32, $C$9, 100%, $E$9)</f>
        <v>5.9363999999999999</v>
      </c>
      <c r="K28" s="9">
        <f>5.9479 * CHOOSE(CONTROL!$C$32, $C$9, 100%, $E$9)</f>
        <v>5.9478999999999997</v>
      </c>
      <c r="L28" s="9">
        <f>3.5362 * CHOOSE(CONTROL!$C$32, $C$9, 100%, $E$9)</f>
        <v>3.5362</v>
      </c>
      <c r="M28" s="9">
        <f>3.5477 * CHOOSE(CONTROL!$C$32, $C$9, 100%, $E$9)</f>
        <v>3.5476999999999999</v>
      </c>
      <c r="N28" s="9">
        <f>3.5362 * CHOOSE(CONTROL!$C$32, $C$9, 100%, $E$9)</f>
        <v>3.5362</v>
      </c>
      <c r="O28" s="9">
        <f>3.5477 * CHOOSE(CONTROL!$C$32, $C$9, 100%, $E$9)</f>
        <v>3.5476999999999999</v>
      </c>
      <c r="P28" s="17"/>
      <c r="Q28" s="9"/>
      <c r="R28" s="9"/>
    </row>
    <row r="29" spans="1:18" ht="15" x14ac:dyDescent="0.2">
      <c r="A29" s="16">
        <v>41730</v>
      </c>
      <c r="B29" s="10">
        <f>2.4986 * CHOOSE(CONTROL!$C$32, $C$9, 100%, $E$9)</f>
        <v>2.4986000000000002</v>
      </c>
      <c r="C29" s="10">
        <f>2.5214 * CHOOSE(CONTROL!$C$32, $C$9, 100%, $E$9)</f>
        <v>2.5213999999999999</v>
      </c>
      <c r="D29" s="10">
        <f>2.556 * CHOOSE(CONTROL!$C$32, $C$9, 100%, $E$9)</f>
        <v>2.556</v>
      </c>
      <c r="E29" s="9">
        <f>3.5358 * CHOOSE(CONTROL!$C$32, $C$9, 100%, $E$9)</f>
        <v>3.5358000000000001</v>
      </c>
      <c r="F29" s="9">
        <f>3.5101 * CHOOSE(CONTROL!$C$32, $C$9, 100%, $E$9)</f>
        <v>3.5101</v>
      </c>
      <c r="G29" s="9">
        <f>3.5216 * CHOOSE(CONTROL!$C$32, $C$9, 100%, $E$9)</f>
        <v>3.5215999999999998</v>
      </c>
      <c r="H29" s="9">
        <f>5.9488 * CHOOSE(CONTROL!$C$32, $C$9, 100%, $E$9)</f>
        <v>5.9488000000000003</v>
      </c>
      <c r="I29" s="9">
        <f>5.9603 * CHOOSE(CONTROL!$C$32, $C$9, 100%, $E$9)</f>
        <v>5.9603000000000002</v>
      </c>
      <c r="J29" s="9">
        <f>5.9488 * CHOOSE(CONTROL!$C$32, $C$9, 100%, $E$9)</f>
        <v>5.9488000000000003</v>
      </c>
      <c r="K29" s="9">
        <f>5.9603 * CHOOSE(CONTROL!$C$32, $C$9, 100%, $E$9)</f>
        <v>5.9603000000000002</v>
      </c>
      <c r="L29" s="9">
        <f>3.5358 * CHOOSE(CONTROL!$C$32, $C$9, 100%, $E$9)</f>
        <v>3.5358000000000001</v>
      </c>
      <c r="M29" s="9">
        <f>3.5473 * CHOOSE(CONTROL!$C$32, $C$9, 100%, $E$9)</f>
        <v>3.5472999999999999</v>
      </c>
      <c r="N29" s="9">
        <f>3.5358 * CHOOSE(CONTROL!$C$32, $C$9, 100%, $E$9)</f>
        <v>3.5358000000000001</v>
      </c>
      <c r="O29" s="9">
        <f>3.5473 * CHOOSE(CONTROL!$C$32, $C$9, 100%, $E$9)</f>
        <v>3.5472999999999999</v>
      </c>
      <c r="P29" s="17"/>
      <c r="Q29" s="9"/>
      <c r="R29" s="9"/>
    </row>
    <row r="30" spans="1:18" ht="15" x14ac:dyDescent="0.2">
      <c r="A30" s="16">
        <v>41760</v>
      </c>
      <c r="B30" s="10">
        <f>2.5017 * CHOOSE(CONTROL!$C$32, $C$9, 100%, $E$9)</f>
        <v>2.5017</v>
      </c>
      <c r="C30" s="10">
        <f>2.5229 * CHOOSE(CONTROL!$C$32, $C$9, 100%, $E$9)</f>
        <v>2.5228999999999999</v>
      </c>
      <c r="D30" s="10">
        <f>2.5683 * CHOOSE(CONTROL!$C$32, $C$9, 100%, $E$9)</f>
        <v>2.5682999999999998</v>
      </c>
      <c r="E30" s="9">
        <f>3.5348 * CHOOSE(CONTROL!$C$32, $C$9, 100%, $E$9)</f>
        <v>3.5348000000000002</v>
      </c>
      <c r="F30" s="9">
        <f>3.5081 * CHOOSE(CONTROL!$C$32, $C$9, 100%, $E$9)</f>
        <v>3.5081000000000002</v>
      </c>
      <c r="G30" s="9">
        <f>3.5231 * CHOOSE(CONTROL!$C$32, $C$9, 100%, $E$9)</f>
        <v>3.5230999999999999</v>
      </c>
      <c r="H30" s="9">
        <f>5.9612 * CHOOSE(CONTROL!$C$32, $C$9, 100%, $E$9)</f>
        <v>5.9611999999999998</v>
      </c>
      <c r="I30" s="9">
        <f>5.9763 * CHOOSE(CONTROL!$C$32, $C$9, 100%, $E$9)</f>
        <v>5.9763000000000002</v>
      </c>
      <c r="J30" s="9">
        <f>5.9612 * CHOOSE(CONTROL!$C$32, $C$9, 100%, $E$9)</f>
        <v>5.9611999999999998</v>
      </c>
      <c r="K30" s="9">
        <f>5.9763 * CHOOSE(CONTROL!$C$32, $C$9, 100%, $E$9)</f>
        <v>5.9763000000000002</v>
      </c>
      <c r="L30" s="9">
        <f>3.5348 * CHOOSE(CONTROL!$C$32, $C$9, 100%, $E$9)</f>
        <v>3.5348000000000002</v>
      </c>
      <c r="M30" s="9">
        <f>3.5499 * CHOOSE(CONTROL!$C$32, $C$9, 100%, $E$9)</f>
        <v>3.5499000000000001</v>
      </c>
      <c r="N30" s="9">
        <f>3.5348 * CHOOSE(CONTROL!$C$32, $C$9, 100%, $E$9)</f>
        <v>3.5348000000000002</v>
      </c>
      <c r="O30" s="9">
        <f>3.5499 * CHOOSE(CONTROL!$C$32, $C$9, 100%, $E$9)</f>
        <v>3.5499000000000001</v>
      </c>
      <c r="P30" s="17"/>
      <c r="Q30" s="9"/>
      <c r="R30" s="9"/>
    </row>
    <row r="31" spans="1:18" ht="15" x14ac:dyDescent="0.2">
      <c r="A31" s="16">
        <v>41791</v>
      </c>
      <c r="B31" s="10">
        <f>2.5045 * CHOOSE(CONTROL!$C$32, $C$9, 100%, $E$9)</f>
        <v>2.5045000000000002</v>
      </c>
      <c r="C31" s="10">
        <f>2.5288 * CHOOSE(CONTROL!$C$32, $C$9, 100%, $E$9)</f>
        <v>2.5287999999999999</v>
      </c>
      <c r="D31" s="10">
        <f>2.5742 * CHOOSE(CONTROL!$C$32, $C$9, 100%, $E$9)</f>
        <v>2.5741999999999998</v>
      </c>
      <c r="E31" s="9">
        <f>3.5367 * CHOOSE(CONTROL!$C$32, $C$9, 100%, $E$9)</f>
        <v>3.5367000000000002</v>
      </c>
      <c r="F31" s="9">
        <f>3.5121 * CHOOSE(CONTROL!$C$32, $C$9, 100%, $E$9)</f>
        <v>3.5121000000000002</v>
      </c>
      <c r="G31" s="9">
        <f>3.5271 * CHOOSE(CONTROL!$C$32, $C$9, 100%, $E$9)</f>
        <v>3.5270999999999999</v>
      </c>
      <c r="H31" s="9">
        <f>5.9736 * CHOOSE(CONTROL!$C$32, $C$9, 100%, $E$9)</f>
        <v>5.9736000000000002</v>
      </c>
      <c r="I31" s="9">
        <f>5.9887 * CHOOSE(CONTROL!$C$32, $C$9, 100%, $E$9)</f>
        <v>5.9886999999999997</v>
      </c>
      <c r="J31" s="9">
        <f>5.9736 * CHOOSE(CONTROL!$C$32, $C$9, 100%, $E$9)</f>
        <v>5.9736000000000002</v>
      </c>
      <c r="K31" s="9">
        <f>5.9887 * CHOOSE(CONTROL!$C$32, $C$9, 100%, $E$9)</f>
        <v>5.9886999999999997</v>
      </c>
      <c r="L31" s="9">
        <f>3.5367 * CHOOSE(CONTROL!$C$32, $C$9, 100%, $E$9)</f>
        <v>3.5367000000000002</v>
      </c>
      <c r="M31" s="9">
        <f>3.5518 * CHOOSE(CONTROL!$C$32, $C$9, 100%, $E$9)</f>
        <v>3.5518000000000001</v>
      </c>
      <c r="N31" s="9">
        <f>3.5367 * CHOOSE(CONTROL!$C$32, $C$9, 100%, $E$9)</f>
        <v>3.5367000000000002</v>
      </c>
      <c r="O31" s="9">
        <f>3.5518 * CHOOSE(CONTROL!$C$32, $C$9, 100%, $E$9)</f>
        <v>3.5518000000000001</v>
      </c>
      <c r="P31" s="17"/>
      <c r="Q31" s="9"/>
      <c r="R31" s="9"/>
    </row>
    <row r="32" spans="1:18" ht="15" x14ac:dyDescent="0.2">
      <c r="A32" s="16">
        <v>41821</v>
      </c>
      <c r="B32" s="10">
        <f>2.506 * CHOOSE(CONTROL!$C$32, $C$9, 100%, $E$9)</f>
        <v>2.5059999999999998</v>
      </c>
      <c r="C32" s="10">
        <f>2.5318 * CHOOSE(CONTROL!$C$32, $C$9, 100%, $E$9)</f>
        <v>2.5318000000000001</v>
      </c>
      <c r="D32" s="10">
        <f>2.5772 * CHOOSE(CONTROL!$C$32, $C$9, 100%, $E$9)</f>
        <v>2.5771999999999999</v>
      </c>
      <c r="E32" s="9">
        <f>3.5464 * CHOOSE(CONTROL!$C$32, $C$9, 100%, $E$9)</f>
        <v>3.5464000000000002</v>
      </c>
      <c r="F32" s="9">
        <f>3.5326 * CHOOSE(CONTROL!$C$32, $C$9, 100%, $E$9)</f>
        <v>3.5326</v>
      </c>
      <c r="G32" s="9">
        <f>3.5477 * CHOOSE(CONTROL!$C$32, $C$9, 100%, $E$9)</f>
        <v>3.5476999999999999</v>
      </c>
      <c r="H32" s="9">
        <f>5.986 * CHOOSE(CONTROL!$C$32, $C$9, 100%, $E$9)</f>
        <v>5.9859999999999998</v>
      </c>
      <c r="I32" s="9">
        <f>6.0011 * CHOOSE(CONTROL!$C$32, $C$9, 100%, $E$9)</f>
        <v>6.0011000000000001</v>
      </c>
      <c r="J32" s="9">
        <f>5.986 * CHOOSE(CONTROL!$C$32, $C$9, 100%, $E$9)</f>
        <v>5.9859999999999998</v>
      </c>
      <c r="K32" s="9">
        <f>6.0011 * CHOOSE(CONTROL!$C$32, $C$9, 100%, $E$9)</f>
        <v>6.0011000000000001</v>
      </c>
      <c r="L32" s="9">
        <f>3.5464 * CHOOSE(CONTROL!$C$32, $C$9, 100%, $E$9)</f>
        <v>3.5464000000000002</v>
      </c>
      <c r="M32" s="9">
        <f>3.5615 * CHOOSE(CONTROL!$C$32, $C$9, 100%, $E$9)</f>
        <v>3.5615000000000001</v>
      </c>
      <c r="N32" s="9">
        <f>3.5464 * CHOOSE(CONTROL!$C$32, $C$9, 100%, $E$9)</f>
        <v>3.5464000000000002</v>
      </c>
      <c r="O32" s="9">
        <f>3.5615 * CHOOSE(CONTROL!$C$32, $C$9, 100%, $E$9)</f>
        <v>3.5615000000000001</v>
      </c>
      <c r="P32" s="17"/>
      <c r="Q32" s="9"/>
      <c r="R32" s="9"/>
    </row>
    <row r="33" spans="1:18" ht="15" x14ac:dyDescent="0.2">
      <c r="A33" s="16">
        <v>41852</v>
      </c>
      <c r="B33" s="10">
        <f>2.5091 * CHOOSE(CONTROL!$C$32, $C$9, 100%, $E$9)</f>
        <v>2.5091000000000001</v>
      </c>
      <c r="C33" s="10">
        <f>2.5334 * CHOOSE(CONTROL!$C$32, $C$9, 100%, $E$9)</f>
        <v>2.5333999999999999</v>
      </c>
      <c r="D33" s="10">
        <f>2.5788 * CHOOSE(CONTROL!$C$32, $C$9, 100%, $E$9)</f>
        <v>2.5788000000000002</v>
      </c>
      <c r="E33" s="9">
        <f>3.5511 * CHOOSE(CONTROL!$C$32, $C$9, 100%, $E$9)</f>
        <v>3.5510999999999999</v>
      </c>
      <c r="F33" s="9">
        <f>3.5426 * CHOOSE(CONTROL!$C$32, $C$9, 100%, $E$9)</f>
        <v>3.5426000000000002</v>
      </c>
      <c r="G33" s="9">
        <f>3.5577 * CHOOSE(CONTROL!$C$32, $C$9, 100%, $E$9)</f>
        <v>3.5577000000000001</v>
      </c>
      <c r="H33" s="9">
        <f>5.9985 * CHOOSE(CONTROL!$C$32, $C$9, 100%, $E$9)</f>
        <v>5.9984999999999999</v>
      </c>
      <c r="I33" s="9">
        <f>6.0136 * CHOOSE(CONTROL!$C$32, $C$9, 100%, $E$9)</f>
        <v>6.0136000000000003</v>
      </c>
      <c r="J33" s="9">
        <f>5.9985 * CHOOSE(CONTROL!$C$32, $C$9, 100%, $E$9)</f>
        <v>5.9984999999999999</v>
      </c>
      <c r="K33" s="9">
        <f>6.0136 * CHOOSE(CONTROL!$C$32, $C$9, 100%, $E$9)</f>
        <v>6.0136000000000003</v>
      </c>
      <c r="L33" s="9">
        <f>3.5511 * CHOOSE(CONTROL!$C$32, $C$9, 100%, $E$9)</f>
        <v>3.5510999999999999</v>
      </c>
      <c r="M33" s="9">
        <f>3.5662 * CHOOSE(CONTROL!$C$32, $C$9, 100%, $E$9)</f>
        <v>3.5661999999999998</v>
      </c>
      <c r="N33" s="9">
        <f>3.5511 * CHOOSE(CONTROL!$C$32, $C$9, 100%, $E$9)</f>
        <v>3.5510999999999999</v>
      </c>
      <c r="O33" s="9">
        <f>3.5662 * CHOOSE(CONTROL!$C$32, $C$9, 100%, $E$9)</f>
        <v>3.5661999999999998</v>
      </c>
      <c r="P33" s="17"/>
      <c r="Q33" s="9"/>
      <c r="R33" s="9"/>
    </row>
    <row r="34" spans="1:18" ht="15" x14ac:dyDescent="0.2">
      <c r="A34" s="16">
        <v>41883</v>
      </c>
      <c r="B34" s="10">
        <f>2.5029 * CHOOSE(CONTROL!$C$32, $C$9, 100%, $E$9)</f>
        <v>2.5028999999999999</v>
      </c>
      <c r="C34" s="10">
        <f>2.521 * CHOOSE(CONTROL!$C$32, $C$9, 100%, $E$9)</f>
        <v>2.5209999999999999</v>
      </c>
      <c r="D34" s="10">
        <f>2.5664 * CHOOSE(CONTROL!$C$32, $C$9, 100%, $E$9)</f>
        <v>2.5663999999999998</v>
      </c>
      <c r="E34" s="9">
        <f>3.5445 * CHOOSE(CONTROL!$C$32, $C$9, 100%, $E$9)</f>
        <v>3.5445000000000002</v>
      </c>
      <c r="F34" s="9">
        <f>3.5286 * CHOOSE(CONTROL!$C$32, $C$9, 100%, $E$9)</f>
        <v>3.5286</v>
      </c>
      <c r="G34" s="9">
        <f>3.5437 * CHOOSE(CONTROL!$C$32, $C$9, 100%, $E$9)</f>
        <v>3.5436999999999999</v>
      </c>
      <c r="H34" s="9">
        <f>6.011 * CHOOSE(CONTROL!$C$32, $C$9, 100%, $E$9)</f>
        <v>6.0110000000000001</v>
      </c>
      <c r="I34" s="9">
        <f>6.0261 * CHOOSE(CONTROL!$C$32, $C$9, 100%, $E$9)</f>
        <v>6.0260999999999996</v>
      </c>
      <c r="J34" s="9">
        <f>6.011 * CHOOSE(CONTROL!$C$32, $C$9, 100%, $E$9)</f>
        <v>6.0110000000000001</v>
      </c>
      <c r="K34" s="9">
        <f>6.0261 * CHOOSE(CONTROL!$C$32, $C$9, 100%, $E$9)</f>
        <v>6.0260999999999996</v>
      </c>
      <c r="L34" s="9">
        <f>3.5445 * CHOOSE(CONTROL!$C$32, $C$9, 100%, $E$9)</f>
        <v>3.5445000000000002</v>
      </c>
      <c r="M34" s="9">
        <f>3.5596 * CHOOSE(CONTROL!$C$32, $C$9, 100%, $E$9)</f>
        <v>3.5596000000000001</v>
      </c>
      <c r="N34" s="9">
        <f>3.5445 * CHOOSE(CONTROL!$C$32, $C$9, 100%, $E$9)</f>
        <v>3.5445000000000002</v>
      </c>
      <c r="O34" s="9">
        <f>3.5596 * CHOOSE(CONTROL!$C$32, $C$9, 100%, $E$9)</f>
        <v>3.5596000000000001</v>
      </c>
      <c r="P34" s="17"/>
      <c r="Q34" s="9"/>
      <c r="R34" s="9"/>
    </row>
    <row r="35" spans="1:18" ht="15" x14ac:dyDescent="0.2">
      <c r="A35" s="16">
        <v>41913</v>
      </c>
      <c r="B35" s="10">
        <f>2.497 * CHOOSE(CONTROL!$C$32, $C$9, 100%, $E$9)</f>
        <v>2.4969999999999999</v>
      </c>
      <c r="C35" s="10">
        <f>2.5088 * CHOOSE(CONTROL!$C$32, $C$9, 100%, $E$9)</f>
        <v>2.5087999999999999</v>
      </c>
      <c r="D35" s="10">
        <f>2.5434 * CHOOSE(CONTROL!$C$32, $C$9, 100%, $E$9)</f>
        <v>2.5434000000000001</v>
      </c>
      <c r="E35" s="9">
        <f>3.5338 * CHOOSE(CONTROL!$C$32, $C$9, 100%, $E$9)</f>
        <v>3.5337999999999998</v>
      </c>
      <c r="F35" s="9">
        <f>3.5059 * CHOOSE(CONTROL!$C$32, $C$9, 100%, $E$9)</f>
        <v>3.5059</v>
      </c>
      <c r="G35" s="9">
        <f>3.5174 * CHOOSE(CONTROL!$C$32, $C$9, 100%, $E$9)</f>
        <v>3.5173999999999999</v>
      </c>
      <c r="H35" s="9">
        <f>6.0235 * CHOOSE(CONTROL!$C$32, $C$9, 100%, $E$9)</f>
        <v>6.0235000000000003</v>
      </c>
      <c r="I35" s="9">
        <f>6.0351 * CHOOSE(CONTROL!$C$32, $C$9, 100%, $E$9)</f>
        <v>6.0350999999999999</v>
      </c>
      <c r="J35" s="9">
        <f>6.0235 * CHOOSE(CONTROL!$C$32, $C$9, 100%, $E$9)</f>
        <v>6.0235000000000003</v>
      </c>
      <c r="K35" s="9">
        <f>6.0351 * CHOOSE(CONTROL!$C$32, $C$9, 100%, $E$9)</f>
        <v>6.0350999999999999</v>
      </c>
      <c r="L35" s="9">
        <f>3.5338 * CHOOSE(CONTROL!$C$32, $C$9, 100%, $E$9)</f>
        <v>3.5337999999999998</v>
      </c>
      <c r="M35" s="9">
        <f>3.5453 * CHOOSE(CONTROL!$C$32, $C$9, 100%, $E$9)</f>
        <v>3.5453000000000001</v>
      </c>
      <c r="N35" s="9">
        <f>3.5338 * CHOOSE(CONTROL!$C$32, $C$9, 100%, $E$9)</f>
        <v>3.5337999999999998</v>
      </c>
      <c r="O35" s="9">
        <f>3.5453 * CHOOSE(CONTROL!$C$32, $C$9, 100%, $E$9)</f>
        <v>3.5453000000000001</v>
      </c>
      <c r="P35" s="17"/>
      <c r="Q35" s="9"/>
      <c r="R35" s="9"/>
    </row>
    <row r="36" spans="1:18" ht="15" x14ac:dyDescent="0.2">
      <c r="A36" s="16">
        <v>41944</v>
      </c>
      <c r="B36" s="10">
        <f>2.5002 * CHOOSE(CONTROL!$C$32, $C$9, 100%, $E$9)</f>
        <v>2.5002</v>
      </c>
      <c r="C36" s="10">
        <f>2.5105 * CHOOSE(CONTROL!$C$32, $C$9, 100%, $E$9)</f>
        <v>2.5105</v>
      </c>
      <c r="D36" s="10">
        <f>2.5451 * CHOOSE(CONTROL!$C$32, $C$9, 100%, $E$9)</f>
        <v>2.5451000000000001</v>
      </c>
      <c r="E36" s="9">
        <f>3.5206 * CHOOSE(CONTROL!$C$32, $C$9, 100%, $E$9)</f>
        <v>3.5206</v>
      </c>
      <c r="F36" s="9">
        <f>3.4779 * CHOOSE(CONTROL!$C$32, $C$9, 100%, $E$9)</f>
        <v>3.4779</v>
      </c>
      <c r="G36" s="9">
        <f>3.4894 * CHOOSE(CONTROL!$C$32, $C$9, 100%, $E$9)</f>
        <v>3.4893999999999998</v>
      </c>
      <c r="H36" s="9">
        <f>6.0361 * CHOOSE(CONTROL!$C$32, $C$9, 100%, $E$9)</f>
        <v>6.0361000000000002</v>
      </c>
      <c r="I36" s="9">
        <f>6.0476 * CHOOSE(CONTROL!$C$32, $C$9, 100%, $E$9)</f>
        <v>6.0476000000000001</v>
      </c>
      <c r="J36" s="9">
        <f>6.0361 * CHOOSE(CONTROL!$C$32, $C$9, 100%, $E$9)</f>
        <v>6.0361000000000002</v>
      </c>
      <c r="K36" s="9">
        <f>6.0476 * CHOOSE(CONTROL!$C$32, $C$9, 100%, $E$9)</f>
        <v>6.0476000000000001</v>
      </c>
      <c r="L36" s="9">
        <f>3.5206 * CHOOSE(CONTROL!$C$32, $C$9, 100%, $E$9)</f>
        <v>3.5206</v>
      </c>
      <c r="M36" s="9">
        <f>3.5321 * CHOOSE(CONTROL!$C$32, $C$9, 100%, $E$9)</f>
        <v>3.5320999999999998</v>
      </c>
      <c r="N36" s="9">
        <f>3.5206 * CHOOSE(CONTROL!$C$32, $C$9, 100%, $E$9)</f>
        <v>3.5206</v>
      </c>
      <c r="O36" s="9">
        <f>3.5321 * CHOOSE(CONTROL!$C$32, $C$9, 100%, $E$9)</f>
        <v>3.5320999999999998</v>
      </c>
      <c r="P36" s="17"/>
      <c r="Q36" s="9"/>
      <c r="R36" s="9"/>
    </row>
    <row r="37" spans="1:18" ht="15" x14ac:dyDescent="0.2">
      <c r="A37" s="16">
        <v>41974</v>
      </c>
      <c r="B37" s="10">
        <f>2.4999 * CHOOSE(CONTROL!$C$32, $C$9, 100%, $E$9)</f>
        <v>2.4998999999999998</v>
      </c>
      <c r="C37" s="10">
        <f>2.5102 * CHOOSE(CONTROL!$C$32, $C$9, 100%, $E$9)</f>
        <v>2.5102000000000002</v>
      </c>
      <c r="D37" s="10">
        <f>2.5448 * CHOOSE(CONTROL!$C$32, $C$9, 100%, $E$9)</f>
        <v>2.5448</v>
      </c>
      <c r="E37" s="9">
        <f>3.5215 * CHOOSE(CONTROL!$C$32, $C$9, 100%, $E$9)</f>
        <v>3.5215000000000001</v>
      </c>
      <c r="F37" s="9">
        <f>3.4799 * CHOOSE(CONTROL!$C$32, $C$9, 100%, $E$9)</f>
        <v>3.4799000000000002</v>
      </c>
      <c r="G37" s="9">
        <f>3.4914 * CHOOSE(CONTROL!$C$32, $C$9, 100%, $E$9)</f>
        <v>3.4914000000000001</v>
      </c>
      <c r="H37" s="9">
        <f>6.0487 * CHOOSE(CONTROL!$C$32, $C$9, 100%, $E$9)</f>
        <v>6.0487000000000002</v>
      </c>
      <c r="I37" s="9">
        <f>6.0602 * CHOOSE(CONTROL!$C$32, $C$9, 100%, $E$9)</f>
        <v>6.0602</v>
      </c>
      <c r="J37" s="9">
        <f>6.0487 * CHOOSE(CONTROL!$C$32, $C$9, 100%, $E$9)</f>
        <v>6.0487000000000002</v>
      </c>
      <c r="K37" s="9">
        <f>6.0602 * CHOOSE(CONTROL!$C$32, $C$9, 100%, $E$9)</f>
        <v>6.0602</v>
      </c>
      <c r="L37" s="9">
        <f>3.5215 * CHOOSE(CONTROL!$C$32, $C$9, 100%, $E$9)</f>
        <v>3.5215000000000001</v>
      </c>
      <c r="M37" s="9">
        <f>3.533 * CHOOSE(CONTROL!$C$32, $C$9, 100%, $E$9)</f>
        <v>3.5329999999999999</v>
      </c>
      <c r="N37" s="9">
        <f>3.5215 * CHOOSE(CONTROL!$C$32, $C$9, 100%, $E$9)</f>
        <v>3.5215000000000001</v>
      </c>
      <c r="O37" s="9">
        <f>3.533 * CHOOSE(CONTROL!$C$32, $C$9, 100%, $E$9)</f>
        <v>3.5329999999999999</v>
      </c>
      <c r="P37" s="17"/>
      <c r="Q37" s="9"/>
      <c r="R37" s="9"/>
    </row>
    <row r="38" spans="1:18" ht="15" x14ac:dyDescent="0.2">
      <c r="A38" s="16">
        <v>42005</v>
      </c>
      <c r="B38" s="10">
        <f>2.5418 * CHOOSE(CONTROL!$C$32, $C$9, 100%, $E$9)</f>
        <v>2.5417999999999998</v>
      </c>
      <c r="C38" s="10">
        <f>2.5418 * CHOOSE(CONTROL!$C$32, $C$9, 100%, $E$9)</f>
        <v>2.5417999999999998</v>
      </c>
      <c r="D38" s="10">
        <f>2.5427 * CHOOSE(CONTROL!$C$32, $C$9, 100%, $E$9)</f>
        <v>2.5427</v>
      </c>
      <c r="E38" s="9">
        <f>3.6045 * CHOOSE(CONTROL!$C$32, $C$9, 100%, $E$9)</f>
        <v>3.6044999999999998</v>
      </c>
      <c r="F38" s="9">
        <f>3.5836 * CHOOSE(CONTROL!$C$32, $C$9, 100%, $E$9)</f>
        <v>3.5836000000000001</v>
      </c>
      <c r="G38" s="9">
        <f>3.5868 * CHOOSE(CONTROL!$C$32, $C$9, 100%, $E$9)</f>
        <v>3.5868000000000002</v>
      </c>
      <c r="H38" s="9">
        <f>6.0613 * CHOOSE(CONTROL!$C$32, $C$9, 100%, $E$9)</f>
        <v>6.0613000000000001</v>
      </c>
      <c r="I38" s="9">
        <f>6.0645 * CHOOSE(CONTROL!$C$32, $C$9, 100%, $E$9)</f>
        <v>6.0644999999999998</v>
      </c>
      <c r="J38" s="9">
        <f>6.0613 * CHOOSE(CONTROL!$C$32, $C$9, 100%, $E$9)</f>
        <v>6.0613000000000001</v>
      </c>
      <c r="K38" s="9">
        <f>6.0645 * CHOOSE(CONTROL!$C$32, $C$9, 100%, $E$9)</f>
        <v>6.0644999999999998</v>
      </c>
      <c r="L38" s="9">
        <f>3.6045 * CHOOSE(CONTROL!$C$32, $C$9, 100%, $E$9)</f>
        <v>3.6044999999999998</v>
      </c>
      <c r="M38" s="9">
        <f>3.6077 * CHOOSE(CONTROL!$C$32, $C$9, 100%, $E$9)</f>
        <v>3.6076999999999999</v>
      </c>
      <c r="N38" s="9">
        <f>3.6045 * CHOOSE(CONTROL!$C$32, $C$9, 100%, $E$9)</f>
        <v>3.6044999999999998</v>
      </c>
      <c r="O38" s="9">
        <f>3.6077 * CHOOSE(CONTROL!$C$32, $C$9, 100%, $E$9)</f>
        <v>3.6076999999999999</v>
      </c>
      <c r="P38" s="17"/>
      <c r="Q38" s="9"/>
      <c r="R38" s="9"/>
    </row>
    <row r="39" spans="1:18" ht="15" x14ac:dyDescent="0.2">
      <c r="A39" s="16">
        <v>42036</v>
      </c>
      <c r="B39" s="10">
        <f>2.5436 * CHOOSE(CONTROL!$C$32, $C$9, 100%, $E$9)</f>
        <v>2.5436000000000001</v>
      </c>
      <c r="C39" s="10">
        <f>2.5436 * CHOOSE(CONTROL!$C$32, $C$9, 100%, $E$9)</f>
        <v>2.5436000000000001</v>
      </c>
      <c r="D39" s="10">
        <f>2.5446 * CHOOSE(CONTROL!$C$32, $C$9, 100%, $E$9)</f>
        <v>2.5446</v>
      </c>
      <c r="E39" s="9">
        <f>3.6045 * CHOOSE(CONTROL!$C$32, $C$9, 100%, $E$9)</f>
        <v>3.6044999999999998</v>
      </c>
      <c r="F39" s="9">
        <f>3.5836 * CHOOSE(CONTROL!$C$32, $C$9, 100%, $E$9)</f>
        <v>3.5836000000000001</v>
      </c>
      <c r="G39" s="9">
        <f>3.5868 * CHOOSE(CONTROL!$C$32, $C$9, 100%, $E$9)</f>
        <v>3.5868000000000002</v>
      </c>
      <c r="H39" s="9">
        <f>6.0739 * CHOOSE(CONTROL!$C$32, $C$9, 100%, $E$9)</f>
        <v>6.0739000000000001</v>
      </c>
      <c r="I39" s="9">
        <f>6.0771 * CHOOSE(CONTROL!$C$32, $C$9, 100%, $E$9)</f>
        <v>6.0770999999999997</v>
      </c>
      <c r="J39" s="9">
        <f>6.0739 * CHOOSE(CONTROL!$C$32, $C$9, 100%, $E$9)</f>
        <v>6.0739000000000001</v>
      </c>
      <c r="K39" s="9">
        <f>6.0771 * CHOOSE(CONTROL!$C$32, $C$9, 100%, $E$9)</f>
        <v>6.0770999999999997</v>
      </c>
      <c r="L39" s="9">
        <f>3.6045 * CHOOSE(CONTROL!$C$32, $C$9, 100%, $E$9)</f>
        <v>3.6044999999999998</v>
      </c>
      <c r="M39" s="9">
        <f>3.6077 * CHOOSE(CONTROL!$C$32, $C$9, 100%, $E$9)</f>
        <v>3.6076999999999999</v>
      </c>
      <c r="N39" s="9">
        <f>3.6045 * CHOOSE(CONTROL!$C$32, $C$9, 100%, $E$9)</f>
        <v>3.6044999999999998</v>
      </c>
      <c r="O39" s="9">
        <f>3.6077 * CHOOSE(CONTROL!$C$32, $C$9, 100%, $E$9)</f>
        <v>3.6076999999999999</v>
      </c>
      <c r="P39" s="17"/>
      <c r="Q39" s="9"/>
      <c r="R39" s="9"/>
    </row>
    <row r="40" spans="1:18" ht="15" x14ac:dyDescent="0.2">
      <c r="A40" s="16">
        <v>42064</v>
      </c>
      <c r="B40" s="10">
        <f>2.5403 * CHOOSE(CONTROL!$C$32, $C$9, 100%, $E$9)</f>
        <v>2.5402999999999998</v>
      </c>
      <c r="C40" s="10">
        <f>2.5403 * CHOOSE(CONTROL!$C$32, $C$9, 100%, $E$9)</f>
        <v>2.5402999999999998</v>
      </c>
      <c r="D40" s="10">
        <f>2.5413 * CHOOSE(CONTROL!$C$32, $C$9, 100%, $E$9)</f>
        <v>2.5413000000000001</v>
      </c>
      <c r="E40" s="9">
        <f>3.6045 * CHOOSE(CONTROL!$C$32, $C$9, 100%, $E$9)</f>
        <v>3.6044999999999998</v>
      </c>
      <c r="F40" s="9">
        <f>3.5836 * CHOOSE(CONTROL!$C$32, $C$9, 100%, $E$9)</f>
        <v>3.5836000000000001</v>
      </c>
      <c r="G40" s="9">
        <f>3.5868 * CHOOSE(CONTROL!$C$32, $C$9, 100%, $E$9)</f>
        <v>3.5868000000000002</v>
      </c>
      <c r="H40" s="9">
        <f>6.0865 * CHOOSE(CONTROL!$C$32, $C$9, 100%, $E$9)</f>
        <v>6.0865</v>
      </c>
      <c r="I40" s="9">
        <f>6.0898 * CHOOSE(CONTROL!$C$32, $C$9, 100%, $E$9)</f>
        <v>6.0898000000000003</v>
      </c>
      <c r="J40" s="9">
        <f>6.0865 * CHOOSE(CONTROL!$C$32, $C$9, 100%, $E$9)</f>
        <v>6.0865</v>
      </c>
      <c r="K40" s="9">
        <f>6.0898 * CHOOSE(CONTROL!$C$32, $C$9, 100%, $E$9)</f>
        <v>6.0898000000000003</v>
      </c>
      <c r="L40" s="9">
        <f>3.6045 * CHOOSE(CONTROL!$C$32, $C$9, 100%, $E$9)</f>
        <v>3.6044999999999998</v>
      </c>
      <c r="M40" s="9">
        <f>3.6077 * CHOOSE(CONTROL!$C$32, $C$9, 100%, $E$9)</f>
        <v>3.6076999999999999</v>
      </c>
      <c r="N40" s="9">
        <f>3.6045 * CHOOSE(CONTROL!$C$32, $C$9, 100%, $E$9)</f>
        <v>3.6044999999999998</v>
      </c>
      <c r="O40" s="9">
        <f>3.6077 * CHOOSE(CONTROL!$C$32, $C$9, 100%, $E$9)</f>
        <v>3.6076999999999999</v>
      </c>
      <c r="P40" s="17"/>
      <c r="Q40" s="9"/>
      <c r="R40" s="9"/>
    </row>
    <row r="41" spans="1:18" ht="15" x14ac:dyDescent="0.2">
      <c r="A41" s="16">
        <v>42095</v>
      </c>
      <c r="B41" s="10">
        <f>2.5343 * CHOOSE(CONTROL!$C$32, $C$9, 100%, $E$9)</f>
        <v>2.5343</v>
      </c>
      <c r="C41" s="10">
        <f>2.5343 * CHOOSE(CONTROL!$C$32, $C$9, 100%, $E$9)</f>
        <v>2.5343</v>
      </c>
      <c r="D41" s="10">
        <f>2.5352 * CHOOSE(CONTROL!$C$32, $C$9, 100%, $E$9)</f>
        <v>2.5352000000000001</v>
      </c>
      <c r="E41" s="9">
        <f>3.6045 * CHOOSE(CONTROL!$C$32, $C$9, 100%, $E$9)</f>
        <v>3.6044999999999998</v>
      </c>
      <c r="F41" s="9">
        <f>3.5836 * CHOOSE(CONTROL!$C$32, $C$9, 100%, $E$9)</f>
        <v>3.5836000000000001</v>
      </c>
      <c r="G41" s="9">
        <f>3.5868 * CHOOSE(CONTROL!$C$32, $C$9, 100%, $E$9)</f>
        <v>3.5868000000000002</v>
      </c>
      <c r="H41" s="9">
        <f>6.0992 * CHOOSE(CONTROL!$C$32, $C$9, 100%, $E$9)</f>
        <v>6.0991999999999997</v>
      </c>
      <c r="I41" s="9">
        <f>6.1025 * CHOOSE(CONTROL!$C$32, $C$9, 100%, $E$9)</f>
        <v>6.1025</v>
      </c>
      <c r="J41" s="9">
        <f>6.0992 * CHOOSE(CONTROL!$C$32, $C$9, 100%, $E$9)</f>
        <v>6.0991999999999997</v>
      </c>
      <c r="K41" s="9">
        <f>6.1025 * CHOOSE(CONTROL!$C$32, $C$9, 100%, $E$9)</f>
        <v>6.1025</v>
      </c>
      <c r="L41" s="9">
        <f>3.6045 * CHOOSE(CONTROL!$C$32, $C$9, 100%, $E$9)</f>
        <v>3.6044999999999998</v>
      </c>
      <c r="M41" s="9">
        <f>3.6077 * CHOOSE(CONTROL!$C$32, $C$9, 100%, $E$9)</f>
        <v>3.6076999999999999</v>
      </c>
      <c r="N41" s="9">
        <f>3.6045 * CHOOSE(CONTROL!$C$32, $C$9, 100%, $E$9)</f>
        <v>3.6044999999999998</v>
      </c>
      <c r="O41" s="9">
        <f>3.6077 * CHOOSE(CONTROL!$C$32, $C$9, 100%, $E$9)</f>
        <v>3.6076999999999999</v>
      </c>
      <c r="P41" s="17"/>
      <c r="Q41" s="9"/>
      <c r="R41" s="9"/>
    </row>
    <row r="42" spans="1:18" ht="15" x14ac:dyDescent="0.2">
      <c r="A42" s="16">
        <v>42125</v>
      </c>
      <c r="B42" s="10">
        <f>2.539 * CHOOSE(CONTROL!$C$32, $C$9, 100%, $E$9)</f>
        <v>2.5390000000000001</v>
      </c>
      <c r="C42" s="10">
        <f>2.539 * CHOOSE(CONTROL!$C$32, $C$9, 100%, $E$9)</f>
        <v>2.5390000000000001</v>
      </c>
      <c r="D42" s="10">
        <f>2.5402 * CHOOSE(CONTROL!$C$32, $C$9, 100%, $E$9)</f>
        <v>2.5402</v>
      </c>
      <c r="E42" s="9">
        <f>3.6045 * CHOOSE(CONTROL!$C$32, $C$9, 100%, $E$9)</f>
        <v>3.6044999999999998</v>
      </c>
      <c r="F42" s="9">
        <f>3.5836 * CHOOSE(CONTROL!$C$32, $C$9, 100%, $E$9)</f>
        <v>3.5836000000000001</v>
      </c>
      <c r="G42" s="9">
        <f>3.5878 * CHOOSE(CONTROL!$C$32, $C$9, 100%, $E$9)</f>
        <v>3.5878000000000001</v>
      </c>
      <c r="H42" s="9">
        <f>6.1119 * CHOOSE(CONTROL!$C$32, $C$9, 100%, $E$9)</f>
        <v>6.1119000000000003</v>
      </c>
      <c r="I42" s="9">
        <f>6.1161 * CHOOSE(CONTROL!$C$32, $C$9, 100%, $E$9)</f>
        <v>6.1161000000000003</v>
      </c>
      <c r="J42" s="9">
        <f>6.1119 * CHOOSE(CONTROL!$C$32, $C$9, 100%, $E$9)</f>
        <v>6.1119000000000003</v>
      </c>
      <c r="K42" s="9">
        <f>6.1161 * CHOOSE(CONTROL!$C$32, $C$9, 100%, $E$9)</f>
        <v>6.1161000000000003</v>
      </c>
      <c r="L42" s="9">
        <f>3.6045 * CHOOSE(CONTROL!$C$32, $C$9, 100%, $E$9)</f>
        <v>3.6044999999999998</v>
      </c>
      <c r="M42" s="9">
        <f>3.6087 * CHOOSE(CONTROL!$C$32, $C$9, 100%, $E$9)</f>
        <v>3.6086999999999998</v>
      </c>
      <c r="N42" s="9">
        <f>3.6045 * CHOOSE(CONTROL!$C$32, $C$9, 100%, $E$9)</f>
        <v>3.6044999999999998</v>
      </c>
      <c r="O42" s="9">
        <f>3.6087 * CHOOSE(CONTROL!$C$32, $C$9, 100%, $E$9)</f>
        <v>3.6086999999999998</v>
      </c>
      <c r="P42" s="17"/>
      <c r="Q42" s="9"/>
      <c r="R42" s="9"/>
    </row>
    <row r="43" spans="1:18" ht="15" x14ac:dyDescent="0.2">
      <c r="A43" s="16">
        <v>42156</v>
      </c>
      <c r="B43" s="10">
        <f>2.5448 * CHOOSE(CONTROL!$C$32, $C$9, 100%, $E$9)</f>
        <v>2.5448</v>
      </c>
      <c r="C43" s="10">
        <f>2.5448 * CHOOSE(CONTROL!$C$32, $C$9, 100%, $E$9)</f>
        <v>2.5448</v>
      </c>
      <c r="D43" s="10">
        <f>2.5461 * CHOOSE(CONTROL!$C$32, $C$9, 100%, $E$9)</f>
        <v>2.5461</v>
      </c>
      <c r="E43" s="9">
        <f>3.6045 * CHOOSE(CONTROL!$C$32, $C$9, 100%, $E$9)</f>
        <v>3.6044999999999998</v>
      </c>
      <c r="F43" s="9">
        <f>3.5836 * CHOOSE(CONTROL!$C$32, $C$9, 100%, $E$9)</f>
        <v>3.5836000000000001</v>
      </c>
      <c r="G43" s="9">
        <f>3.5878 * CHOOSE(CONTROL!$C$32, $C$9, 100%, $E$9)</f>
        <v>3.5878000000000001</v>
      </c>
      <c r="H43" s="9">
        <f>6.1247 * CHOOSE(CONTROL!$C$32, $C$9, 100%, $E$9)</f>
        <v>6.1246999999999998</v>
      </c>
      <c r="I43" s="9">
        <f>6.1289 * CHOOSE(CONTROL!$C$32, $C$9, 100%, $E$9)</f>
        <v>6.1288999999999998</v>
      </c>
      <c r="J43" s="9">
        <f>6.1247 * CHOOSE(CONTROL!$C$32, $C$9, 100%, $E$9)</f>
        <v>6.1246999999999998</v>
      </c>
      <c r="K43" s="9">
        <f>6.1289 * CHOOSE(CONTROL!$C$32, $C$9, 100%, $E$9)</f>
        <v>6.1288999999999998</v>
      </c>
      <c r="L43" s="9">
        <f>3.6045 * CHOOSE(CONTROL!$C$32, $C$9, 100%, $E$9)</f>
        <v>3.6044999999999998</v>
      </c>
      <c r="M43" s="9">
        <f>3.6087 * CHOOSE(CONTROL!$C$32, $C$9, 100%, $E$9)</f>
        <v>3.6086999999999998</v>
      </c>
      <c r="N43" s="9">
        <f>3.6045 * CHOOSE(CONTROL!$C$32, $C$9, 100%, $E$9)</f>
        <v>3.6044999999999998</v>
      </c>
      <c r="O43" s="9">
        <f>3.6087 * CHOOSE(CONTROL!$C$32, $C$9, 100%, $E$9)</f>
        <v>3.6086999999999998</v>
      </c>
      <c r="P43" s="17"/>
      <c r="Q43" s="9"/>
      <c r="R43" s="9"/>
    </row>
    <row r="44" spans="1:18" ht="15" x14ac:dyDescent="0.2">
      <c r="A44" s="16">
        <v>42186</v>
      </c>
      <c r="B44" s="10">
        <f>2.5884 * CHOOSE(CONTROL!$C$32, $C$9, 100%, $E$9)</f>
        <v>2.5884</v>
      </c>
      <c r="C44" s="10">
        <f>2.5884 * CHOOSE(CONTROL!$C$32, $C$9, 100%, $E$9)</f>
        <v>2.5884</v>
      </c>
      <c r="D44" s="10">
        <f>2.5897 * CHOOSE(CONTROL!$C$32, $C$9, 100%, $E$9)</f>
        <v>2.5897000000000001</v>
      </c>
      <c r="E44" s="9">
        <f>3.6045 * CHOOSE(CONTROL!$C$32, $C$9, 100%, $E$9)</f>
        <v>3.6044999999999998</v>
      </c>
      <c r="F44" s="9">
        <f>3.5836 * CHOOSE(CONTROL!$C$32, $C$9, 100%, $E$9)</f>
        <v>3.5836000000000001</v>
      </c>
      <c r="G44" s="9">
        <f>3.5878 * CHOOSE(CONTROL!$C$32, $C$9, 100%, $E$9)</f>
        <v>3.5878000000000001</v>
      </c>
      <c r="H44" s="9">
        <f>6.1374 * CHOOSE(CONTROL!$C$32, $C$9, 100%, $E$9)</f>
        <v>6.1374000000000004</v>
      </c>
      <c r="I44" s="9">
        <f>6.1416 * CHOOSE(CONTROL!$C$32, $C$9, 100%, $E$9)</f>
        <v>6.1416000000000004</v>
      </c>
      <c r="J44" s="9">
        <f>6.1374 * CHOOSE(CONTROL!$C$32, $C$9, 100%, $E$9)</f>
        <v>6.1374000000000004</v>
      </c>
      <c r="K44" s="9">
        <f>6.1416 * CHOOSE(CONTROL!$C$32, $C$9, 100%, $E$9)</f>
        <v>6.1416000000000004</v>
      </c>
      <c r="L44" s="9">
        <f>3.6045 * CHOOSE(CONTROL!$C$32, $C$9, 100%, $E$9)</f>
        <v>3.6044999999999998</v>
      </c>
      <c r="M44" s="9">
        <f>3.6087 * CHOOSE(CONTROL!$C$32, $C$9, 100%, $E$9)</f>
        <v>3.6086999999999998</v>
      </c>
      <c r="N44" s="9">
        <f>3.6045 * CHOOSE(CONTROL!$C$32, $C$9, 100%, $E$9)</f>
        <v>3.6044999999999998</v>
      </c>
      <c r="O44" s="9">
        <f>3.6087 * CHOOSE(CONTROL!$C$32, $C$9, 100%, $E$9)</f>
        <v>3.6086999999999998</v>
      </c>
      <c r="P44" s="17"/>
      <c r="Q44" s="9"/>
      <c r="R44" s="9"/>
    </row>
    <row r="45" spans="1:18" ht="15" x14ac:dyDescent="0.2">
      <c r="A45" s="16">
        <v>42217</v>
      </c>
      <c r="B45" s="10">
        <f>2.5998 * CHOOSE(CONTROL!$C$32, $C$9, 100%, $E$9)</f>
        <v>2.5998000000000001</v>
      </c>
      <c r="C45" s="10">
        <f>2.5998 * CHOOSE(CONTROL!$C$32, $C$9, 100%, $E$9)</f>
        <v>2.5998000000000001</v>
      </c>
      <c r="D45" s="10">
        <f>2.6011 * CHOOSE(CONTROL!$C$32, $C$9, 100%, $E$9)</f>
        <v>2.6011000000000002</v>
      </c>
      <c r="E45" s="9">
        <f>3.6045 * CHOOSE(CONTROL!$C$32, $C$9, 100%, $E$9)</f>
        <v>3.6044999999999998</v>
      </c>
      <c r="F45" s="9">
        <f>3.5836 * CHOOSE(CONTROL!$C$32, $C$9, 100%, $E$9)</f>
        <v>3.5836000000000001</v>
      </c>
      <c r="G45" s="9">
        <f>3.5878 * CHOOSE(CONTROL!$C$32, $C$9, 100%, $E$9)</f>
        <v>3.5878000000000001</v>
      </c>
      <c r="H45" s="9">
        <f>6.1502 * CHOOSE(CONTROL!$C$32, $C$9, 100%, $E$9)</f>
        <v>6.1501999999999999</v>
      </c>
      <c r="I45" s="9">
        <f>6.1544 * CHOOSE(CONTROL!$C$32, $C$9, 100%, $E$9)</f>
        <v>6.1543999999999999</v>
      </c>
      <c r="J45" s="9">
        <f>6.1502 * CHOOSE(CONTROL!$C$32, $C$9, 100%, $E$9)</f>
        <v>6.1501999999999999</v>
      </c>
      <c r="K45" s="9">
        <f>6.1544 * CHOOSE(CONTROL!$C$32, $C$9, 100%, $E$9)</f>
        <v>6.1543999999999999</v>
      </c>
      <c r="L45" s="9">
        <f>3.6045 * CHOOSE(CONTROL!$C$32, $C$9, 100%, $E$9)</f>
        <v>3.6044999999999998</v>
      </c>
      <c r="M45" s="9">
        <f>3.6087 * CHOOSE(CONTROL!$C$32, $C$9, 100%, $E$9)</f>
        <v>3.6086999999999998</v>
      </c>
      <c r="N45" s="9">
        <f>3.6045 * CHOOSE(CONTROL!$C$32, $C$9, 100%, $E$9)</f>
        <v>3.6044999999999998</v>
      </c>
      <c r="O45" s="9">
        <f>3.6087 * CHOOSE(CONTROL!$C$32, $C$9, 100%, $E$9)</f>
        <v>3.6086999999999998</v>
      </c>
      <c r="P45" s="17"/>
      <c r="Q45" s="9"/>
      <c r="R45" s="9"/>
    </row>
    <row r="46" spans="1:18" ht="15" x14ac:dyDescent="0.2">
      <c r="A46" s="16">
        <v>42248</v>
      </c>
      <c r="B46" s="10">
        <f>2.5965 * CHOOSE(CONTROL!$C$32, $C$9, 100%, $E$9)</f>
        <v>2.5964999999999998</v>
      </c>
      <c r="C46" s="10">
        <f>2.5965 * CHOOSE(CONTROL!$C$32, $C$9, 100%, $E$9)</f>
        <v>2.5964999999999998</v>
      </c>
      <c r="D46" s="10">
        <f>2.5978 * CHOOSE(CONTROL!$C$32, $C$9, 100%, $E$9)</f>
        <v>2.5977999999999999</v>
      </c>
      <c r="E46" s="9">
        <f>3.6045 * CHOOSE(CONTROL!$C$32, $C$9, 100%, $E$9)</f>
        <v>3.6044999999999998</v>
      </c>
      <c r="F46" s="9">
        <f>3.5836 * CHOOSE(CONTROL!$C$32, $C$9, 100%, $E$9)</f>
        <v>3.5836000000000001</v>
      </c>
      <c r="G46" s="9">
        <f>3.5878 * CHOOSE(CONTROL!$C$32, $C$9, 100%, $E$9)</f>
        <v>3.5878000000000001</v>
      </c>
      <c r="H46" s="9">
        <f>6.163 * CHOOSE(CONTROL!$C$32, $C$9, 100%, $E$9)</f>
        <v>6.1630000000000003</v>
      </c>
      <c r="I46" s="9">
        <f>6.1672 * CHOOSE(CONTROL!$C$32, $C$9, 100%, $E$9)</f>
        <v>6.1672000000000002</v>
      </c>
      <c r="J46" s="9">
        <f>6.163 * CHOOSE(CONTROL!$C$32, $C$9, 100%, $E$9)</f>
        <v>6.1630000000000003</v>
      </c>
      <c r="K46" s="9">
        <f>6.1672 * CHOOSE(CONTROL!$C$32, $C$9, 100%, $E$9)</f>
        <v>6.1672000000000002</v>
      </c>
      <c r="L46" s="9">
        <f>3.6045 * CHOOSE(CONTROL!$C$32, $C$9, 100%, $E$9)</f>
        <v>3.6044999999999998</v>
      </c>
      <c r="M46" s="9">
        <f>3.6087 * CHOOSE(CONTROL!$C$32, $C$9, 100%, $E$9)</f>
        <v>3.6086999999999998</v>
      </c>
      <c r="N46" s="9">
        <f>3.6045 * CHOOSE(CONTROL!$C$32, $C$9, 100%, $E$9)</f>
        <v>3.6044999999999998</v>
      </c>
      <c r="O46" s="9">
        <f>3.6087 * CHOOSE(CONTROL!$C$32, $C$9, 100%, $E$9)</f>
        <v>3.6086999999999998</v>
      </c>
      <c r="P46" s="17"/>
      <c r="Q46" s="9"/>
      <c r="R46" s="9"/>
    </row>
    <row r="47" spans="1:18" ht="15" x14ac:dyDescent="0.2">
      <c r="A47" s="16">
        <v>42278</v>
      </c>
      <c r="B47" s="10">
        <f>2.5773 * CHOOSE(CONTROL!$C$32, $C$9, 100%, $E$9)</f>
        <v>2.5773000000000001</v>
      </c>
      <c r="C47" s="10">
        <f>2.5773 * CHOOSE(CONTROL!$C$32, $C$9, 100%, $E$9)</f>
        <v>2.5773000000000001</v>
      </c>
      <c r="D47" s="10">
        <f>2.5783 * CHOOSE(CONTROL!$C$32, $C$9, 100%, $E$9)</f>
        <v>2.5783</v>
      </c>
      <c r="E47" s="9">
        <f>3.6045 * CHOOSE(CONTROL!$C$32, $C$9, 100%, $E$9)</f>
        <v>3.6044999999999998</v>
      </c>
      <c r="F47" s="9">
        <f>3.5836 * CHOOSE(CONTROL!$C$32, $C$9, 100%, $E$9)</f>
        <v>3.5836000000000001</v>
      </c>
      <c r="G47" s="9">
        <f>3.5868 * CHOOSE(CONTROL!$C$32, $C$9, 100%, $E$9)</f>
        <v>3.5868000000000002</v>
      </c>
      <c r="H47" s="9">
        <f>6.1759 * CHOOSE(CONTROL!$C$32, $C$9, 100%, $E$9)</f>
        <v>6.1759000000000004</v>
      </c>
      <c r="I47" s="9">
        <f>6.1791 * CHOOSE(CONTROL!$C$32, $C$9, 100%, $E$9)</f>
        <v>6.1791</v>
      </c>
      <c r="J47" s="9">
        <f>6.1759 * CHOOSE(CONTROL!$C$32, $C$9, 100%, $E$9)</f>
        <v>6.1759000000000004</v>
      </c>
      <c r="K47" s="9">
        <f>6.1791 * CHOOSE(CONTROL!$C$32, $C$9, 100%, $E$9)</f>
        <v>6.1791</v>
      </c>
      <c r="L47" s="9">
        <f>3.6045 * CHOOSE(CONTROL!$C$32, $C$9, 100%, $E$9)</f>
        <v>3.6044999999999998</v>
      </c>
      <c r="M47" s="9">
        <f>3.6077 * CHOOSE(CONTROL!$C$32, $C$9, 100%, $E$9)</f>
        <v>3.6076999999999999</v>
      </c>
      <c r="N47" s="9">
        <f>3.6045 * CHOOSE(CONTROL!$C$32, $C$9, 100%, $E$9)</f>
        <v>3.6044999999999998</v>
      </c>
      <c r="O47" s="9">
        <f>3.6077 * CHOOSE(CONTROL!$C$32, $C$9, 100%, $E$9)</f>
        <v>3.6076999999999999</v>
      </c>
      <c r="P47" s="17"/>
      <c r="Q47" s="9"/>
      <c r="R47" s="9"/>
    </row>
    <row r="48" spans="1:18" ht="15" x14ac:dyDescent="0.2">
      <c r="A48" s="16">
        <v>42309</v>
      </c>
      <c r="B48" s="10">
        <f>2.5851 * CHOOSE(CONTROL!$C$32, $C$9, 100%, $E$9)</f>
        <v>2.5851000000000002</v>
      </c>
      <c r="C48" s="10">
        <f>2.5851 * CHOOSE(CONTROL!$C$32, $C$9, 100%, $E$9)</f>
        <v>2.5851000000000002</v>
      </c>
      <c r="D48" s="10">
        <f>2.586 * CHOOSE(CONTROL!$C$32, $C$9, 100%, $E$9)</f>
        <v>2.5859999999999999</v>
      </c>
      <c r="E48" s="9">
        <f>3.6045 * CHOOSE(CONTROL!$C$32, $C$9, 100%, $E$9)</f>
        <v>3.6044999999999998</v>
      </c>
      <c r="F48" s="9">
        <f>3.5836 * CHOOSE(CONTROL!$C$32, $C$9, 100%, $E$9)</f>
        <v>3.5836000000000001</v>
      </c>
      <c r="G48" s="9">
        <f>3.5868 * CHOOSE(CONTROL!$C$32, $C$9, 100%, $E$9)</f>
        <v>3.5868000000000002</v>
      </c>
      <c r="H48" s="9">
        <f>6.1887 * CHOOSE(CONTROL!$C$32, $C$9, 100%, $E$9)</f>
        <v>6.1886999999999999</v>
      </c>
      <c r="I48" s="9">
        <f>6.192 * CHOOSE(CONTROL!$C$32, $C$9, 100%, $E$9)</f>
        <v>6.1920000000000002</v>
      </c>
      <c r="J48" s="9">
        <f>6.1887 * CHOOSE(CONTROL!$C$32, $C$9, 100%, $E$9)</f>
        <v>6.1886999999999999</v>
      </c>
      <c r="K48" s="9">
        <f>6.192 * CHOOSE(CONTROL!$C$32, $C$9, 100%, $E$9)</f>
        <v>6.1920000000000002</v>
      </c>
      <c r="L48" s="9">
        <f>3.6045 * CHOOSE(CONTROL!$C$32, $C$9, 100%, $E$9)</f>
        <v>3.6044999999999998</v>
      </c>
      <c r="M48" s="9">
        <f>3.6077 * CHOOSE(CONTROL!$C$32, $C$9, 100%, $E$9)</f>
        <v>3.6076999999999999</v>
      </c>
      <c r="N48" s="9">
        <f>3.6045 * CHOOSE(CONTROL!$C$32, $C$9, 100%, $E$9)</f>
        <v>3.6044999999999998</v>
      </c>
      <c r="O48" s="9">
        <f>3.6077 * CHOOSE(CONTROL!$C$32, $C$9, 100%, $E$9)</f>
        <v>3.6076999999999999</v>
      </c>
      <c r="P48" s="17"/>
      <c r="Q48" s="9"/>
      <c r="R48" s="9"/>
    </row>
    <row r="49" spans="1:18" ht="15" x14ac:dyDescent="0.2">
      <c r="A49" s="16">
        <v>42339</v>
      </c>
      <c r="B49" s="10">
        <f>2.5848 * CHOOSE(CONTROL!$C$32, $C$9, 100%, $E$9)</f>
        <v>2.5848</v>
      </c>
      <c r="C49" s="10">
        <f>2.5848 * CHOOSE(CONTROL!$C$32, $C$9, 100%, $E$9)</f>
        <v>2.5848</v>
      </c>
      <c r="D49" s="10">
        <f>2.5858 * CHOOSE(CONTROL!$C$32, $C$9, 100%, $E$9)</f>
        <v>2.5857999999999999</v>
      </c>
      <c r="E49" s="9">
        <f>3.6045 * CHOOSE(CONTROL!$C$32, $C$9, 100%, $E$9)</f>
        <v>3.6044999999999998</v>
      </c>
      <c r="F49" s="9">
        <f>3.5836 * CHOOSE(CONTROL!$C$32, $C$9, 100%, $E$9)</f>
        <v>3.5836000000000001</v>
      </c>
      <c r="G49" s="9">
        <f>3.5868 * CHOOSE(CONTROL!$C$32, $C$9, 100%, $E$9)</f>
        <v>3.5868000000000002</v>
      </c>
      <c r="H49" s="9">
        <f>6.2016 * CHOOSE(CONTROL!$C$32, $C$9, 100%, $E$9)</f>
        <v>6.2016</v>
      </c>
      <c r="I49" s="9">
        <f>6.2048 * CHOOSE(CONTROL!$C$32, $C$9, 100%, $E$9)</f>
        <v>6.2047999999999996</v>
      </c>
      <c r="J49" s="9">
        <f>6.2016 * CHOOSE(CONTROL!$C$32, $C$9, 100%, $E$9)</f>
        <v>6.2016</v>
      </c>
      <c r="K49" s="9">
        <f>6.2048 * CHOOSE(CONTROL!$C$32, $C$9, 100%, $E$9)</f>
        <v>6.2047999999999996</v>
      </c>
      <c r="L49" s="9">
        <f>3.6045 * CHOOSE(CONTROL!$C$32, $C$9, 100%, $E$9)</f>
        <v>3.6044999999999998</v>
      </c>
      <c r="M49" s="9">
        <f>3.6077 * CHOOSE(CONTROL!$C$32, $C$9, 100%, $E$9)</f>
        <v>3.6076999999999999</v>
      </c>
      <c r="N49" s="9">
        <f>3.6045 * CHOOSE(CONTROL!$C$32, $C$9, 100%, $E$9)</f>
        <v>3.6044999999999998</v>
      </c>
      <c r="O49" s="9">
        <f>3.6077 * CHOOSE(CONTROL!$C$32, $C$9, 100%, $E$9)</f>
        <v>3.6076999999999999</v>
      </c>
      <c r="P49" s="17"/>
      <c r="Q49" s="9"/>
      <c r="R49" s="9"/>
    </row>
    <row r="50" spans="1:18" ht="15" x14ac:dyDescent="0.2">
      <c r="A50" s="16">
        <v>42370</v>
      </c>
      <c r="B50" s="10">
        <f>2.5868 * CHOOSE(CONTROL!$C$32, $C$9, 100%, $E$9)</f>
        <v>2.5868000000000002</v>
      </c>
      <c r="C50" s="10">
        <f>2.5868 * CHOOSE(CONTROL!$C$32, $C$9, 100%, $E$9)</f>
        <v>2.5868000000000002</v>
      </c>
      <c r="D50" s="10">
        <f>2.5878 * CHOOSE(CONTROL!$C$32, $C$9, 100%, $E$9)</f>
        <v>2.5878000000000001</v>
      </c>
      <c r="E50" s="9">
        <f>3.7019 * CHOOSE(CONTROL!$C$32, $C$9, 100%, $E$9)</f>
        <v>3.7019000000000002</v>
      </c>
      <c r="F50" s="9">
        <f>3.6856 * CHOOSE(CONTROL!$C$32, $C$9, 100%, $E$9)</f>
        <v>3.6856</v>
      </c>
      <c r="G50" s="9">
        <f>3.6888 * CHOOSE(CONTROL!$C$32, $C$9, 100%, $E$9)</f>
        <v>3.6888000000000001</v>
      </c>
      <c r="H50" s="9">
        <f>6.2145 * CHOOSE(CONTROL!$C$32, $C$9, 100%, $E$9)</f>
        <v>6.2145000000000001</v>
      </c>
      <c r="I50" s="9">
        <f>6.2178 * CHOOSE(CONTROL!$C$32, $C$9, 100%, $E$9)</f>
        <v>6.2178000000000004</v>
      </c>
      <c r="J50" s="9">
        <f>6.2145 * CHOOSE(CONTROL!$C$32, $C$9, 100%, $E$9)</f>
        <v>6.2145000000000001</v>
      </c>
      <c r="K50" s="9">
        <f>6.2178 * CHOOSE(CONTROL!$C$32, $C$9, 100%, $E$9)</f>
        <v>6.2178000000000004</v>
      </c>
      <c r="L50" s="9">
        <f>3.7019 * CHOOSE(CONTROL!$C$32, $C$9, 100%, $E$9)</f>
        <v>3.7019000000000002</v>
      </c>
      <c r="M50" s="9">
        <f>3.7052 * CHOOSE(CONTROL!$C$32, $C$9, 100%, $E$9)</f>
        <v>3.7052</v>
      </c>
      <c r="N50" s="9">
        <f>3.7019 * CHOOSE(CONTROL!$C$32, $C$9, 100%, $E$9)</f>
        <v>3.7019000000000002</v>
      </c>
      <c r="O50" s="9">
        <f>3.7052 * CHOOSE(CONTROL!$C$32, $C$9, 100%, $E$9)</f>
        <v>3.7052</v>
      </c>
      <c r="P50" s="17"/>
      <c r="Q50" s="9"/>
      <c r="R50" s="9"/>
    </row>
    <row r="51" spans="1:18" ht="15" x14ac:dyDescent="0.2">
      <c r="A51" s="16">
        <v>42401</v>
      </c>
      <c r="B51" s="10">
        <f>2.5887 * CHOOSE(CONTROL!$C$32, $C$9, 100%, $E$9)</f>
        <v>2.5886999999999998</v>
      </c>
      <c r="C51" s="10">
        <f>2.5887 * CHOOSE(CONTROL!$C$32, $C$9, 100%, $E$9)</f>
        <v>2.5886999999999998</v>
      </c>
      <c r="D51" s="10">
        <f>2.5897 * CHOOSE(CONTROL!$C$32, $C$9, 100%, $E$9)</f>
        <v>2.5897000000000001</v>
      </c>
      <c r="E51" s="9">
        <f>3.7019 * CHOOSE(CONTROL!$C$32, $C$9, 100%, $E$9)</f>
        <v>3.7019000000000002</v>
      </c>
      <c r="F51" s="9">
        <f>3.6856 * CHOOSE(CONTROL!$C$32, $C$9, 100%, $E$9)</f>
        <v>3.6856</v>
      </c>
      <c r="G51" s="9">
        <f>3.6888 * CHOOSE(CONTROL!$C$32, $C$9, 100%, $E$9)</f>
        <v>3.6888000000000001</v>
      </c>
      <c r="H51" s="9">
        <f>6.2275 * CHOOSE(CONTROL!$C$32, $C$9, 100%, $E$9)</f>
        <v>6.2275</v>
      </c>
      <c r="I51" s="9">
        <f>6.2307 * CHOOSE(CONTROL!$C$32, $C$9, 100%, $E$9)</f>
        <v>6.2306999999999997</v>
      </c>
      <c r="J51" s="9">
        <f>6.2275 * CHOOSE(CONTROL!$C$32, $C$9, 100%, $E$9)</f>
        <v>6.2275</v>
      </c>
      <c r="K51" s="9">
        <f>6.2307 * CHOOSE(CONTROL!$C$32, $C$9, 100%, $E$9)</f>
        <v>6.2306999999999997</v>
      </c>
      <c r="L51" s="9">
        <f>3.7019 * CHOOSE(CONTROL!$C$32, $C$9, 100%, $E$9)</f>
        <v>3.7019000000000002</v>
      </c>
      <c r="M51" s="9">
        <f>3.7052 * CHOOSE(CONTROL!$C$32, $C$9, 100%, $E$9)</f>
        <v>3.7052</v>
      </c>
      <c r="N51" s="9">
        <f>3.7019 * CHOOSE(CONTROL!$C$32, $C$9, 100%, $E$9)</f>
        <v>3.7019000000000002</v>
      </c>
      <c r="O51" s="9">
        <f>3.7052 * CHOOSE(CONTROL!$C$32, $C$9, 100%, $E$9)</f>
        <v>3.7052</v>
      </c>
      <c r="P51" s="17"/>
      <c r="Q51" s="9"/>
      <c r="R51" s="9"/>
    </row>
    <row r="52" spans="1:18" ht="15" x14ac:dyDescent="0.2">
      <c r="A52" s="16">
        <v>42430</v>
      </c>
      <c r="B52" s="10">
        <f>2.5855 * CHOOSE(CONTROL!$C$32, $C$9, 100%, $E$9)</f>
        <v>2.5855000000000001</v>
      </c>
      <c r="C52" s="10">
        <f>2.5855 * CHOOSE(CONTROL!$C$32, $C$9, 100%, $E$9)</f>
        <v>2.5855000000000001</v>
      </c>
      <c r="D52" s="10">
        <f>2.5864 * CHOOSE(CONTROL!$C$32, $C$9, 100%, $E$9)</f>
        <v>2.5863999999999998</v>
      </c>
      <c r="E52" s="9">
        <f>3.7019 * CHOOSE(CONTROL!$C$32, $C$9, 100%, $E$9)</f>
        <v>3.7019000000000002</v>
      </c>
      <c r="F52" s="9">
        <f>3.6856 * CHOOSE(CONTROL!$C$32, $C$9, 100%, $E$9)</f>
        <v>3.6856</v>
      </c>
      <c r="G52" s="9">
        <f>3.6888 * CHOOSE(CONTROL!$C$32, $C$9, 100%, $E$9)</f>
        <v>3.6888000000000001</v>
      </c>
      <c r="H52" s="9">
        <f>6.2405 * CHOOSE(CONTROL!$C$32, $C$9, 100%, $E$9)</f>
        <v>6.2404999999999999</v>
      </c>
      <c r="I52" s="9">
        <f>6.2437 * CHOOSE(CONTROL!$C$32, $C$9, 100%, $E$9)</f>
        <v>6.2436999999999996</v>
      </c>
      <c r="J52" s="9">
        <f>6.2405 * CHOOSE(CONTROL!$C$32, $C$9, 100%, $E$9)</f>
        <v>6.2404999999999999</v>
      </c>
      <c r="K52" s="9">
        <f>6.2437 * CHOOSE(CONTROL!$C$32, $C$9, 100%, $E$9)</f>
        <v>6.2436999999999996</v>
      </c>
      <c r="L52" s="9">
        <f>3.7019 * CHOOSE(CONTROL!$C$32, $C$9, 100%, $E$9)</f>
        <v>3.7019000000000002</v>
      </c>
      <c r="M52" s="9">
        <f>3.7052 * CHOOSE(CONTROL!$C$32, $C$9, 100%, $E$9)</f>
        <v>3.7052</v>
      </c>
      <c r="N52" s="9">
        <f>3.7019 * CHOOSE(CONTROL!$C$32, $C$9, 100%, $E$9)</f>
        <v>3.7019000000000002</v>
      </c>
      <c r="O52" s="9">
        <f>3.7052 * CHOOSE(CONTROL!$C$32, $C$9, 100%, $E$9)</f>
        <v>3.7052</v>
      </c>
      <c r="P52" s="17"/>
      <c r="Q52" s="9"/>
      <c r="R52" s="9"/>
    </row>
    <row r="53" spans="1:18" ht="15" x14ac:dyDescent="0.2">
      <c r="A53" s="16">
        <v>42461</v>
      </c>
      <c r="B53" s="10">
        <f>2.5794 * CHOOSE(CONTROL!$C$32, $C$9, 100%, $E$9)</f>
        <v>2.5794000000000001</v>
      </c>
      <c r="C53" s="10">
        <f>2.5794 * CHOOSE(CONTROL!$C$32, $C$9, 100%, $E$9)</f>
        <v>2.5794000000000001</v>
      </c>
      <c r="D53" s="10">
        <f>2.5803 * CHOOSE(CONTROL!$C$32, $C$9, 100%, $E$9)</f>
        <v>2.5802999999999998</v>
      </c>
      <c r="E53" s="9">
        <f>3.7019 * CHOOSE(CONTROL!$C$32, $C$9, 100%, $E$9)</f>
        <v>3.7019000000000002</v>
      </c>
      <c r="F53" s="9">
        <f>3.6856 * CHOOSE(CONTROL!$C$32, $C$9, 100%, $E$9)</f>
        <v>3.6856</v>
      </c>
      <c r="G53" s="9">
        <f>3.6888 * CHOOSE(CONTROL!$C$32, $C$9, 100%, $E$9)</f>
        <v>3.6888000000000001</v>
      </c>
      <c r="H53" s="9">
        <f>6.2535 * CHOOSE(CONTROL!$C$32, $C$9, 100%, $E$9)</f>
        <v>6.2534999999999998</v>
      </c>
      <c r="I53" s="9">
        <f>6.2567 * CHOOSE(CONTROL!$C$32, $C$9, 100%, $E$9)</f>
        <v>6.2567000000000004</v>
      </c>
      <c r="J53" s="9">
        <f>6.2535 * CHOOSE(CONTROL!$C$32, $C$9, 100%, $E$9)</f>
        <v>6.2534999999999998</v>
      </c>
      <c r="K53" s="9">
        <f>6.2567 * CHOOSE(CONTROL!$C$32, $C$9, 100%, $E$9)</f>
        <v>6.2567000000000004</v>
      </c>
      <c r="L53" s="9">
        <f>3.7019 * CHOOSE(CONTROL!$C$32, $C$9, 100%, $E$9)</f>
        <v>3.7019000000000002</v>
      </c>
      <c r="M53" s="9">
        <f>3.7052 * CHOOSE(CONTROL!$C$32, $C$9, 100%, $E$9)</f>
        <v>3.7052</v>
      </c>
      <c r="N53" s="9">
        <f>3.7019 * CHOOSE(CONTROL!$C$32, $C$9, 100%, $E$9)</f>
        <v>3.7019000000000002</v>
      </c>
      <c r="O53" s="9">
        <f>3.7052 * CHOOSE(CONTROL!$C$32, $C$9, 100%, $E$9)</f>
        <v>3.7052</v>
      </c>
      <c r="P53" s="17"/>
      <c r="Q53" s="9"/>
      <c r="R53" s="9"/>
    </row>
    <row r="54" spans="1:18" ht="15" x14ac:dyDescent="0.2">
      <c r="A54" s="16">
        <v>42491</v>
      </c>
      <c r="B54" s="10">
        <f>2.5842 * CHOOSE(CONTROL!$C$32, $C$9, 100%, $E$9)</f>
        <v>2.5842000000000001</v>
      </c>
      <c r="C54" s="10">
        <f>2.5842 * CHOOSE(CONTROL!$C$32, $C$9, 100%, $E$9)</f>
        <v>2.5842000000000001</v>
      </c>
      <c r="D54" s="10">
        <f>2.5854 * CHOOSE(CONTROL!$C$32, $C$9, 100%, $E$9)</f>
        <v>2.5853999999999999</v>
      </c>
      <c r="E54" s="9">
        <f>3.7019 * CHOOSE(CONTROL!$C$32, $C$9, 100%, $E$9)</f>
        <v>3.7019000000000002</v>
      </c>
      <c r="F54" s="9">
        <f>3.6856 * CHOOSE(CONTROL!$C$32, $C$9, 100%, $E$9)</f>
        <v>3.6856</v>
      </c>
      <c r="G54" s="9">
        <f>3.6898 * CHOOSE(CONTROL!$C$32, $C$9, 100%, $E$9)</f>
        <v>3.6898</v>
      </c>
      <c r="H54" s="9">
        <f>6.2665 * CHOOSE(CONTROL!$C$32, $C$9, 100%, $E$9)</f>
        <v>6.2664999999999997</v>
      </c>
      <c r="I54" s="9">
        <f>6.2707 * CHOOSE(CONTROL!$C$32, $C$9, 100%, $E$9)</f>
        <v>6.2706999999999997</v>
      </c>
      <c r="J54" s="9">
        <f>6.2665 * CHOOSE(CONTROL!$C$32, $C$9, 100%, $E$9)</f>
        <v>6.2664999999999997</v>
      </c>
      <c r="K54" s="9">
        <f>6.2707 * CHOOSE(CONTROL!$C$32, $C$9, 100%, $E$9)</f>
        <v>6.2706999999999997</v>
      </c>
      <c r="L54" s="9">
        <f>3.7019 * CHOOSE(CONTROL!$C$32, $C$9, 100%, $E$9)</f>
        <v>3.7019000000000002</v>
      </c>
      <c r="M54" s="9">
        <f>3.7061 * CHOOSE(CONTROL!$C$32, $C$9, 100%, $E$9)</f>
        <v>3.7061000000000002</v>
      </c>
      <c r="N54" s="9">
        <f>3.7019 * CHOOSE(CONTROL!$C$32, $C$9, 100%, $E$9)</f>
        <v>3.7019000000000002</v>
      </c>
      <c r="O54" s="9">
        <f>3.7061 * CHOOSE(CONTROL!$C$32, $C$9, 100%, $E$9)</f>
        <v>3.7061000000000002</v>
      </c>
      <c r="P54" s="17"/>
      <c r="Q54" s="9"/>
      <c r="R54" s="9"/>
    </row>
    <row r="55" spans="1:18" ht="15" x14ac:dyDescent="0.2">
      <c r="A55" s="16">
        <v>42522</v>
      </c>
      <c r="B55" s="10">
        <f>2.59 * CHOOSE(CONTROL!$C$32, $C$9, 100%, $E$9)</f>
        <v>2.59</v>
      </c>
      <c r="C55" s="10">
        <f>2.59 * CHOOSE(CONTROL!$C$32, $C$9, 100%, $E$9)</f>
        <v>2.59</v>
      </c>
      <c r="D55" s="10">
        <f>2.5913 * CHOOSE(CONTROL!$C$32, $C$9, 100%, $E$9)</f>
        <v>2.5912999999999999</v>
      </c>
      <c r="E55" s="9">
        <f>3.7019 * CHOOSE(CONTROL!$C$32, $C$9, 100%, $E$9)</f>
        <v>3.7019000000000002</v>
      </c>
      <c r="F55" s="9">
        <f>3.6856 * CHOOSE(CONTROL!$C$32, $C$9, 100%, $E$9)</f>
        <v>3.6856</v>
      </c>
      <c r="G55" s="9">
        <f>3.6898 * CHOOSE(CONTROL!$C$32, $C$9, 100%, $E$9)</f>
        <v>3.6898</v>
      </c>
      <c r="H55" s="9">
        <f>6.2795 * CHOOSE(CONTROL!$C$32, $C$9, 100%, $E$9)</f>
        <v>6.2794999999999996</v>
      </c>
      <c r="I55" s="9">
        <f>6.2837 * CHOOSE(CONTROL!$C$32, $C$9, 100%, $E$9)</f>
        <v>6.2836999999999996</v>
      </c>
      <c r="J55" s="9">
        <f>6.2795 * CHOOSE(CONTROL!$C$32, $C$9, 100%, $E$9)</f>
        <v>6.2794999999999996</v>
      </c>
      <c r="K55" s="9">
        <f>6.2837 * CHOOSE(CONTROL!$C$32, $C$9, 100%, $E$9)</f>
        <v>6.2836999999999996</v>
      </c>
      <c r="L55" s="9">
        <f>3.7019 * CHOOSE(CONTROL!$C$32, $C$9, 100%, $E$9)</f>
        <v>3.7019000000000002</v>
      </c>
      <c r="M55" s="9">
        <f>3.7061 * CHOOSE(CONTROL!$C$32, $C$9, 100%, $E$9)</f>
        <v>3.7061000000000002</v>
      </c>
      <c r="N55" s="9">
        <f>3.7019 * CHOOSE(CONTROL!$C$32, $C$9, 100%, $E$9)</f>
        <v>3.7019000000000002</v>
      </c>
      <c r="O55" s="9">
        <f>3.7061 * CHOOSE(CONTROL!$C$32, $C$9, 100%, $E$9)</f>
        <v>3.7061000000000002</v>
      </c>
      <c r="P55" s="17"/>
      <c r="Q55" s="9"/>
      <c r="R55" s="9"/>
    </row>
    <row r="56" spans="1:18" ht="15" x14ac:dyDescent="0.2">
      <c r="A56" s="16">
        <v>42552</v>
      </c>
      <c r="B56" s="10">
        <f>2.5606 * CHOOSE(CONTROL!$C$32, $C$9, 100%, $E$9)</f>
        <v>2.5606</v>
      </c>
      <c r="C56" s="10">
        <f>2.5606 * CHOOSE(CONTROL!$C$32, $C$9, 100%, $E$9)</f>
        <v>2.5606</v>
      </c>
      <c r="D56" s="10">
        <f>2.5619 * CHOOSE(CONTROL!$C$32, $C$9, 100%, $E$9)</f>
        <v>2.5619000000000001</v>
      </c>
      <c r="E56" s="9">
        <f>3.7019 * CHOOSE(CONTROL!$C$32, $C$9, 100%, $E$9)</f>
        <v>3.7019000000000002</v>
      </c>
      <c r="F56" s="9">
        <f>3.6856 * CHOOSE(CONTROL!$C$32, $C$9, 100%, $E$9)</f>
        <v>3.6856</v>
      </c>
      <c r="G56" s="9">
        <f>3.6898 * CHOOSE(CONTROL!$C$32, $C$9, 100%, $E$9)</f>
        <v>3.6898</v>
      </c>
      <c r="H56" s="9">
        <f>6.2926 * CHOOSE(CONTROL!$C$32, $C$9, 100%, $E$9)</f>
        <v>6.2926000000000002</v>
      </c>
      <c r="I56" s="9">
        <f>6.2968 * CHOOSE(CONTROL!$C$32, $C$9, 100%, $E$9)</f>
        <v>6.2968000000000002</v>
      </c>
      <c r="J56" s="9">
        <f>6.2926 * CHOOSE(CONTROL!$C$32, $C$9, 100%, $E$9)</f>
        <v>6.2926000000000002</v>
      </c>
      <c r="K56" s="9">
        <f>6.2968 * CHOOSE(CONTROL!$C$32, $C$9, 100%, $E$9)</f>
        <v>6.2968000000000002</v>
      </c>
      <c r="L56" s="9">
        <f>3.7019 * CHOOSE(CONTROL!$C$32, $C$9, 100%, $E$9)</f>
        <v>3.7019000000000002</v>
      </c>
      <c r="M56" s="9">
        <f>3.7061 * CHOOSE(CONTROL!$C$32, $C$9, 100%, $E$9)</f>
        <v>3.7061000000000002</v>
      </c>
      <c r="N56" s="9">
        <f>3.7019 * CHOOSE(CONTROL!$C$32, $C$9, 100%, $E$9)</f>
        <v>3.7019000000000002</v>
      </c>
      <c r="O56" s="9">
        <f>3.7061 * CHOOSE(CONTROL!$C$32, $C$9, 100%, $E$9)</f>
        <v>3.7061000000000002</v>
      </c>
      <c r="P56" s="17"/>
      <c r="Q56" s="17"/>
      <c r="R56" s="17"/>
    </row>
    <row r="57" spans="1:18" ht="15" x14ac:dyDescent="0.2">
      <c r="A57" s="16">
        <v>42583</v>
      </c>
      <c r="B57" s="10">
        <f>2.5721 * CHOOSE(CONTROL!$C$32, $C$9, 100%, $E$9)</f>
        <v>2.5720999999999998</v>
      </c>
      <c r="C57" s="10">
        <f>2.5721 * CHOOSE(CONTROL!$C$32, $C$9, 100%, $E$9)</f>
        <v>2.5720999999999998</v>
      </c>
      <c r="D57" s="10">
        <f>2.5734 * CHOOSE(CONTROL!$C$32, $C$9, 100%, $E$9)</f>
        <v>2.5733999999999999</v>
      </c>
      <c r="E57" s="9">
        <f>3.7019 * CHOOSE(CONTROL!$C$32, $C$9, 100%, $E$9)</f>
        <v>3.7019000000000002</v>
      </c>
      <c r="F57" s="9">
        <f>3.6856 * CHOOSE(CONTROL!$C$32, $C$9, 100%, $E$9)</f>
        <v>3.6856</v>
      </c>
      <c r="G57" s="9">
        <f>3.6898 * CHOOSE(CONTROL!$C$32, $C$9, 100%, $E$9)</f>
        <v>3.6898</v>
      </c>
      <c r="H57" s="9">
        <f>6.3057 * CHOOSE(CONTROL!$C$32, $C$9, 100%, $E$9)</f>
        <v>6.3056999999999999</v>
      </c>
      <c r="I57" s="9">
        <f>6.3099 * CHOOSE(CONTROL!$C$32, $C$9, 100%, $E$9)</f>
        <v>6.3098999999999998</v>
      </c>
      <c r="J57" s="9">
        <f>6.3057 * CHOOSE(CONTROL!$C$32, $C$9, 100%, $E$9)</f>
        <v>6.3056999999999999</v>
      </c>
      <c r="K57" s="9">
        <f>6.3099 * CHOOSE(CONTROL!$C$32, $C$9, 100%, $E$9)</f>
        <v>6.3098999999999998</v>
      </c>
      <c r="L57" s="9">
        <f>3.7019 * CHOOSE(CONTROL!$C$32, $C$9, 100%, $E$9)</f>
        <v>3.7019000000000002</v>
      </c>
      <c r="M57" s="9">
        <f>3.7061 * CHOOSE(CONTROL!$C$32, $C$9, 100%, $E$9)</f>
        <v>3.7061000000000002</v>
      </c>
      <c r="N57" s="9">
        <f>3.7019 * CHOOSE(CONTROL!$C$32, $C$9, 100%, $E$9)</f>
        <v>3.7019000000000002</v>
      </c>
      <c r="O57" s="9">
        <f>3.7061 * CHOOSE(CONTROL!$C$32, $C$9, 100%, $E$9)</f>
        <v>3.7061000000000002</v>
      </c>
      <c r="P57" s="17"/>
      <c r="Q57" s="17"/>
      <c r="R57" s="17"/>
    </row>
    <row r="58" spans="1:18" ht="15" x14ac:dyDescent="0.2">
      <c r="A58" s="16">
        <v>42614</v>
      </c>
      <c r="B58" s="10">
        <f>2.5688 * CHOOSE(CONTROL!$C$32, $C$9, 100%, $E$9)</f>
        <v>2.5688</v>
      </c>
      <c r="C58" s="10">
        <f>2.5688 * CHOOSE(CONTROL!$C$32, $C$9, 100%, $E$9)</f>
        <v>2.5688</v>
      </c>
      <c r="D58" s="10">
        <f>2.5701 * CHOOSE(CONTROL!$C$32, $C$9, 100%, $E$9)</f>
        <v>2.5701000000000001</v>
      </c>
      <c r="E58" s="9">
        <f>3.7019 * CHOOSE(CONTROL!$C$32, $C$9, 100%, $E$9)</f>
        <v>3.7019000000000002</v>
      </c>
      <c r="F58" s="9">
        <f>3.6856 * CHOOSE(CONTROL!$C$32, $C$9, 100%, $E$9)</f>
        <v>3.6856</v>
      </c>
      <c r="G58" s="9">
        <f>3.6898 * CHOOSE(CONTROL!$C$32, $C$9, 100%, $E$9)</f>
        <v>3.6898</v>
      </c>
      <c r="H58" s="9">
        <f>6.3189 * CHOOSE(CONTROL!$C$32, $C$9, 100%, $E$9)</f>
        <v>6.3189000000000002</v>
      </c>
      <c r="I58" s="9">
        <f>6.3231 * CHOOSE(CONTROL!$C$32, $C$9, 100%, $E$9)</f>
        <v>6.3231000000000002</v>
      </c>
      <c r="J58" s="9">
        <f>6.3189 * CHOOSE(CONTROL!$C$32, $C$9, 100%, $E$9)</f>
        <v>6.3189000000000002</v>
      </c>
      <c r="K58" s="9">
        <f>6.3231 * CHOOSE(CONTROL!$C$32, $C$9, 100%, $E$9)</f>
        <v>6.3231000000000002</v>
      </c>
      <c r="L58" s="9">
        <f>3.7019 * CHOOSE(CONTROL!$C$32, $C$9, 100%, $E$9)</f>
        <v>3.7019000000000002</v>
      </c>
      <c r="M58" s="9">
        <f>3.7061 * CHOOSE(CONTROL!$C$32, $C$9, 100%, $E$9)</f>
        <v>3.7061000000000002</v>
      </c>
      <c r="N58" s="9">
        <f>3.7019 * CHOOSE(CONTROL!$C$32, $C$9, 100%, $E$9)</f>
        <v>3.7019000000000002</v>
      </c>
      <c r="O58" s="9">
        <f>3.7061 * CHOOSE(CONTROL!$C$32, $C$9, 100%, $E$9)</f>
        <v>3.7061000000000002</v>
      </c>
      <c r="P58" s="17"/>
      <c r="Q58" s="17"/>
      <c r="R58" s="17"/>
    </row>
    <row r="59" spans="1:18" ht="15" x14ac:dyDescent="0.2">
      <c r="A59" s="16">
        <v>42644</v>
      </c>
      <c r="B59" s="10">
        <f>2.5496 * CHOOSE(CONTROL!$C$32, $C$9, 100%, $E$9)</f>
        <v>2.5495999999999999</v>
      </c>
      <c r="C59" s="10">
        <f>2.5496 * CHOOSE(CONTROL!$C$32, $C$9, 100%, $E$9)</f>
        <v>2.5495999999999999</v>
      </c>
      <c r="D59" s="10">
        <f>2.5505 * CHOOSE(CONTROL!$C$32, $C$9, 100%, $E$9)</f>
        <v>2.5505</v>
      </c>
      <c r="E59" s="9">
        <f>3.7019 * CHOOSE(CONTROL!$C$32, $C$9, 100%, $E$9)</f>
        <v>3.7019000000000002</v>
      </c>
      <c r="F59" s="9">
        <f>3.6856 * CHOOSE(CONTROL!$C$32, $C$9, 100%, $E$9)</f>
        <v>3.6856</v>
      </c>
      <c r="G59" s="9">
        <f>3.6888 * CHOOSE(CONTROL!$C$32, $C$9, 100%, $E$9)</f>
        <v>3.6888000000000001</v>
      </c>
      <c r="H59" s="9">
        <f>6.332 * CHOOSE(CONTROL!$C$32, $C$9, 100%, $E$9)</f>
        <v>6.3319999999999999</v>
      </c>
      <c r="I59" s="9">
        <f>6.3353 * CHOOSE(CONTROL!$C$32, $C$9, 100%, $E$9)</f>
        <v>6.3353000000000002</v>
      </c>
      <c r="J59" s="9">
        <f>6.332 * CHOOSE(CONTROL!$C$32, $C$9, 100%, $E$9)</f>
        <v>6.3319999999999999</v>
      </c>
      <c r="K59" s="9">
        <f>6.3353 * CHOOSE(CONTROL!$C$32, $C$9, 100%, $E$9)</f>
        <v>6.3353000000000002</v>
      </c>
      <c r="L59" s="9">
        <f>3.7019 * CHOOSE(CONTROL!$C$32, $C$9, 100%, $E$9)</f>
        <v>3.7019000000000002</v>
      </c>
      <c r="M59" s="9">
        <f>3.7052 * CHOOSE(CONTROL!$C$32, $C$9, 100%, $E$9)</f>
        <v>3.7052</v>
      </c>
      <c r="N59" s="9">
        <f>3.7019 * CHOOSE(CONTROL!$C$32, $C$9, 100%, $E$9)</f>
        <v>3.7019000000000002</v>
      </c>
      <c r="O59" s="9">
        <f>3.7052 * CHOOSE(CONTROL!$C$32, $C$9, 100%, $E$9)</f>
        <v>3.7052</v>
      </c>
      <c r="P59" s="17"/>
      <c r="Q59" s="17"/>
      <c r="R59" s="17"/>
    </row>
    <row r="60" spans="1:18" ht="15" x14ac:dyDescent="0.2">
      <c r="A60" s="16">
        <v>42675</v>
      </c>
      <c r="B60" s="10">
        <f>2.5575 * CHOOSE(CONTROL!$C$32, $C$9, 100%, $E$9)</f>
        <v>2.5575000000000001</v>
      </c>
      <c r="C60" s="10">
        <f>2.5575 * CHOOSE(CONTROL!$C$32, $C$9, 100%, $E$9)</f>
        <v>2.5575000000000001</v>
      </c>
      <c r="D60" s="10">
        <f>2.5584 * CHOOSE(CONTROL!$C$32, $C$9, 100%, $E$9)</f>
        <v>2.5583999999999998</v>
      </c>
      <c r="E60" s="9">
        <f>3.7019 * CHOOSE(CONTROL!$C$32, $C$9, 100%, $E$9)</f>
        <v>3.7019000000000002</v>
      </c>
      <c r="F60" s="9">
        <f>3.6856 * CHOOSE(CONTROL!$C$32, $C$9, 100%, $E$9)</f>
        <v>3.6856</v>
      </c>
      <c r="G60" s="9">
        <f>3.6888 * CHOOSE(CONTROL!$C$32, $C$9, 100%, $E$9)</f>
        <v>3.6888000000000001</v>
      </c>
      <c r="H60" s="9">
        <f>6.3452 * CHOOSE(CONTROL!$C$32, $C$9, 100%, $E$9)</f>
        <v>6.3452000000000002</v>
      </c>
      <c r="I60" s="9">
        <f>6.3485 * CHOOSE(CONTROL!$C$32, $C$9, 100%, $E$9)</f>
        <v>6.3484999999999996</v>
      </c>
      <c r="J60" s="9">
        <f>6.3452 * CHOOSE(CONTROL!$C$32, $C$9, 100%, $E$9)</f>
        <v>6.3452000000000002</v>
      </c>
      <c r="K60" s="9">
        <f>6.3485 * CHOOSE(CONTROL!$C$32, $C$9, 100%, $E$9)</f>
        <v>6.3484999999999996</v>
      </c>
      <c r="L60" s="9">
        <f>3.7019 * CHOOSE(CONTROL!$C$32, $C$9, 100%, $E$9)</f>
        <v>3.7019000000000002</v>
      </c>
      <c r="M60" s="9">
        <f>3.7052 * CHOOSE(CONTROL!$C$32, $C$9, 100%, $E$9)</f>
        <v>3.7052</v>
      </c>
      <c r="N60" s="9">
        <f>3.7019 * CHOOSE(CONTROL!$C$32, $C$9, 100%, $E$9)</f>
        <v>3.7019000000000002</v>
      </c>
      <c r="O60" s="9">
        <f>3.7052 * CHOOSE(CONTROL!$C$32, $C$9, 100%, $E$9)</f>
        <v>3.7052</v>
      </c>
      <c r="P60" s="17"/>
      <c r="Q60" s="17"/>
      <c r="R60" s="17"/>
    </row>
    <row r="61" spans="1:18" ht="15" x14ac:dyDescent="0.2">
      <c r="A61" s="16">
        <v>42705</v>
      </c>
      <c r="B61" s="10">
        <f>2.5572 * CHOOSE(CONTROL!$C$32, $C$9, 100%, $E$9)</f>
        <v>2.5571999999999999</v>
      </c>
      <c r="C61" s="10">
        <f>2.5572 * CHOOSE(CONTROL!$C$32, $C$9, 100%, $E$9)</f>
        <v>2.5571999999999999</v>
      </c>
      <c r="D61" s="10">
        <f>2.5581 * CHOOSE(CONTROL!$C$32, $C$9, 100%, $E$9)</f>
        <v>2.5581</v>
      </c>
      <c r="E61" s="9">
        <f>3.7019 * CHOOSE(CONTROL!$C$32, $C$9, 100%, $E$9)</f>
        <v>3.7019000000000002</v>
      </c>
      <c r="F61" s="9">
        <f>3.6856 * CHOOSE(CONTROL!$C$32, $C$9, 100%, $E$9)</f>
        <v>3.6856</v>
      </c>
      <c r="G61" s="9">
        <f>3.6888 * CHOOSE(CONTROL!$C$32, $C$9, 100%, $E$9)</f>
        <v>3.6888000000000001</v>
      </c>
      <c r="H61" s="9">
        <f>6.3585 * CHOOSE(CONTROL!$C$32, $C$9, 100%, $E$9)</f>
        <v>6.3585000000000003</v>
      </c>
      <c r="I61" s="9">
        <f>6.3617 * CHOOSE(CONTROL!$C$32, $C$9, 100%, $E$9)</f>
        <v>6.3616999999999999</v>
      </c>
      <c r="J61" s="9">
        <f>6.3585 * CHOOSE(CONTROL!$C$32, $C$9, 100%, $E$9)</f>
        <v>6.3585000000000003</v>
      </c>
      <c r="K61" s="9">
        <f>6.3617 * CHOOSE(CONTROL!$C$32, $C$9, 100%, $E$9)</f>
        <v>6.3616999999999999</v>
      </c>
      <c r="L61" s="9">
        <f>3.7019 * CHOOSE(CONTROL!$C$32, $C$9, 100%, $E$9)</f>
        <v>3.7019000000000002</v>
      </c>
      <c r="M61" s="9">
        <f>3.7052 * CHOOSE(CONTROL!$C$32, $C$9, 100%, $E$9)</f>
        <v>3.7052</v>
      </c>
      <c r="N61" s="9">
        <f>3.7019 * CHOOSE(CONTROL!$C$32, $C$9, 100%, $E$9)</f>
        <v>3.7019000000000002</v>
      </c>
      <c r="O61" s="9">
        <f>3.7052 * CHOOSE(CONTROL!$C$32, $C$9, 100%, $E$9)</f>
        <v>3.7052</v>
      </c>
      <c r="P61" s="17"/>
      <c r="Q61" s="17"/>
      <c r="R61" s="17"/>
    </row>
    <row r="62" spans="1:18" ht="15" x14ac:dyDescent="0.2">
      <c r="A62" s="16">
        <v>42736</v>
      </c>
      <c r="B62" s="10">
        <f>2.6003 * CHOOSE(CONTROL!$C$32, $C$9, 100%, $E$9)</f>
        <v>2.6002999999999998</v>
      </c>
      <c r="C62" s="10">
        <f>2.6003 * CHOOSE(CONTROL!$C$32, $C$9, 100%, $E$9)</f>
        <v>2.6002999999999998</v>
      </c>
      <c r="D62" s="10">
        <f>2.6013 * CHOOSE(CONTROL!$C$32, $C$9, 100%, $E$9)</f>
        <v>2.6013000000000002</v>
      </c>
      <c r="E62" s="9">
        <f>3.7587 * CHOOSE(CONTROL!$C$32, $C$9, 100%, $E$9)</f>
        <v>3.7587000000000002</v>
      </c>
      <c r="F62" s="9">
        <f>3.7587 * CHOOSE(CONTROL!$C$32, $C$9, 100%, $E$9)</f>
        <v>3.7587000000000002</v>
      </c>
      <c r="G62" s="9">
        <f>3.7619 * CHOOSE(CONTROL!$C$32, $C$9, 100%, $E$9)</f>
        <v>3.7618999999999998</v>
      </c>
      <c r="H62" s="9">
        <f>6.3717 * CHOOSE(CONTROL!$C$32, $C$9, 100%, $E$9)</f>
        <v>6.3716999999999997</v>
      </c>
      <c r="I62" s="9">
        <f>6.3749 * CHOOSE(CONTROL!$C$32, $C$9, 100%, $E$9)</f>
        <v>6.3749000000000002</v>
      </c>
      <c r="J62" s="9">
        <f>6.3717 * CHOOSE(CONTROL!$C$32, $C$9, 100%, $E$9)</f>
        <v>6.3716999999999997</v>
      </c>
      <c r="K62" s="9">
        <f>6.3749 * CHOOSE(CONTROL!$C$32, $C$9, 100%, $E$9)</f>
        <v>6.3749000000000002</v>
      </c>
      <c r="L62" s="9">
        <f>3.7587 * CHOOSE(CONTROL!$C$32, $C$9, 100%, $E$9)</f>
        <v>3.7587000000000002</v>
      </c>
      <c r="M62" s="9">
        <f>3.7619 * CHOOSE(CONTROL!$C$32, $C$9, 100%, $E$9)</f>
        <v>3.7618999999999998</v>
      </c>
      <c r="N62" s="9">
        <f>3.7587 * CHOOSE(CONTROL!$C$32, $C$9, 100%, $E$9)</f>
        <v>3.7587000000000002</v>
      </c>
      <c r="O62" s="9">
        <f>3.7619 * CHOOSE(CONTROL!$C$32, $C$9, 100%, $E$9)</f>
        <v>3.7618999999999998</v>
      </c>
      <c r="P62" s="17"/>
      <c r="Q62" s="17"/>
      <c r="R62" s="17"/>
    </row>
    <row r="63" spans="1:18" ht="15" x14ac:dyDescent="0.2">
      <c r="A63" s="16">
        <v>42767</v>
      </c>
      <c r="B63" s="10">
        <f>2.6023 * CHOOSE(CONTROL!$C$32, $C$9, 100%, $E$9)</f>
        <v>2.6023000000000001</v>
      </c>
      <c r="C63" s="10">
        <f>2.6023 * CHOOSE(CONTROL!$C$32, $C$9, 100%, $E$9)</f>
        <v>2.6023000000000001</v>
      </c>
      <c r="D63" s="10">
        <f>2.6033 * CHOOSE(CONTROL!$C$32, $C$9, 100%, $E$9)</f>
        <v>2.6032999999999999</v>
      </c>
      <c r="E63" s="9">
        <f>3.7567 * CHOOSE(CONTROL!$C$32, $C$9, 100%, $E$9)</f>
        <v>3.7566999999999999</v>
      </c>
      <c r="F63" s="9">
        <f>3.7567 * CHOOSE(CONTROL!$C$32, $C$9, 100%, $E$9)</f>
        <v>3.7566999999999999</v>
      </c>
      <c r="G63" s="9">
        <f>3.7599 * CHOOSE(CONTROL!$C$32, $C$9, 100%, $E$9)</f>
        <v>3.7599</v>
      </c>
      <c r="H63" s="9">
        <f>6.385 * CHOOSE(CONTROL!$C$32, $C$9, 100%, $E$9)</f>
        <v>6.3849999999999998</v>
      </c>
      <c r="I63" s="9">
        <f>6.3882 * CHOOSE(CONTROL!$C$32, $C$9, 100%, $E$9)</f>
        <v>6.3882000000000003</v>
      </c>
      <c r="J63" s="9">
        <f>6.385 * CHOOSE(CONTROL!$C$32, $C$9, 100%, $E$9)</f>
        <v>6.3849999999999998</v>
      </c>
      <c r="K63" s="9">
        <f>6.3882 * CHOOSE(CONTROL!$C$32, $C$9, 100%, $E$9)</f>
        <v>6.3882000000000003</v>
      </c>
      <c r="L63" s="9">
        <f>3.7567 * CHOOSE(CONTROL!$C$32, $C$9, 100%, $E$9)</f>
        <v>3.7566999999999999</v>
      </c>
      <c r="M63" s="9">
        <f>3.7599 * CHOOSE(CONTROL!$C$32, $C$9, 100%, $E$9)</f>
        <v>3.7599</v>
      </c>
      <c r="N63" s="9">
        <f>3.7567 * CHOOSE(CONTROL!$C$32, $C$9, 100%, $E$9)</f>
        <v>3.7566999999999999</v>
      </c>
      <c r="O63" s="9">
        <f>3.7599 * CHOOSE(CONTROL!$C$32, $C$9, 100%, $E$9)</f>
        <v>3.7599</v>
      </c>
      <c r="P63" s="17"/>
      <c r="Q63" s="17"/>
      <c r="R63" s="17"/>
    </row>
    <row r="64" spans="1:18" ht="15" x14ac:dyDescent="0.2">
      <c r="A64" s="16">
        <v>42795</v>
      </c>
      <c r="B64" s="10">
        <f>2.5991 * CHOOSE(CONTROL!$C$32, $C$9, 100%, $E$9)</f>
        <v>2.5991</v>
      </c>
      <c r="C64" s="10">
        <f>2.5991 * CHOOSE(CONTROL!$C$32, $C$9, 100%, $E$9)</f>
        <v>2.5991</v>
      </c>
      <c r="D64" s="10">
        <f>2.6 * CHOOSE(CONTROL!$C$32, $C$9, 100%, $E$9)</f>
        <v>2.6</v>
      </c>
      <c r="E64" s="9">
        <f>3.7547 * CHOOSE(CONTROL!$C$32, $C$9, 100%, $E$9)</f>
        <v>3.7547000000000001</v>
      </c>
      <c r="F64" s="9">
        <f>3.7547 * CHOOSE(CONTROL!$C$32, $C$9, 100%, $E$9)</f>
        <v>3.7547000000000001</v>
      </c>
      <c r="G64" s="9">
        <f>3.7579 * CHOOSE(CONTROL!$C$32, $C$9, 100%, $E$9)</f>
        <v>3.7578999999999998</v>
      </c>
      <c r="H64" s="9">
        <f>6.3983 * CHOOSE(CONTROL!$C$32, $C$9, 100%, $E$9)</f>
        <v>6.3982999999999999</v>
      </c>
      <c r="I64" s="9">
        <f>6.4015 * CHOOSE(CONTROL!$C$32, $C$9, 100%, $E$9)</f>
        <v>6.4015000000000004</v>
      </c>
      <c r="J64" s="9">
        <f>6.3983 * CHOOSE(CONTROL!$C$32, $C$9, 100%, $E$9)</f>
        <v>6.3982999999999999</v>
      </c>
      <c r="K64" s="9">
        <f>6.4015 * CHOOSE(CONTROL!$C$32, $C$9, 100%, $E$9)</f>
        <v>6.4015000000000004</v>
      </c>
      <c r="L64" s="9">
        <f>3.7547 * CHOOSE(CONTROL!$C$32, $C$9, 100%, $E$9)</f>
        <v>3.7547000000000001</v>
      </c>
      <c r="M64" s="9">
        <f>3.7579 * CHOOSE(CONTROL!$C$32, $C$9, 100%, $E$9)</f>
        <v>3.7578999999999998</v>
      </c>
      <c r="N64" s="9">
        <f>3.7547 * CHOOSE(CONTROL!$C$32, $C$9, 100%, $E$9)</f>
        <v>3.7547000000000001</v>
      </c>
      <c r="O64" s="9">
        <f>3.7579 * CHOOSE(CONTROL!$C$32, $C$9, 100%, $E$9)</f>
        <v>3.7578999999999998</v>
      </c>
      <c r="P64" s="17"/>
      <c r="Q64" s="17"/>
      <c r="R64" s="17"/>
    </row>
    <row r="65" spans="1:18" ht="15" x14ac:dyDescent="0.2">
      <c r="A65" s="16">
        <v>42826</v>
      </c>
      <c r="B65" s="10">
        <f>2.593 * CHOOSE(CONTROL!$C$32, $C$9, 100%, $E$9)</f>
        <v>2.593</v>
      </c>
      <c r="C65" s="10">
        <f>2.593 * CHOOSE(CONTROL!$C$32, $C$9, 100%, $E$9)</f>
        <v>2.593</v>
      </c>
      <c r="D65" s="10">
        <f>2.594 * CHOOSE(CONTROL!$C$32, $C$9, 100%, $E$9)</f>
        <v>2.5939999999999999</v>
      </c>
      <c r="E65" s="9">
        <f>3.7522 * CHOOSE(CONTROL!$C$32, $C$9, 100%, $E$9)</f>
        <v>3.7522000000000002</v>
      </c>
      <c r="F65" s="9">
        <f>3.7522 * CHOOSE(CONTROL!$C$32, $C$9, 100%, $E$9)</f>
        <v>3.7522000000000002</v>
      </c>
      <c r="G65" s="9">
        <f>3.7554 * CHOOSE(CONTROL!$C$32, $C$9, 100%, $E$9)</f>
        <v>3.7553999999999998</v>
      </c>
      <c r="H65" s="9">
        <f>6.4116 * CHOOSE(CONTROL!$C$32, $C$9, 100%, $E$9)</f>
        <v>6.4116</v>
      </c>
      <c r="I65" s="9">
        <f>6.4148 * CHOOSE(CONTROL!$C$32, $C$9, 100%, $E$9)</f>
        <v>6.4147999999999996</v>
      </c>
      <c r="J65" s="9">
        <f>6.4116 * CHOOSE(CONTROL!$C$32, $C$9, 100%, $E$9)</f>
        <v>6.4116</v>
      </c>
      <c r="K65" s="9">
        <f>6.4148 * CHOOSE(CONTROL!$C$32, $C$9, 100%, $E$9)</f>
        <v>6.4147999999999996</v>
      </c>
      <c r="L65" s="9">
        <f>3.7522 * CHOOSE(CONTROL!$C$32, $C$9, 100%, $E$9)</f>
        <v>3.7522000000000002</v>
      </c>
      <c r="M65" s="9">
        <f>3.7554 * CHOOSE(CONTROL!$C$32, $C$9, 100%, $E$9)</f>
        <v>3.7553999999999998</v>
      </c>
      <c r="N65" s="9">
        <f>3.7522 * CHOOSE(CONTROL!$C$32, $C$9, 100%, $E$9)</f>
        <v>3.7522000000000002</v>
      </c>
      <c r="O65" s="9">
        <f>3.7554 * CHOOSE(CONTROL!$C$32, $C$9, 100%, $E$9)</f>
        <v>3.7553999999999998</v>
      </c>
      <c r="P65" s="17"/>
      <c r="Q65" s="17"/>
      <c r="R65" s="17"/>
    </row>
    <row r="66" spans="1:18" ht="15" x14ac:dyDescent="0.2">
      <c r="A66" s="16">
        <v>42856</v>
      </c>
      <c r="B66" s="10">
        <f>2.5979 * CHOOSE(CONTROL!$C$32, $C$9, 100%, $E$9)</f>
        <v>2.5979000000000001</v>
      </c>
      <c r="C66" s="10">
        <f>2.5979 * CHOOSE(CONTROL!$C$32, $C$9, 100%, $E$9)</f>
        <v>2.5979000000000001</v>
      </c>
      <c r="D66" s="10">
        <f>2.5991 * CHOOSE(CONTROL!$C$32, $C$9, 100%, $E$9)</f>
        <v>2.5991</v>
      </c>
      <c r="E66" s="9">
        <f>3.7522 * CHOOSE(CONTROL!$C$32, $C$9, 100%, $E$9)</f>
        <v>3.7522000000000002</v>
      </c>
      <c r="F66" s="9">
        <f>3.7522 * CHOOSE(CONTROL!$C$32, $C$9, 100%, $E$9)</f>
        <v>3.7522000000000002</v>
      </c>
      <c r="G66" s="9">
        <f>3.7564 * CHOOSE(CONTROL!$C$32, $C$9, 100%, $E$9)</f>
        <v>3.7564000000000002</v>
      </c>
      <c r="H66" s="9">
        <f>6.425 * CHOOSE(CONTROL!$C$32, $C$9, 100%, $E$9)</f>
        <v>6.4249999999999998</v>
      </c>
      <c r="I66" s="9">
        <f>6.4292 * CHOOSE(CONTROL!$C$32, $C$9, 100%, $E$9)</f>
        <v>6.4291999999999998</v>
      </c>
      <c r="J66" s="9">
        <f>6.425 * CHOOSE(CONTROL!$C$32, $C$9, 100%, $E$9)</f>
        <v>6.4249999999999998</v>
      </c>
      <c r="K66" s="9">
        <f>6.4292 * CHOOSE(CONTROL!$C$32, $C$9, 100%, $E$9)</f>
        <v>6.4291999999999998</v>
      </c>
      <c r="L66" s="9">
        <f>3.7522 * CHOOSE(CONTROL!$C$32, $C$9, 100%, $E$9)</f>
        <v>3.7522000000000002</v>
      </c>
      <c r="M66" s="9">
        <f>3.7564 * CHOOSE(CONTROL!$C$32, $C$9, 100%, $E$9)</f>
        <v>3.7564000000000002</v>
      </c>
      <c r="N66" s="9">
        <f>3.7522 * CHOOSE(CONTROL!$C$32, $C$9, 100%, $E$9)</f>
        <v>3.7522000000000002</v>
      </c>
      <c r="O66" s="9">
        <f>3.7564 * CHOOSE(CONTROL!$C$32, $C$9, 100%, $E$9)</f>
        <v>3.7564000000000002</v>
      </c>
      <c r="P66" s="17"/>
      <c r="Q66" s="17"/>
      <c r="R66" s="17"/>
    </row>
    <row r="67" spans="1:18" ht="15" x14ac:dyDescent="0.2">
      <c r="A67" s="16">
        <v>42887</v>
      </c>
      <c r="B67" s="10">
        <f>2.6037 * CHOOSE(CONTROL!$C$32, $C$9, 100%, $E$9)</f>
        <v>2.6036999999999999</v>
      </c>
      <c r="C67" s="10">
        <f>2.6037 * CHOOSE(CONTROL!$C$32, $C$9, 100%, $E$9)</f>
        <v>2.6036999999999999</v>
      </c>
      <c r="D67" s="10">
        <f>2.605 * CHOOSE(CONTROL!$C$32, $C$9, 100%, $E$9)</f>
        <v>2.605</v>
      </c>
      <c r="E67" s="9">
        <f>3.7562 * CHOOSE(CONTROL!$C$32, $C$9, 100%, $E$9)</f>
        <v>3.7562000000000002</v>
      </c>
      <c r="F67" s="9">
        <f>3.7562 * CHOOSE(CONTROL!$C$32, $C$9, 100%, $E$9)</f>
        <v>3.7562000000000002</v>
      </c>
      <c r="G67" s="9">
        <f>3.7604 * CHOOSE(CONTROL!$C$32, $C$9, 100%, $E$9)</f>
        <v>3.7604000000000002</v>
      </c>
      <c r="H67" s="9">
        <f>6.4383 * CHOOSE(CONTROL!$C$32, $C$9, 100%, $E$9)</f>
        <v>6.4382999999999999</v>
      </c>
      <c r="I67" s="9">
        <f>6.4425 * CHOOSE(CONTROL!$C$32, $C$9, 100%, $E$9)</f>
        <v>6.4424999999999999</v>
      </c>
      <c r="J67" s="9">
        <f>6.4383 * CHOOSE(CONTROL!$C$32, $C$9, 100%, $E$9)</f>
        <v>6.4382999999999999</v>
      </c>
      <c r="K67" s="9">
        <f>6.4425 * CHOOSE(CONTROL!$C$32, $C$9, 100%, $E$9)</f>
        <v>6.4424999999999999</v>
      </c>
      <c r="L67" s="9">
        <f>3.7562 * CHOOSE(CONTROL!$C$32, $C$9, 100%, $E$9)</f>
        <v>3.7562000000000002</v>
      </c>
      <c r="M67" s="9">
        <f>3.7604 * CHOOSE(CONTROL!$C$32, $C$9, 100%, $E$9)</f>
        <v>3.7604000000000002</v>
      </c>
      <c r="N67" s="9">
        <f>3.7562 * CHOOSE(CONTROL!$C$32, $C$9, 100%, $E$9)</f>
        <v>3.7562000000000002</v>
      </c>
      <c r="O67" s="9">
        <f>3.7604 * CHOOSE(CONTROL!$C$32, $C$9, 100%, $E$9)</f>
        <v>3.7604000000000002</v>
      </c>
      <c r="P67" s="17"/>
      <c r="Q67" s="17"/>
      <c r="R67" s="17"/>
    </row>
    <row r="68" spans="1:18" ht="15" x14ac:dyDescent="0.2">
      <c r="A68" s="16">
        <v>42917</v>
      </c>
      <c r="B68" s="10">
        <f>2.6742 * CHOOSE(CONTROL!$C$32, $C$9, 100%, $E$9)</f>
        <v>2.6741999999999999</v>
      </c>
      <c r="C68" s="10">
        <f>2.6742 * CHOOSE(CONTROL!$C$32, $C$9, 100%, $E$9)</f>
        <v>2.6741999999999999</v>
      </c>
      <c r="D68" s="10">
        <f>2.6754 * CHOOSE(CONTROL!$C$32, $C$9, 100%, $E$9)</f>
        <v>2.6753999999999998</v>
      </c>
      <c r="E68" s="9">
        <f>3.8719 * CHOOSE(CONTROL!$C$32, $C$9, 100%, $E$9)</f>
        <v>3.8719000000000001</v>
      </c>
      <c r="F68" s="9">
        <f>3.8719 * CHOOSE(CONTROL!$C$32, $C$9, 100%, $E$9)</f>
        <v>3.8719000000000001</v>
      </c>
      <c r="G68" s="9">
        <f>3.8761 * CHOOSE(CONTROL!$C$32, $C$9, 100%, $E$9)</f>
        <v>3.8761000000000001</v>
      </c>
      <c r="H68" s="9">
        <f>6.4518 * CHOOSE(CONTROL!$C$32, $C$9, 100%, $E$9)</f>
        <v>6.4518000000000004</v>
      </c>
      <c r="I68" s="9">
        <f>6.456 * CHOOSE(CONTROL!$C$32, $C$9, 100%, $E$9)</f>
        <v>6.4560000000000004</v>
      </c>
      <c r="J68" s="9">
        <f>6.4518 * CHOOSE(CONTROL!$C$32, $C$9, 100%, $E$9)</f>
        <v>6.4518000000000004</v>
      </c>
      <c r="K68" s="9">
        <f>6.456 * CHOOSE(CONTROL!$C$32, $C$9, 100%, $E$9)</f>
        <v>6.4560000000000004</v>
      </c>
      <c r="L68" s="9">
        <f>3.8719 * CHOOSE(CONTROL!$C$32, $C$9, 100%, $E$9)</f>
        <v>3.8719000000000001</v>
      </c>
      <c r="M68" s="9">
        <f>3.8761 * CHOOSE(CONTROL!$C$32, $C$9, 100%, $E$9)</f>
        <v>3.8761000000000001</v>
      </c>
      <c r="N68" s="9">
        <f>3.8719 * CHOOSE(CONTROL!$C$32, $C$9, 100%, $E$9)</f>
        <v>3.8719000000000001</v>
      </c>
      <c r="O68" s="9">
        <f>3.8761 * CHOOSE(CONTROL!$C$32, $C$9, 100%, $E$9)</f>
        <v>3.8761000000000001</v>
      </c>
      <c r="P68" s="17"/>
      <c r="Q68" s="17"/>
      <c r="R68" s="17"/>
    </row>
    <row r="69" spans="1:18" ht="15" x14ac:dyDescent="0.2">
      <c r="A69" s="16">
        <v>42948</v>
      </c>
      <c r="B69" s="10">
        <f>2.6858 * CHOOSE(CONTROL!$C$32, $C$9, 100%, $E$9)</f>
        <v>2.6858</v>
      </c>
      <c r="C69" s="10">
        <f>2.6858 * CHOOSE(CONTROL!$C$32, $C$9, 100%, $E$9)</f>
        <v>2.6858</v>
      </c>
      <c r="D69" s="10">
        <f>2.687 * CHOOSE(CONTROL!$C$32, $C$9, 100%, $E$9)</f>
        <v>2.6869999999999998</v>
      </c>
      <c r="E69" s="9">
        <f>3.8763 * CHOOSE(CONTROL!$C$32, $C$9, 100%, $E$9)</f>
        <v>3.8763000000000001</v>
      </c>
      <c r="F69" s="9">
        <f>3.8763 * CHOOSE(CONTROL!$C$32, $C$9, 100%, $E$9)</f>
        <v>3.8763000000000001</v>
      </c>
      <c r="G69" s="9">
        <f>3.8805 * CHOOSE(CONTROL!$C$32, $C$9, 100%, $E$9)</f>
        <v>3.8805000000000001</v>
      </c>
      <c r="H69" s="9">
        <f>6.4652 * CHOOSE(CONTROL!$C$32, $C$9, 100%, $E$9)</f>
        <v>6.4652000000000003</v>
      </c>
      <c r="I69" s="9">
        <f>6.4694 * CHOOSE(CONTROL!$C$32, $C$9, 100%, $E$9)</f>
        <v>6.4694000000000003</v>
      </c>
      <c r="J69" s="9">
        <f>6.4652 * CHOOSE(CONTROL!$C$32, $C$9, 100%, $E$9)</f>
        <v>6.4652000000000003</v>
      </c>
      <c r="K69" s="9">
        <f>6.4694 * CHOOSE(CONTROL!$C$32, $C$9, 100%, $E$9)</f>
        <v>6.4694000000000003</v>
      </c>
      <c r="L69" s="9">
        <f>3.8763 * CHOOSE(CONTROL!$C$32, $C$9, 100%, $E$9)</f>
        <v>3.8763000000000001</v>
      </c>
      <c r="M69" s="9">
        <f>3.8805 * CHOOSE(CONTROL!$C$32, $C$9, 100%, $E$9)</f>
        <v>3.8805000000000001</v>
      </c>
      <c r="N69" s="9">
        <f>3.8763 * CHOOSE(CONTROL!$C$32, $C$9, 100%, $E$9)</f>
        <v>3.8763000000000001</v>
      </c>
      <c r="O69" s="9">
        <f>3.8805 * CHOOSE(CONTROL!$C$32, $C$9, 100%, $E$9)</f>
        <v>3.8805000000000001</v>
      </c>
      <c r="P69" s="17"/>
      <c r="Q69" s="17"/>
      <c r="R69" s="17"/>
    </row>
    <row r="70" spans="1:18" ht="15" x14ac:dyDescent="0.2">
      <c r="A70" s="16">
        <v>42979</v>
      </c>
      <c r="B70" s="10">
        <f>2.6825 * CHOOSE(CONTROL!$C$32, $C$9, 100%, $E$9)</f>
        <v>2.6825000000000001</v>
      </c>
      <c r="C70" s="10">
        <f>2.6825 * CHOOSE(CONTROL!$C$32, $C$9, 100%, $E$9)</f>
        <v>2.6825000000000001</v>
      </c>
      <c r="D70" s="10">
        <f>2.6837 * CHOOSE(CONTROL!$C$32, $C$9, 100%, $E$9)</f>
        <v>2.6837</v>
      </c>
      <c r="E70" s="9">
        <f>3.8743 * CHOOSE(CONTROL!$C$32, $C$9, 100%, $E$9)</f>
        <v>3.8742999999999999</v>
      </c>
      <c r="F70" s="9">
        <f>3.8743 * CHOOSE(CONTROL!$C$32, $C$9, 100%, $E$9)</f>
        <v>3.8742999999999999</v>
      </c>
      <c r="G70" s="9">
        <f>3.8785 * CHOOSE(CONTROL!$C$32, $C$9, 100%, $E$9)</f>
        <v>3.8784999999999998</v>
      </c>
      <c r="H70" s="9">
        <f>6.4787 * CHOOSE(CONTROL!$C$32, $C$9, 100%, $E$9)</f>
        <v>6.4786999999999999</v>
      </c>
      <c r="I70" s="9">
        <f>6.4829 * CHOOSE(CONTROL!$C$32, $C$9, 100%, $E$9)</f>
        <v>6.4828999999999999</v>
      </c>
      <c r="J70" s="9">
        <f>6.4787 * CHOOSE(CONTROL!$C$32, $C$9, 100%, $E$9)</f>
        <v>6.4786999999999999</v>
      </c>
      <c r="K70" s="9">
        <f>6.4829 * CHOOSE(CONTROL!$C$32, $C$9, 100%, $E$9)</f>
        <v>6.4828999999999999</v>
      </c>
      <c r="L70" s="9">
        <f>3.8743 * CHOOSE(CONTROL!$C$32, $C$9, 100%, $E$9)</f>
        <v>3.8742999999999999</v>
      </c>
      <c r="M70" s="9">
        <f>3.8785 * CHOOSE(CONTROL!$C$32, $C$9, 100%, $E$9)</f>
        <v>3.8784999999999998</v>
      </c>
      <c r="N70" s="9">
        <f>3.8743 * CHOOSE(CONTROL!$C$32, $C$9, 100%, $E$9)</f>
        <v>3.8742999999999999</v>
      </c>
      <c r="O70" s="9">
        <f>3.8785 * CHOOSE(CONTROL!$C$32, $C$9, 100%, $E$9)</f>
        <v>3.8784999999999998</v>
      </c>
      <c r="P70" s="17"/>
      <c r="Q70" s="17"/>
      <c r="R70" s="17"/>
    </row>
    <row r="71" spans="1:18" ht="15" x14ac:dyDescent="0.2">
      <c r="A71" s="16">
        <v>43009</v>
      </c>
      <c r="B71" s="10">
        <f>2.6632 * CHOOSE(CONTROL!$C$32, $C$9, 100%, $E$9)</f>
        <v>2.6631999999999998</v>
      </c>
      <c r="C71" s="10">
        <f>2.6632 * CHOOSE(CONTROL!$C$32, $C$9, 100%, $E$9)</f>
        <v>2.6631999999999998</v>
      </c>
      <c r="D71" s="10">
        <f>2.6642 * CHOOSE(CONTROL!$C$32, $C$9, 100%, $E$9)</f>
        <v>2.6642000000000001</v>
      </c>
      <c r="E71" s="9">
        <f>3.8673 * CHOOSE(CONTROL!$C$32, $C$9, 100%, $E$9)</f>
        <v>3.8673000000000002</v>
      </c>
      <c r="F71" s="9">
        <f>3.8673 * CHOOSE(CONTROL!$C$32, $C$9, 100%, $E$9)</f>
        <v>3.8673000000000002</v>
      </c>
      <c r="G71" s="9">
        <f>3.8706 * CHOOSE(CONTROL!$C$32, $C$9, 100%, $E$9)</f>
        <v>3.8706</v>
      </c>
      <c r="H71" s="9">
        <f>6.4922 * CHOOSE(CONTROL!$C$32, $C$9, 100%, $E$9)</f>
        <v>6.4922000000000004</v>
      </c>
      <c r="I71" s="9">
        <f>6.4954 * CHOOSE(CONTROL!$C$32, $C$9, 100%, $E$9)</f>
        <v>6.4954000000000001</v>
      </c>
      <c r="J71" s="9">
        <f>6.4922 * CHOOSE(CONTROL!$C$32, $C$9, 100%, $E$9)</f>
        <v>6.4922000000000004</v>
      </c>
      <c r="K71" s="9">
        <f>6.4954 * CHOOSE(CONTROL!$C$32, $C$9, 100%, $E$9)</f>
        <v>6.4954000000000001</v>
      </c>
      <c r="L71" s="9">
        <f>3.8673 * CHOOSE(CONTROL!$C$32, $C$9, 100%, $E$9)</f>
        <v>3.8673000000000002</v>
      </c>
      <c r="M71" s="9">
        <f>3.8706 * CHOOSE(CONTROL!$C$32, $C$9, 100%, $E$9)</f>
        <v>3.8706</v>
      </c>
      <c r="N71" s="9">
        <f>3.8673 * CHOOSE(CONTROL!$C$32, $C$9, 100%, $E$9)</f>
        <v>3.8673000000000002</v>
      </c>
      <c r="O71" s="9">
        <f>3.8706 * CHOOSE(CONTROL!$C$32, $C$9, 100%, $E$9)</f>
        <v>3.8706</v>
      </c>
      <c r="P71" s="17"/>
      <c r="Q71" s="17"/>
      <c r="R71" s="17"/>
    </row>
    <row r="72" spans="1:18" ht="15" x14ac:dyDescent="0.2">
      <c r="A72" s="16">
        <v>43040</v>
      </c>
      <c r="B72" s="10">
        <f>2.6712 * CHOOSE(CONTROL!$C$32, $C$9, 100%, $E$9)</f>
        <v>2.6711999999999998</v>
      </c>
      <c r="C72" s="10">
        <f>2.6712 * CHOOSE(CONTROL!$C$32, $C$9, 100%, $E$9)</f>
        <v>2.6711999999999998</v>
      </c>
      <c r="D72" s="10">
        <f>2.6722 * CHOOSE(CONTROL!$C$32, $C$9, 100%, $E$9)</f>
        <v>2.6722000000000001</v>
      </c>
      <c r="E72" s="9">
        <f>3.8693 * CHOOSE(CONTROL!$C$32, $C$9, 100%, $E$9)</f>
        <v>3.8693</v>
      </c>
      <c r="F72" s="9">
        <f>3.8693 * CHOOSE(CONTROL!$C$32, $C$9, 100%, $E$9)</f>
        <v>3.8693</v>
      </c>
      <c r="G72" s="9">
        <f>3.8726 * CHOOSE(CONTROL!$C$32, $C$9, 100%, $E$9)</f>
        <v>3.8725999999999998</v>
      </c>
      <c r="H72" s="9">
        <f>6.5057 * CHOOSE(CONTROL!$C$32, $C$9, 100%, $E$9)</f>
        <v>6.5057</v>
      </c>
      <c r="I72" s="9">
        <f>6.5089 * CHOOSE(CONTROL!$C$32, $C$9, 100%, $E$9)</f>
        <v>6.5088999999999997</v>
      </c>
      <c r="J72" s="9">
        <f>6.5057 * CHOOSE(CONTROL!$C$32, $C$9, 100%, $E$9)</f>
        <v>6.5057</v>
      </c>
      <c r="K72" s="9">
        <f>6.5089 * CHOOSE(CONTROL!$C$32, $C$9, 100%, $E$9)</f>
        <v>6.5088999999999997</v>
      </c>
      <c r="L72" s="9">
        <f>3.8693 * CHOOSE(CONTROL!$C$32, $C$9, 100%, $E$9)</f>
        <v>3.8693</v>
      </c>
      <c r="M72" s="9">
        <f>3.8726 * CHOOSE(CONTROL!$C$32, $C$9, 100%, $E$9)</f>
        <v>3.8725999999999998</v>
      </c>
      <c r="N72" s="9">
        <f>3.8693 * CHOOSE(CONTROL!$C$32, $C$9, 100%, $E$9)</f>
        <v>3.8693</v>
      </c>
      <c r="O72" s="9">
        <f>3.8726 * CHOOSE(CONTROL!$C$32, $C$9, 100%, $E$9)</f>
        <v>3.8725999999999998</v>
      </c>
      <c r="P72" s="17"/>
      <c r="Q72" s="17"/>
      <c r="R72" s="17"/>
    </row>
    <row r="73" spans="1:18" ht="15" x14ac:dyDescent="0.2">
      <c r="A73" s="16">
        <v>43070</v>
      </c>
      <c r="B73" s="10">
        <f>2.6709 * CHOOSE(CONTROL!$C$32, $C$9, 100%, $E$9)</f>
        <v>2.6709000000000001</v>
      </c>
      <c r="C73" s="10">
        <f>2.6709 * CHOOSE(CONTROL!$C$32, $C$9, 100%, $E$9)</f>
        <v>2.6709000000000001</v>
      </c>
      <c r="D73" s="10">
        <f>2.6719 * CHOOSE(CONTROL!$C$32, $C$9, 100%, $E$9)</f>
        <v>2.6718999999999999</v>
      </c>
      <c r="E73" s="9">
        <f>3.8693 * CHOOSE(CONTROL!$C$32, $C$9, 100%, $E$9)</f>
        <v>3.8693</v>
      </c>
      <c r="F73" s="9">
        <f>3.8693 * CHOOSE(CONTROL!$C$32, $C$9, 100%, $E$9)</f>
        <v>3.8693</v>
      </c>
      <c r="G73" s="9">
        <f>3.8726 * CHOOSE(CONTROL!$C$32, $C$9, 100%, $E$9)</f>
        <v>3.8725999999999998</v>
      </c>
      <c r="H73" s="9">
        <f>6.5192 * CHOOSE(CONTROL!$C$32, $C$9, 100%, $E$9)</f>
        <v>6.5191999999999997</v>
      </c>
      <c r="I73" s="9">
        <f>6.5225 * CHOOSE(CONTROL!$C$32, $C$9, 100%, $E$9)</f>
        <v>6.5225</v>
      </c>
      <c r="J73" s="9">
        <f>6.5192 * CHOOSE(CONTROL!$C$32, $C$9, 100%, $E$9)</f>
        <v>6.5191999999999997</v>
      </c>
      <c r="K73" s="9">
        <f>6.5225 * CHOOSE(CONTROL!$C$32, $C$9, 100%, $E$9)</f>
        <v>6.5225</v>
      </c>
      <c r="L73" s="9">
        <f>3.8693 * CHOOSE(CONTROL!$C$32, $C$9, 100%, $E$9)</f>
        <v>3.8693</v>
      </c>
      <c r="M73" s="9">
        <f>3.8726 * CHOOSE(CONTROL!$C$32, $C$9, 100%, $E$9)</f>
        <v>3.8725999999999998</v>
      </c>
      <c r="N73" s="9">
        <f>3.8693 * CHOOSE(CONTROL!$C$32, $C$9, 100%, $E$9)</f>
        <v>3.8693</v>
      </c>
      <c r="O73" s="9">
        <f>3.8726 * CHOOSE(CONTROL!$C$32, $C$9, 100%, $E$9)</f>
        <v>3.8725999999999998</v>
      </c>
      <c r="P73" s="17"/>
      <c r="Q73" s="17"/>
      <c r="R73" s="17"/>
    </row>
    <row r="74" spans="1:18" ht="15" x14ac:dyDescent="0.2">
      <c r="A74" s="16">
        <v>43101</v>
      </c>
      <c r="B74" s="10">
        <f>2.6913 * CHOOSE(CONTROL!$C$32, $C$9, 100%, $E$9)</f>
        <v>2.6913</v>
      </c>
      <c r="C74" s="10">
        <f>2.6913 * CHOOSE(CONTROL!$C$32, $C$9, 100%, $E$9)</f>
        <v>2.6913</v>
      </c>
      <c r="D74" s="10">
        <f>2.6922 * CHOOSE(CONTROL!$C$32, $C$9, 100%, $E$9)</f>
        <v>2.6922000000000001</v>
      </c>
      <c r="E74" s="9">
        <f>3.8998 * CHOOSE(CONTROL!$C$32, $C$9, 100%, $E$9)</f>
        <v>3.8997999999999999</v>
      </c>
      <c r="F74" s="9">
        <f>3.8998 * CHOOSE(CONTROL!$C$32, $C$9, 100%, $E$9)</f>
        <v>3.8997999999999999</v>
      </c>
      <c r="G74" s="9">
        <f>3.9031 * CHOOSE(CONTROL!$C$32, $C$9, 100%, $E$9)</f>
        <v>3.9030999999999998</v>
      </c>
      <c r="H74" s="9">
        <f>6.5328 * CHOOSE(CONTROL!$C$32, $C$9, 100%, $E$9)</f>
        <v>6.5327999999999999</v>
      </c>
      <c r="I74" s="9">
        <f>6.5361 * CHOOSE(CONTROL!$C$32, $C$9, 100%, $E$9)</f>
        <v>6.5361000000000002</v>
      </c>
      <c r="J74" s="9">
        <f>6.5328 * CHOOSE(CONTROL!$C$32, $C$9, 100%, $E$9)</f>
        <v>6.5327999999999999</v>
      </c>
      <c r="K74" s="9">
        <f>6.5361 * CHOOSE(CONTROL!$C$32, $C$9, 100%, $E$9)</f>
        <v>6.5361000000000002</v>
      </c>
      <c r="L74" s="9">
        <f>3.8998 * CHOOSE(CONTROL!$C$32, $C$9, 100%, $E$9)</f>
        <v>3.8997999999999999</v>
      </c>
      <c r="M74" s="9">
        <f>3.9031 * CHOOSE(CONTROL!$C$32, $C$9, 100%, $E$9)</f>
        <v>3.9030999999999998</v>
      </c>
      <c r="N74" s="9">
        <f>3.8998 * CHOOSE(CONTROL!$C$32, $C$9, 100%, $E$9)</f>
        <v>3.8997999999999999</v>
      </c>
      <c r="O74" s="9">
        <f>3.9031 * CHOOSE(CONTROL!$C$32, $C$9, 100%, $E$9)</f>
        <v>3.9030999999999998</v>
      </c>
      <c r="P74" s="17"/>
      <c r="Q74" s="17"/>
      <c r="R74" s="17"/>
    </row>
    <row r="75" spans="1:18" ht="15" x14ac:dyDescent="0.2">
      <c r="A75" s="16">
        <v>43132</v>
      </c>
      <c r="B75" s="10">
        <f>2.6934 * CHOOSE(CONTROL!$C$32, $C$9, 100%, $E$9)</f>
        <v>2.6934</v>
      </c>
      <c r="C75" s="10">
        <f>2.6934 * CHOOSE(CONTROL!$C$32, $C$9, 100%, $E$9)</f>
        <v>2.6934</v>
      </c>
      <c r="D75" s="10">
        <f>2.6943 * CHOOSE(CONTROL!$C$32, $C$9, 100%, $E$9)</f>
        <v>2.6943000000000001</v>
      </c>
      <c r="E75" s="9">
        <f>3.8978 * CHOOSE(CONTROL!$C$32, $C$9, 100%, $E$9)</f>
        <v>3.8978000000000002</v>
      </c>
      <c r="F75" s="9">
        <f>3.8978 * CHOOSE(CONTROL!$C$32, $C$9, 100%, $E$9)</f>
        <v>3.8978000000000002</v>
      </c>
      <c r="G75" s="9">
        <f>3.9011 * CHOOSE(CONTROL!$C$32, $C$9, 100%, $E$9)</f>
        <v>3.9011</v>
      </c>
      <c r="H75" s="9">
        <f>6.5464 * CHOOSE(CONTROL!$C$32, $C$9, 100%, $E$9)</f>
        <v>6.5464000000000002</v>
      </c>
      <c r="I75" s="9">
        <f>6.5497 * CHOOSE(CONTROL!$C$32, $C$9, 100%, $E$9)</f>
        <v>6.5496999999999996</v>
      </c>
      <c r="J75" s="9">
        <f>6.5464 * CHOOSE(CONTROL!$C$32, $C$9, 100%, $E$9)</f>
        <v>6.5464000000000002</v>
      </c>
      <c r="K75" s="9">
        <f>6.5497 * CHOOSE(CONTROL!$C$32, $C$9, 100%, $E$9)</f>
        <v>6.5496999999999996</v>
      </c>
      <c r="L75" s="9">
        <f>3.8978 * CHOOSE(CONTROL!$C$32, $C$9, 100%, $E$9)</f>
        <v>3.8978000000000002</v>
      </c>
      <c r="M75" s="9">
        <f>3.9011 * CHOOSE(CONTROL!$C$32, $C$9, 100%, $E$9)</f>
        <v>3.9011</v>
      </c>
      <c r="N75" s="9">
        <f>3.8978 * CHOOSE(CONTROL!$C$32, $C$9, 100%, $E$9)</f>
        <v>3.8978000000000002</v>
      </c>
      <c r="O75" s="9">
        <f>3.9011 * CHOOSE(CONTROL!$C$32, $C$9, 100%, $E$9)</f>
        <v>3.9011</v>
      </c>
      <c r="P75" s="17"/>
      <c r="Q75" s="17"/>
      <c r="R75" s="17"/>
    </row>
    <row r="76" spans="1:18" ht="15" x14ac:dyDescent="0.2">
      <c r="A76" s="16">
        <v>43160</v>
      </c>
      <c r="B76" s="10">
        <f>2.6901 * CHOOSE(CONTROL!$C$32, $C$9, 100%, $E$9)</f>
        <v>2.6901000000000002</v>
      </c>
      <c r="C76" s="10">
        <f>2.6901 * CHOOSE(CONTROL!$C$32, $C$9, 100%, $E$9)</f>
        <v>2.6901000000000002</v>
      </c>
      <c r="D76" s="10">
        <f>2.6911 * CHOOSE(CONTROL!$C$32, $C$9, 100%, $E$9)</f>
        <v>2.6911</v>
      </c>
      <c r="E76" s="9">
        <f>3.8958 * CHOOSE(CONTROL!$C$32, $C$9, 100%, $E$9)</f>
        <v>3.8957999999999999</v>
      </c>
      <c r="F76" s="9">
        <f>3.8958 * CHOOSE(CONTROL!$C$32, $C$9, 100%, $E$9)</f>
        <v>3.8957999999999999</v>
      </c>
      <c r="G76" s="9">
        <f>3.8991 * CHOOSE(CONTROL!$C$32, $C$9, 100%, $E$9)</f>
        <v>3.8990999999999998</v>
      </c>
      <c r="H76" s="9">
        <f>6.5601 * CHOOSE(CONTROL!$C$32, $C$9, 100%, $E$9)</f>
        <v>6.5601000000000003</v>
      </c>
      <c r="I76" s="9">
        <f>6.5633 * CHOOSE(CONTROL!$C$32, $C$9, 100%, $E$9)</f>
        <v>6.5632999999999999</v>
      </c>
      <c r="J76" s="9">
        <f>6.5601 * CHOOSE(CONTROL!$C$32, $C$9, 100%, $E$9)</f>
        <v>6.5601000000000003</v>
      </c>
      <c r="K76" s="9">
        <f>6.5633 * CHOOSE(CONTROL!$C$32, $C$9, 100%, $E$9)</f>
        <v>6.5632999999999999</v>
      </c>
      <c r="L76" s="9">
        <f>3.8958 * CHOOSE(CONTROL!$C$32, $C$9, 100%, $E$9)</f>
        <v>3.8957999999999999</v>
      </c>
      <c r="M76" s="9">
        <f>3.8991 * CHOOSE(CONTROL!$C$32, $C$9, 100%, $E$9)</f>
        <v>3.8990999999999998</v>
      </c>
      <c r="N76" s="9">
        <f>3.8958 * CHOOSE(CONTROL!$C$32, $C$9, 100%, $E$9)</f>
        <v>3.8957999999999999</v>
      </c>
      <c r="O76" s="9">
        <f>3.8991 * CHOOSE(CONTROL!$C$32, $C$9, 100%, $E$9)</f>
        <v>3.8990999999999998</v>
      </c>
      <c r="P76" s="17"/>
      <c r="Q76" s="17"/>
      <c r="R76" s="17"/>
    </row>
    <row r="77" spans="1:18" ht="15" x14ac:dyDescent="0.2">
      <c r="A77" s="16">
        <v>43191</v>
      </c>
      <c r="B77" s="10">
        <f>2.684 * CHOOSE(CONTROL!$C$32, $C$9, 100%, $E$9)</f>
        <v>2.6840000000000002</v>
      </c>
      <c r="C77" s="10">
        <f>2.684 * CHOOSE(CONTROL!$C$32, $C$9, 100%, $E$9)</f>
        <v>2.6840000000000002</v>
      </c>
      <c r="D77" s="10">
        <f>2.685 * CHOOSE(CONTROL!$C$32, $C$9, 100%, $E$9)</f>
        <v>2.6850000000000001</v>
      </c>
      <c r="E77" s="9">
        <f>3.8933 * CHOOSE(CONTROL!$C$32, $C$9, 100%, $E$9)</f>
        <v>3.8933</v>
      </c>
      <c r="F77" s="9">
        <f>3.8933 * CHOOSE(CONTROL!$C$32, $C$9, 100%, $E$9)</f>
        <v>3.8933</v>
      </c>
      <c r="G77" s="9">
        <f>3.8966 * CHOOSE(CONTROL!$C$32, $C$9, 100%, $E$9)</f>
        <v>3.8965999999999998</v>
      </c>
      <c r="H77" s="9">
        <f>6.5737 * CHOOSE(CONTROL!$C$32, $C$9, 100%, $E$9)</f>
        <v>6.5736999999999997</v>
      </c>
      <c r="I77" s="9">
        <f>6.577 * CHOOSE(CONTROL!$C$32, $C$9, 100%, $E$9)</f>
        <v>6.577</v>
      </c>
      <c r="J77" s="9">
        <f>6.5737 * CHOOSE(CONTROL!$C$32, $C$9, 100%, $E$9)</f>
        <v>6.5736999999999997</v>
      </c>
      <c r="K77" s="9">
        <f>6.577 * CHOOSE(CONTROL!$C$32, $C$9, 100%, $E$9)</f>
        <v>6.577</v>
      </c>
      <c r="L77" s="9">
        <f>3.8933 * CHOOSE(CONTROL!$C$32, $C$9, 100%, $E$9)</f>
        <v>3.8933</v>
      </c>
      <c r="M77" s="9">
        <f>3.8966 * CHOOSE(CONTROL!$C$32, $C$9, 100%, $E$9)</f>
        <v>3.8965999999999998</v>
      </c>
      <c r="N77" s="9">
        <f>3.8933 * CHOOSE(CONTROL!$C$32, $C$9, 100%, $E$9)</f>
        <v>3.8933</v>
      </c>
      <c r="O77" s="9">
        <f>3.8966 * CHOOSE(CONTROL!$C$32, $C$9, 100%, $E$9)</f>
        <v>3.8965999999999998</v>
      </c>
      <c r="P77" s="17"/>
      <c r="Q77" s="17"/>
      <c r="R77" s="17"/>
    </row>
    <row r="78" spans="1:18" ht="15" x14ac:dyDescent="0.2">
      <c r="A78" s="16">
        <v>43221</v>
      </c>
      <c r="B78" s="10">
        <f>2.689 * CHOOSE(CONTROL!$C$32, $C$9, 100%, $E$9)</f>
        <v>2.6890000000000001</v>
      </c>
      <c r="C78" s="10">
        <f>2.689 * CHOOSE(CONTROL!$C$32, $C$9, 100%, $E$9)</f>
        <v>2.6890000000000001</v>
      </c>
      <c r="D78" s="10">
        <f>2.6903 * CHOOSE(CONTROL!$C$32, $C$9, 100%, $E$9)</f>
        <v>2.6903000000000001</v>
      </c>
      <c r="E78" s="9">
        <f>3.8933 * CHOOSE(CONTROL!$C$32, $C$9, 100%, $E$9)</f>
        <v>3.8933</v>
      </c>
      <c r="F78" s="9">
        <f>3.8933 * CHOOSE(CONTROL!$C$32, $C$9, 100%, $E$9)</f>
        <v>3.8933</v>
      </c>
      <c r="G78" s="9">
        <f>3.8975 * CHOOSE(CONTROL!$C$32, $C$9, 100%, $E$9)</f>
        <v>3.8975</v>
      </c>
      <c r="H78" s="9">
        <f>6.5874 * CHOOSE(CONTROL!$C$32, $C$9, 100%, $E$9)</f>
        <v>6.5873999999999997</v>
      </c>
      <c r="I78" s="9">
        <f>6.5916 * CHOOSE(CONTROL!$C$32, $C$9, 100%, $E$9)</f>
        <v>6.5915999999999997</v>
      </c>
      <c r="J78" s="9">
        <f>6.5874 * CHOOSE(CONTROL!$C$32, $C$9, 100%, $E$9)</f>
        <v>6.5873999999999997</v>
      </c>
      <c r="K78" s="9">
        <f>6.5916 * CHOOSE(CONTROL!$C$32, $C$9, 100%, $E$9)</f>
        <v>6.5915999999999997</v>
      </c>
      <c r="L78" s="9">
        <f>3.8933 * CHOOSE(CONTROL!$C$32, $C$9, 100%, $E$9)</f>
        <v>3.8933</v>
      </c>
      <c r="M78" s="9">
        <f>3.8975 * CHOOSE(CONTROL!$C$32, $C$9, 100%, $E$9)</f>
        <v>3.8975</v>
      </c>
      <c r="N78" s="9">
        <f>3.8933 * CHOOSE(CONTROL!$C$32, $C$9, 100%, $E$9)</f>
        <v>3.8933</v>
      </c>
      <c r="O78" s="9">
        <f>3.8975 * CHOOSE(CONTROL!$C$32, $C$9, 100%, $E$9)</f>
        <v>3.8975</v>
      </c>
      <c r="P78" s="17"/>
      <c r="Q78" s="17"/>
      <c r="R78" s="17"/>
    </row>
    <row r="79" spans="1:18" ht="15" x14ac:dyDescent="0.2">
      <c r="A79" s="16">
        <v>43252</v>
      </c>
      <c r="B79" s="10">
        <f>2.6949 * CHOOSE(CONTROL!$C$32, $C$9, 100%, $E$9)</f>
        <v>2.6949000000000001</v>
      </c>
      <c r="C79" s="10">
        <f>2.6949 * CHOOSE(CONTROL!$C$32, $C$9, 100%, $E$9)</f>
        <v>2.6949000000000001</v>
      </c>
      <c r="D79" s="10">
        <f>2.6961 * CHOOSE(CONTROL!$C$32, $C$9, 100%, $E$9)</f>
        <v>2.6960999999999999</v>
      </c>
      <c r="E79" s="9">
        <f>3.8973 * CHOOSE(CONTROL!$C$32, $C$9, 100%, $E$9)</f>
        <v>3.8973</v>
      </c>
      <c r="F79" s="9">
        <f>3.8973 * CHOOSE(CONTROL!$C$32, $C$9, 100%, $E$9)</f>
        <v>3.8973</v>
      </c>
      <c r="G79" s="9">
        <f>3.9015 * CHOOSE(CONTROL!$C$32, $C$9, 100%, $E$9)</f>
        <v>3.9015</v>
      </c>
      <c r="H79" s="9">
        <f>6.6012 * CHOOSE(CONTROL!$C$32, $C$9, 100%, $E$9)</f>
        <v>6.6012000000000004</v>
      </c>
      <c r="I79" s="9">
        <f>6.6054 * CHOOSE(CONTROL!$C$32, $C$9, 100%, $E$9)</f>
        <v>6.6054000000000004</v>
      </c>
      <c r="J79" s="9">
        <f>6.6012 * CHOOSE(CONTROL!$C$32, $C$9, 100%, $E$9)</f>
        <v>6.6012000000000004</v>
      </c>
      <c r="K79" s="9">
        <f>6.6054 * CHOOSE(CONTROL!$C$32, $C$9, 100%, $E$9)</f>
        <v>6.6054000000000004</v>
      </c>
      <c r="L79" s="9">
        <f>3.8973 * CHOOSE(CONTROL!$C$32, $C$9, 100%, $E$9)</f>
        <v>3.8973</v>
      </c>
      <c r="M79" s="9">
        <f>3.9015 * CHOOSE(CONTROL!$C$32, $C$9, 100%, $E$9)</f>
        <v>3.9015</v>
      </c>
      <c r="N79" s="9">
        <f>3.8973 * CHOOSE(CONTROL!$C$32, $C$9, 100%, $E$9)</f>
        <v>3.8973</v>
      </c>
      <c r="O79" s="9">
        <f>3.9015 * CHOOSE(CONTROL!$C$32, $C$9, 100%, $E$9)</f>
        <v>3.9015</v>
      </c>
      <c r="P79" s="17"/>
      <c r="Q79" s="17"/>
      <c r="R79" s="17"/>
    </row>
    <row r="80" spans="1:18" ht="15" x14ac:dyDescent="0.2">
      <c r="A80" s="16">
        <v>43282</v>
      </c>
      <c r="B80" s="10">
        <f>2.7088 * CHOOSE(CONTROL!$C$32, $C$9, 100%, $E$9)</f>
        <v>2.7088000000000001</v>
      </c>
      <c r="C80" s="10">
        <f>2.7088 * CHOOSE(CONTROL!$C$32, $C$9, 100%, $E$9)</f>
        <v>2.7088000000000001</v>
      </c>
      <c r="D80" s="10">
        <f>2.7101 * CHOOSE(CONTROL!$C$32, $C$9, 100%, $E$9)</f>
        <v>2.7101000000000002</v>
      </c>
      <c r="E80" s="9">
        <f>3.9634 * CHOOSE(CONTROL!$C$32, $C$9, 100%, $E$9)</f>
        <v>3.9634</v>
      </c>
      <c r="F80" s="9">
        <f>3.9634 * CHOOSE(CONTROL!$C$32, $C$9, 100%, $E$9)</f>
        <v>3.9634</v>
      </c>
      <c r="G80" s="9">
        <f>3.9676 * CHOOSE(CONTROL!$C$32, $C$9, 100%, $E$9)</f>
        <v>3.9676</v>
      </c>
      <c r="H80" s="9">
        <f>6.6149 * CHOOSE(CONTROL!$C$32, $C$9, 100%, $E$9)</f>
        <v>6.6148999999999996</v>
      </c>
      <c r="I80" s="9">
        <f>6.6191 * CHOOSE(CONTROL!$C$32, $C$9, 100%, $E$9)</f>
        <v>6.6191000000000004</v>
      </c>
      <c r="J80" s="9">
        <f>6.6149 * CHOOSE(CONTROL!$C$32, $C$9, 100%, $E$9)</f>
        <v>6.6148999999999996</v>
      </c>
      <c r="K80" s="9">
        <f>6.6191 * CHOOSE(CONTROL!$C$32, $C$9, 100%, $E$9)</f>
        <v>6.6191000000000004</v>
      </c>
      <c r="L80" s="9">
        <f>3.9634 * CHOOSE(CONTROL!$C$32, $C$9, 100%, $E$9)</f>
        <v>3.9634</v>
      </c>
      <c r="M80" s="9">
        <f>3.9676 * CHOOSE(CONTROL!$C$32, $C$9, 100%, $E$9)</f>
        <v>3.9676</v>
      </c>
      <c r="N80" s="9">
        <f>3.9634 * CHOOSE(CONTROL!$C$32, $C$9, 100%, $E$9)</f>
        <v>3.9634</v>
      </c>
      <c r="O80" s="9">
        <f>3.9676 * CHOOSE(CONTROL!$C$32, $C$9, 100%, $E$9)</f>
        <v>3.9676</v>
      </c>
      <c r="P80" s="17"/>
      <c r="Q80" s="17"/>
      <c r="R80" s="17"/>
    </row>
    <row r="81" spans="1:18" ht="15" x14ac:dyDescent="0.2">
      <c r="A81" s="16">
        <v>43313</v>
      </c>
      <c r="B81" s="10">
        <f>2.7205 * CHOOSE(CONTROL!$C$32, $C$9, 100%, $E$9)</f>
        <v>2.7204999999999999</v>
      </c>
      <c r="C81" s="10">
        <f>2.7205 * CHOOSE(CONTROL!$C$32, $C$9, 100%, $E$9)</f>
        <v>2.7204999999999999</v>
      </c>
      <c r="D81" s="10">
        <f>2.7218 * CHOOSE(CONTROL!$C$32, $C$9, 100%, $E$9)</f>
        <v>2.7218</v>
      </c>
      <c r="E81" s="9">
        <f>3.9678 * CHOOSE(CONTROL!$C$32, $C$9, 100%, $E$9)</f>
        <v>3.9678</v>
      </c>
      <c r="F81" s="9">
        <f>3.9678 * CHOOSE(CONTROL!$C$32, $C$9, 100%, $E$9)</f>
        <v>3.9678</v>
      </c>
      <c r="G81" s="9">
        <f>3.972 * CHOOSE(CONTROL!$C$32, $C$9, 100%, $E$9)</f>
        <v>3.972</v>
      </c>
      <c r="H81" s="9">
        <f>6.6287 * CHOOSE(CONTROL!$C$32, $C$9, 100%, $E$9)</f>
        <v>6.6287000000000003</v>
      </c>
      <c r="I81" s="9">
        <f>6.6329 * CHOOSE(CONTROL!$C$32, $C$9, 100%, $E$9)</f>
        <v>6.6329000000000002</v>
      </c>
      <c r="J81" s="9">
        <f>6.6287 * CHOOSE(CONTROL!$C$32, $C$9, 100%, $E$9)</f>
        <v>6.6287000000000003</v>
      </c>
      <c r="K81" s="9">
        <f>6.6329 * CHOOSE(CONTROL!$C$32, $C$9, 100%, $E$9)</f>
        <v>6.6329000000000002</v>
      </c>
      <c r="L81" s="9">
        <f>3.9678 * CHOOSE(CONTROL!$C$32, $C$9, 100%, $E$9)</f>
        <v>3.9678</v>
      </c>
      <c r="M81" s="9">
        <f>3.972 * CHOOSE(CONTROL!$C$32, $C$9, 100%, $E$9)</f>
        <v>3.972</v>
      </c>
      <c r="N81" s="9">
        <f>3.9678 * CHOOSE(CONTROL!$C$32, $C$9, 100%, $E$9)</f>
        <v>3.9678</v>
      </c>
      <c r="O81" s="9">
        <f>3.972 * CHOOSE(CONTROL!$C$32, $C$9, 100%, $E$9)</f>
        <v>3.972</v>
      </c>
      <c r="P81" s="17"/>
      <c r="Q81" s="17"/>
      <c r="R81" s="17"/>
    </row>
    <row r="82" spans="1:18" ht="15" x14ac:dyDescent="0.2">
      <c r="A82" s="16">
        <v>43344</v>
      </c>
      <c r="B82" s="10">
        <f>2.7172 * CHOOSE(CONTROL!$C$32, $C$9, 100%, $E$9)</f>
        <v>2.7172000000000001</v>
      </c>
      <c r="C82" s="10">
        <f>2.7172 * CHOOSE(CONTROL!$C$32, $C$9, 100%, $E$9)</f>
        <v>2.7172000000000001</v>
      </c>
      <c r="D82" s="10">
        <f>2.7185 * CHOOSE(CONTROL!$C$32, $C$9, 100%, $E$9)</f>
        <v>2.7185000000000001</v>
      </c>
      <c r="E82" s="9">
        <f>3.9658 * CHOOSE(CONTROL!$C$32, $C$9, 100%, $E$9)</f>
        <v>3.9658000000000002</v>
      </c>
      <c r="F82" s="9">
        <f>3.9658 * CHOOSE(CONTROL!$C$32, $C$9, 100%, $E$9)</f>
        <v>3.9658000000000002</v>
      </c>
      <c r="G82" s="9">
        <f>3.97 * CHOOSE(CONTROL!$C$32, $C$9, 100%, $E$9)</f>
        <v>3.97</v>
      </c>
      <c r="H82" s="9">
        <f>6.6425 * CHOOSE(CONTROL!$C$32, $C$9, 100%, $E$9)</f>
        <v>6.6425000000000001</v>
      </c>
      <c r="I82" s="9">
        <f>6.6467 * CHOOSE(CONTROL!$C$32, $C$9, 100%, $E$9)</f>
        <v>6.6467000000000001</v>
      </c>
      <c r="J82" s="9">
        <f>6.6425 * CHOOSE(CONTROL!$C$32, $C$9, 100%, $E$9)</f>
        <v>6.6425000000000001</v>
      </c>
      <c r="K82" s="9">
        <f>6.6467 * CHOOSE(CONTROL!$C$32, $C$9, 100%, $E$9)</f>
        <v>6.6467000000000001</v>
      </c>
      <c r="L82" s="9">
        <f>3.9658 * CHOOSE(CONTROL!$C$32, $C$9, 100%, $E$9)</f>
        <v>3.9658000000000002</v>
      </c>
      <c r="M82" s="9">
        <f>3.97 * CHOOSE(CONTROL!$C$32, $C$9, 100%, $E$9)</f>
        <v>3.97</v>
      </c>
      <c r="N82" s="9">
        <f>3.9658 * CHOOSE(CONTROL!$C$32, $C$9, 100%, $E$9)</f>
        <v>3.9658000000000002</v>
      </c>
      <c r="O82" s="9">
        <f>3.97 * CHOOSE(CONTROL!$C$32, $C$9, 100%, $E$9)</f>
        <v>3.97</v>
      </c>
      <c r="P82" s="17"/>
      <c r="Q82" s="17"/>
      <c r="R82" s="17"/>
    </row>
    <row r="83" spans="1:18" ht="15" x14ac:dyDescent="0.2">
      <c r="A83" s="16">
        <v>43374</v>
      </c>
      <c r="B83" s="10">
        <f>2.698 * CHOOSE(CONTROL!$C$32, $C$9, 100%, $E$9)</f>
        <v>2.698</v>
      </c>
      <c r="C83" s="10">
        <f>2.698 * CHOOSE(CONTROL!$C$32, $C$9, 100%, $E$9)</f>
        <v>2.698</v>
      </c>
      <c r="D83" s="10">
        <f>2.6989 * CHOOSE(CONTROL!$C$32, $C$9, 100%, $E$9)</f>
        <v>2.6989000000000001</v>
      </c>
      <c r="E83" s="9">
        <f>3.959 * CHOOSE(CONTROL!$C$32, $C$9, 100%, $E$9)</f>
        <v>3.9590000000000001</v>
      </c>
      <c r="F83" s="9">
        <f>3.959 * CHOOSE(CONTROL!$C$32, $C$9, 100%, $E$9)</f>
        <v>3.9590000000000001</v>
      </c>
      <c r="G83" s="9">
        <f>3.9622 * CHOOSE(CONTROL!$C$32, $C$9, 100%, $E$9)</f>
        <v>3.9622000000000002</v>
      </c>
      <c r="H83" s="9">
        <f>6.6563 * CHOOSE(CONTROL!$C$32, $C$9, 100%, $E$9)</f>
        <v>6.6562999999999999</v>
      </c>
      <c r="I83" s="9">
        <f>6.6596 * CHOOSE(CONTROL!$C$32, $C$9, 100%, $E$9)</f>
        <v>6.6596000000000002</v>
      </c>
      <c r="J83" s="9">
        <f>6.6563 * CHOOSE(CONTROL!$C$32, $C$9, 100%, $E$9)</f>
        <v>6.6562999999999999</v>
      </c>
      <c r="K83" s="9">
        <f>6.6596 * CHOOSE(CONTROL!$C$32, $C$9, 100%, $E$9)</f>
        <v>6.6596000000000002</v>
      </c>
      <c r="L83" s="9">
        <f>3.959 * CHOOSE(CONTROL!$C$32, $C$9, 100%, $E$9)</f>
        <v>3.9590000000000001</v>
      </c>
      <c r="M83" s="9">
        <f>3.9622 * CHOOSE(CONTROL!$C$32, $C$9, 100%, $E$9)</f>
        <v>3.9622000000000002</v>
      </c>
      <c r="N83" s="9">
        <f>3.959 * CHOOSE(CONTROL!$C$32, $C$9, 100%, $E$9)</f>
        <v>3.9590000000000001</v>
      </c>
      <c r="O83" s="9">
        <f>3.9622 * CHOOSE(CONTROL!$C$32, $C$9, 100%, $E$9)</f>
        <v>3.9622000000000002</v>
      </c>
      <c r="P83" s="17"/>
      <c r="Q83" s="17"/>
      <c r="R83" s="17"/>
    </row>
    <row r="84" spans="1:18" ht="15" x14ac:dyDescent="0.2">
      <c r="A84" s="16">
        <v>43405</v>
      </c>
      <c r="B84" s="10">
        <f>2.7061 * CHOOSE(CONTROL!$C$32, $C$9, 100%, $E$9)</f>
        <v>2.7061000000000002</v>
      </c>
      <c r="C84" s="10">
        <f>2.7061 * CHOOSE(CONTROL!$C$32, $C$9, 100%, $E$9)</f>
        <v>2.7061000000000002</v>
      </c>
      <c r="D84" s="10">
        <f>2.707 * CHOOSE(CONTROL!$C$32, $C$9, 100%, $E$9)</f>
        <v>2.7069999999999999</v>
      </c>
      <c r="E84" s="9">
        <f>3.961 * CHOOSE(CONTROL!$C$32, $C$9, 100%, $E$9)</f>
        <v>3.9609999999999999</v>
      </c>
      <c r="F84" s="9">
        <f>3.961 * CHOOSE(CONTROL!$C$32, $C$9, 100%, $E$9)</f>
        <v>3.9609999999999999</v>
      </c>
      <c r="G84" s="9">
        <f>3.9642 * CHOOSE(CONTROL!$C$32, $C$9, 100%, $E$9)</f>
        <v>3.9641999999999999</v>
      </c>
      <c r="H84" s="9">
        <f>6.6702 * CHOOSE(CONTROL!$C$32, $C$9, 100%, $E$9)</f>
        <v>6.6702000000000004</v>
      </c>
      <c r="I84" s="9">
        <f>6.6734 * CHOOSE(CONTROL!$C$32, $C$9, 100%, $E$9)</f>
        <v>6.6734</v>
      </c>
      <c r="J84" s="9">
        <f>6.6702 * CHOOSE(CONTROL!$C$32, $C$9, 100%, $E$9)</f>
        <v>6.6702000000000004</v>
      </c>
      <c r="K84" s="9">
        <f>6.6734 * CHOOSE(CONTROL!$C$32, $C$9, 100%, $E$9)</f>
        <v>6.6734</v>
      </c>
      <c r="L84" s="9">
        <f>3.961 * CHOOSE(CONTROL!$C$32, $C$9, 100%, $E$9)</f>
        <v>3.9609999999999999</v>
      </c>
      <c r="M84" s="9">
        <f>3.9642 * CHOOSE(CONTROL!$C$32, $C$9, 100%, $E$9)</f>
        <v>3.9641999999999999</v>
      </c>
      <c r="N84" s="9">
        <f>3.961 * CHOOSE(CONTROL!$C$32, $C$9, 100%, $E$9)</f>
        <v>3.9609999999999999</v>
      </c>
      <c r="O84" s="9">
        <f>3.9642 * CHOOSE(CONTROL!$C$32, $C$9, 100%, $E$9)</f>
        <v>3.9641999999999999</v>
      </c>
      <c r="P84" s="17"/>
      <c r="Q84" s="17"/>
      <c r="R84" s="17"/>
    </row>
    <row r="85" spans="1:18" ht="15" x14ac:dyDescent="0.2">
      <c r="A85" s="16">
        <v>43435</v>
      </c>
      <c r="B85" s="10">
        <f>2.7058 * CHOOSE(CONTROL!$C$32, $C$9, 100%, $E$9)</f>
        <v>2.7058</v>
      </c>
      <c r="C85" s="10">
        <f>2.7058 * CHOOSE(CONTROL!$C$32, $C$9, 100%, $E$9)</f>
        <v>2.7058</v>
      </c>
      <c r="D85" s="10">
        <f>2.7067 * CHOOSE(CONTROL!$C$32, $C$9, 100%, $E$9)</f>
        <v>2.7067000000000001</v>
      </c>
      <c r="E85" s="9">
        <f>3.961 * CHOOSE(CONTROL!$C$32, $C$9, 100%, $E$9)</f>
        <v>3.9609999999999999</v>
      </c>
      <c r="F85" s="9">
        <f>3.961 * CHOOSE(CONTROL!$C$32, $C$9, 100%, $E$9)</f>
        <v>3.9609999999999999</v>
      </c>
      <c r="G85" s="9">
        <f>3.9642 * CHOOSE(CONTROL!$C$32, $C$9, 100%, $E$9)</f>
        <v>3.9641999999999999</v>
      </c>
      <c r="H85" s="9">
        <f>6.6841 * CHOOSE(CONTROL!$C$32, $C$9, 100%, $E$9)</f>
        <v>6.6840999999999999</v>
      </c>
      <c r="I85" s="9">
        <f>6.6873 * CHOOSE(CONTROL!$C$32, $C$9, 100%, $E$9)</f>
        <v>6.6872999999999996</v>
      </c>
      <c r="J85" s="9">
        <f>6.6841 * CHOOSE(CONTROL!$C$32, $C$9, 100%, $E$9)</f>
        <v>6.6840999999999999</v>
      </c>
      <c r="K85" s="9">
        <f>6.6873 * CHOOSE(CONTROL!$C$32, $C$9, 100%, $E$9)</f>
        <v>6.6872999999999996</v>
      </c>
      <c r="L85" s="9">
        <f>3.961 * CHOOSE(CONTROL!$C$32, $C$9, 100%, $E$9)</f>
        <v>3.9609999999999999</v>
      </c>
      <c r="M85" s="9">
        <f>3.9642 * CHOOSE(CONTROL!$C$32, $C$9, 100%, $E$9)</f>
        <v>3.9641999999999999</v>
      </c>
      <c r="N85" s="9">
        <f>3.961 * CHOOSE(CONTROL!$C$32, $C$9, 100%, $E$9)</f>
        <v>3.9609999999999999</v>
      </c>
      <c r="O85" s="9">
        <f>3.9642 * CHOOSE(CONTROL!$C$32, $C$9, 100%, $E$9)</f>
        <v>3.9641999999999999</v>
      </c>
      <c r="P85" s="17"/>
      <c r="Q85" s="17"/>
      <c r="R85" s="17"/>
    </row>
    <row r="86" spans="1:18" ht="15" x14ac:dyDescent="0.2">
      <c r="A86" s="16">
        <v>43466</v>
      </c>
      <c r="B86" s="10">
        <f>3.5916 * CHOOSE(CONTROL!$C$32, $C$9, 100%, $E$9)</f>
        <v>3.5916000000000001</v>
      </c>
      <c r="C86" s="10">
        <f>3.5916 * CHOOSE(CONTROL!$C$32, $C$9, 100%, $E$9)</f>
        <v>3.5916000000000001</v>
      </c>
      <c r="D86" s="10">
        <f>3.5926 * CHOOSE(CONTROL!$C$32, $C$9, 100%, $E$9)</f>
        <v>3.5926</v>
      </c>
      <c r="E86" s="9">
        <f>4.003 * CHOOSE(CONTROL!$C$32, $C$9, 100%, $E$9)</f>
        <v>4.0030000000000001</v>
      </c>
      <c r="F86" s="9">
        <f>4.003 * CHOOSE(CONTROL!$C$32, $C$9, 100%, $E$9)</f>
        <v>4.0030000000000001</v>
      </c>
      <c r="G86" s="9">
        <f>4.0062 * CHOOSE(CONTROL!$C$32, $C$9, 100%, $E$9)</f>
        <v>4.0061999999999998</v>
      </c>
      <c r="H86" s="9">
        <f>6.698 * CHOOSE(CONTROL!$C$32, $C$9, 100%, $E$9)</f>
        <v>6.6980000000000004</v>
      </c>
      <c r="I86" s="9">
        <f>6.7013 * CHOOSE(CONTROL!$C$32, $C$9, 100%, $E$9)</f>
        <v>6.7012999999999998</v>
      </c>
      <c r="J86" s="9">
        <f>6.698 * CHOOSE(CONTROL!$C$32, $C$9, 100%, $E$9)</f>
        <v>6.6980000000000004</v>
      </c>
      <c r="K86" s="9">
        <f>6.7013 * CHOOSE(CONTROL!$C$32, $C$9, 100%, $E$9)</f>
        <v>6.7012999999999998</v>
      </c>
      <c r="L86" s="9">
        <f>4.003 * CHOOSE(CONTROL!$C$32, $C$9, 100%, $E$9)</f>
        <v>4.0030000000000001</v>
      </c>
      <c r="M86" s="9">
        <f>4.0062 * CHOOSE(CONTROL!$C$32, $C$9, 100%, $E$9)</f>
        <v>4.0061999999999998</v>
      </c>
      <c r="N86" s="9">
        <f>4.003 * CHOOSE(CONTROL!$C$32, $C$9, 100%, $E$9)</f>
        <v>4.0030000000000001</v>
      </c>
      <c r="O86" s="9">
        <f>4.0062 * CHOOSE(CONTROL!$C$32, $C$9, 100%, $E$9)</f>
        <v>4.0061999999999998</v>
      </c>
      <c r="P86" s="17"/>
      <c r="Q86" s="17"/>
      <c r="R86" s="17"/>
    </row>
    <row r="87" spans="1:18" ht="15" x14ac:dyDescent="0.2">
      <c r="A87" s="16">
        <v>43497</v>
      </c>
      <c r="B87" s="10">
        <f>3.5886 * CHOOSE(CONTROL!$C$32, $C$9, 100%, $E$9)</f>
        <v>3.5886</v>
      </c>
      <c r="C87" s="10">
        <f>3.5886 * CHOOSE(CONTROL!$C$32, $C$9, 100%, $E$9)</f>
        <v>3.5886</v>
      </c>
      <c r="D87" s="10">
        <f>3.5895 * CHOOSE(CONTROL!$C$32, $C$9, 100%, $E$9)</f>
        <v>3.5895000000000001</v>
      </c>
      <c r="E87" s="9">
        <f>4.2325 * CHOOSE(CONTROL!$C$32, $C$9, 100%, $E$9)</f>
        <v>4.2324999999999999</v>
      </c>
      <c r="F87" s="9">
        <f>4.2325 * CHOOSE(CONTROL!$C$32, $C$9, 100%, $E$9)</f>
        <v>4.2324999999999999</v>
      </c>
      <c r="G87" s="9">
        <f>4.2357 * CHOOSE(CONTROL!$C$32, $C$9, 100%, $E$9)</f>
        <v>4.2356999999999996</v>
      </c>
      <c r="H87" s="9">
        <f>6.712 * CHOOSE(CONTROL!$C$32, $C$9, 100%, $E$9)</f>
        <v>6.7119999999999997</v>
      </c>
      <c r="I87" s="9">
        <f>6.7152 * CHOOSE(CONTROL!$C$32, $C$9, 100%, $E$9)</f>
        <v>6.7152000000000003</v>
      </c>
      <c r="J87" s="9">
        <f>6.712 * CHOOSE(CONTROL!$C$32, $C$9, 100%, $E$9)</f>
        <v>6.7119999999999997</v>
      </c>
      <c r="K87" s="9">
        <f>6.7152 * CHOOSE(CONTROL!$C$32, $C$9, 100%, $E$9)</f>
        <v>6.7152000000000003</v>
      </c>
      <c r="L87" s="9">
        <f>4.2325 * CHOOSE(CONTROL!$C$32, $C$9, 100%, $E$9)</f>
        <v>4.2324999999999999</v>
      </c>
      <c r="M87" s="9">
        <f>4.2357 * CHOOSE(CONTROL!$C$32, $C$9, 100%, $E$9)</f>
        <v>4.2356999999999996</v>
      </c>
      <c r="N87" s="9">
        <f>4.2325 * CHOOSE(CONTROL!$C$32, $C$9, 100%, $E$9)</f>
        <v>4.2324999999999999</v>
      </c>
      <c r="O87" s="9">
        <f>4.2357 * CHOOSE(CONTROL!$C$32, $C$9, 100%, $E$9)</f>
        <v>4.2356999999999996</v>
      </c>
      <c r="P87" s="17"/>
      <c r="Q87" s="17"/>
      <c r="R87" s="17"/>
    </row>
    <row r="88" spans="1:18" ht="15" x14ac:dyDescent="0.2">
      <c r="A88" s="16">
        <v>43525</v>
      </c>
      <c r="B88" s="10">
        <f>3.5855 * CHOOSE(CONTROL!$C$32, $C$9, 100%, $E$9)</f>
        <v>3.5855000000000001</v>
      </c>
      <c r="C88" s="10">
        <f>3.5855 * CHOOSE(CONTROL!$C$32, $C$9, 100%, $E$9)</f>
        <v>3.5855000000000001</v>
      </c>
      <c r="D88" s="10">
        <f>3.5865 * CHOOSE(CONTROL!$C$32, $C$9, 100%, $E$9)</f>
        <v>3.5865</v>
      </c>
      <c r="E88" s="9">
        <f>3.999 * CHOOSE(CONTROL!$C$32, $C$9, 100%, $E$9)</f>
        <v>3.9990000000000001</v>
      </c>
      <c r="F88" s="9">
        <f>3.999 * CHOOSE(CONTROL!$C$32, $C$9, 100%, $E$9)</f>
        <v>3.9990000000000001</v>
      </c>
      <c r="G88" s="9">
        <f>4.0022 * CHOOSE(CONTROL!$C$32, $C$9, 100%, $E$9)</f>
        <v>4.0022000000000002</v>
      </c>
      <c r="H88" s="9">
        <f>6.726 * CHOOSE(CONTROL!$C$32, $C$9, 100%, $E$9)</f>
        <v>6.726</v>
      </c>
      <c r="I88" s="9">
        <f>6.7292 * CHOOSE(CONTROL!$C$32, $C$9, 100%, $E$9)</f>
        <v>6.7291999999999996</v>
      </c>
      <c r="J88" s="9">
        <f>6.726 * CHOOSE(CONTROL!$C$32, $C$9, 100%, $E$9)</f>
        <v>6.726</v>
      </c>
      <c r="K88" s="9">
        <f>6.7292 * CHOOSE(CONTROL!$C$32, $C$9, 100%, $E$9)</f>
        <v>6.7291999999999996</v>
      </c>
      <c r="L88" s="9">
        <f>3.999 * CHOOSE(CONTROL!$C$32, $C$9, 100%, $E$9)</f>
        <v>3.9990000000000001</v>
      </c>
      <c r="M88" s="9">
        <f>4.0022 * CHOOSE(CONTROL!$C$32, $C$9, 100%, $E$9)</f>
        <v>4.0022000000000002</v>
      </c>
      <c r="N88" s="9">
        <f>3.999 * CHOOSE(CONTROL!$C$32, $C$9, 100%, $E$9)</f>
        <v>3.9990000000000001</v>
      </c>
      <c r="O88" s="9">
        <f>4.0022 * CHOOSE(CONTROL!$C$32, $C$9, 100%, $E$9)</f>
        <v>4.0022000000000002</v>
      </c>
      <c r="P88" s="17"/>
      <c r="Q88" s="17"/>
      <c r="R88" s="17"/>
    </row>
    <row r="89" spans="1:18" ht="15" x14ac:dyDescent="0.2">
      <c r="A89" s="16">
        <v>43556</v>
      </c>
      <c r="B89" s="10">
        <f>3.5829 * CHOOSE(CONTROL!$C$32, $C$9, 100%, $E$9)</f>
        <v>3.5829</v>
      </c>
      <c r="C89" s="10">
        <f>3.5829 * CHOOSE(CONTROL!$C$32, $C$9, 100%, $E$9)</f>
        <v>3.5829</v>
      </c>
      <c r="D89" s="10">
        <f>3.5839 * CHOOSE(CONTROL!$C$32, $C$9, 100%, $E$9)</f>
        <v>3.5838999999999999</v>
      </c>
      <c r="E89" s="9">
        <f>3.9966 * CHOOSE(CONTROL!$C$32, $C$9, 100%, $E$9)</f>
        <v>3.9965999999999999</v>
      </c>
      <c r="F89" s="9">
        <f>3.9966 * CHOOSE(CONTROL!$C$32, $C$9, 100%, $E$9)</f>
        <v>3.9965999999999999</v>
      </c>
      <c r="G89" s="9">
        <f>3.9998 * CHOOSE(CONTROL!$C$32, $C$9, 100%, $E$9)</f>
        <v>3.9998</v>
      </c>
      <c r="H89" s="9">
        <f>6.74 * CHOOSE(CONTROL!$C$32, $C$9, 100%, $E$9)</f>
        <v>6.74</v>
      </c>
      <c r="I89" s="9">
        <f>6.7432 * CHOOSE(CONTROL!$C$32, $C$9, 100%, $E$9)</f>
        <v>6.7431999999999999</v>
      </c>
      <c r="J89" s="9">
        <f>6.74 * CHOOSE(CONTROL!$C$32, $C$9, 100%, $E$9)</f>
        <v>6.74</v>
      </c>
      <c r="K89" s="9">
        <f>6.7432 * CHOOSE(CONTROL!$C$32, $C$9, 100%, $E$9)</f>
        <v>6.7431999999999999</v>
      </c>
      <c r="L89" s="9">
        <f>3.9966 * CHOOSE(CONTROL!$C$32, $C$9, 100%, $E$9)</f>
        <v>3.9965999999999999</v>
      </c>
      <c r="M89" s="9">
        <f>3.9998 * CHOOSE(CONTROL!$C$32, $C$9, 100%, $E$9)</f>
        <v>3.9998</v>
      </c>
      <c r="N89" s="9">
        <f>3.9966 * CHOOSE(CONTROL!$C$32, $C$9, 100%, $E$9)</f>
        <v>3.9965999999999999</v>
      </c>
      <c r="O89" s="9">
        <f>3.9998 * CHOOSE(CONTROL!$C$32, $C$9, 100%, $E$9)</f>
        <v>3.9998</v>
      </c>
      <c r="P89" s="17"/>
      <c r="Q89" s="17"/>
      <c r="R89" s="17"/>
    </row>
    <row r="90" spans="1:18" ht="15" x14ac:dyDescent="0.2">
      <c r="A90" s="16">
        <v>43586</v>
      </c>
      <c r="B90" s="10">
        <f>3.5829 * CHOOSE(CONTROL!$C$32, $C$9, 100%, $E$9)</f>
        <v>3.5829</v>
      </c>
      <c r="C90" s="10">
        <f>3.5829 * CHOOSE(CONTROL!$C$32, $C$9, 100%, $E$9)</f>
        <v>3.5829</v>
      </c>
      <c r="D90" s="10">
        <f>3.5841 * CHOOSE(CONTROL!$C$32, $C$9, 100%, $E$9)</f>
        <v>3.5840999999999998</v>
      </c>
      <c r="E90" s="9">
        <f>3.9966 * CHOOSE(CONTROL!$C$32, $C$9, 100%, $E$9)</f>
        <v>3.9965999999999999</v>
      </c>
      <c r="F90" s="9">
        <f>3.9966 * CHOOSE(CONTROL!$C$32, $C$9, 100%, $E$9)</f>
        <v>3.9965999999999999</v>
      </c>
      <c r="G90" s="9">
        <f>4.0008 * CHOOSE(CONTROL!$C$32, $C$9, 100%, $E$9)</f>
        <v>4.0007999999999999</v>
      </c>
      <c r="H90" s="9">
        <f>6.754 * CHOOSE(CONTROL!$C$32, $C$9, 100%, $E$9)</f>
        <v>6.7539999999999996</v>
      </c>
      <c r="I90" s="9">
        <f>6.7582 * CHOOSE(CONTROL!$C$32, $C$9, 100%, $E$9)</f>
        <v>6.7582000000000004</v>
      </c>
      <c r="J90" s="9">
        <f>6.754 * CHOOSE(CONTROL!$C$32, $C$9, 100%, $E$9)</f>
        <v>6.7539999999999996</v>
      </c>
      <c r="K90" s="9">
        <f>6.7582 * CHOOSE(CONTROL!$C$32, $C$9, 100%, $E$9)</f>
        <v>6.7582000000000004</v>
      </c>
      <c r="L90" s="9">
        <f>3.9966 * CHOOSE(CONTROL!$C$32, $C$9, 100%, $E$9)</f>
        <v>3.9965999999999999</v>
      </c>
      <c r="M90" s="9">
        <f>4.0008 * CHOOSE(CONTROL!$C$32, $C$9, 100%, $E$9)</f>
        <v>4.0007999999999999</v>
      </c>
      <c r="N90" s="9">
        <f>3.9966 * CHOOSE(CONTROL!$C$32, $C$9, 100%, $E$9)</f>
        <v>3.9965999999999999</v>
      </c>
      <c r="O90" s="9">
        <f>4.0008 * CHOOSE(CONTROL!$C$32, $C$9, 100%, $E$9)</f>
        <v>4.0007999999999999</v>
      </c>
      <c r="P90" s="17"/>
      <c r="Q90" s="17"/>
      <c r="R90" s="17"/>
    </row>
    <row r="91" spans="1:18" ht="15" x14ac:dyDescent="0.2">
      <c r="A91" s="16">
        <v>43617</v>
      </c>
      <c r="B91" s="10">
        <f>3.589 * CHOOSE(CONTROL!$C$32, $C$9, 100%, $E$9)</f>
        <v>3.589</v>
      </c>
      <c r="C91" s="10">
        <f>3.589 * CHOOSE(CONTROL!$C$32, $C$9, 100%, $E$9)</f>
        <v>3.589</v>
      </c>
      <c r="D91" s="10">
        <f>3.5902 * CHOOSE(CONTROL!$C$32, $C$9, 100%, $E$9)</f>
        <v>3.5901999999999998</v>
      </c>
      <c r="E91" s="9">
        <f>4.0006 * CHOOSE(CONTROL!$C$32, $C$9, 100%, $E$9)</f>
        <v>4.0006000000000004</v>
      </c>
      <c r="F91" s="9">
        <f>4.0006 * CHOOSE(CONTROL!$C$32, $C$9, 100%, $E$9)</f>
        <v>4.0006000000000004</v>
      </c>
      <c r="G91" s="9">
        <f>4.0048 * CHOOSE(CONTROL!$C$32, $C$9, 100%, $E$9)</f>
        <v>4.0048000000000004</v>
      </c>
      <c r="H91" s="9">
        <f>6.7681 * CHOOSE(CONTROL!$C$32, $C$9, 100%, $E$9)</f>
        <v>6.7680999999999996</v>
      </c>
      <c r="I91" s="9">
        <f>6.7723 * CHOOSE(CONTROL!$C$32, $C$9, 100%, $E$9)</f>
        <v>6.7723000000000004</v>
      </c>
      <c r="J91" s="9">
        <f>6.7681 * CHOOSE(CONTROL!$C$32, $C$9, 100%, $E$9)</f>
        <v>6.7680999999999996</v>
      </c>
      <c r="K91" s="9">
        <f>6.7723 * CHOOSE(CONTROL!$C$32, $C$9, 100%, $E$9)</f>
        <v>6.7723000000000004</v>
      </c>
      <c r="L91" s="9">
        <f>4.0006 * CHOOSE(CONTROL!$C$32, $C$9, 100%, $E$9)</f>
        <v>4.0006000000000004</v>
      </c>
      <c r="M91" s="9">
        <f>4.0048 * CHOOSE(CONTROL!$C$32, $C$9, 100%, $E$9)</f>
        <v>4.0048000000000004</v>
      </c>
      <c r="N91" s="9">
        <f>4.0006 * CHOOSE(CONTROL!$C$32, $C$9, 100%, $E$9)</f>
        <v>4.0006000000000004</v>
      </c>
      <c r="O91" s="9">
        <f>4.0048 * CHOOSE(CONTROL!$C$32, $C$9, 100%, $E$9)</f>
        <v>4.0048000000000004</v>
      </c>
      <c r="P91" s="17"/>
      <c r="Q91" s="17"/>
      <c r="R91" s="17"/>
    </row>
    <row r="92" spans="1:18" ht="15" x14ac:dyDescent="0.2">
      <c r="A92" s="16">
        <v>43647</v>
      </c>
      <c r="B92" s="10">
        <f>3.6647 * CHOOSE(CONTROL!$C$32, $C$9, 100%, $E$9)</f>
        <v>3.6646999999999998</v>
      </c>
      <c r="C92" s="10">
        <f>3.6647 * CHOOSE(CONTROL!$C$32, $C$9, 100%, $E$9)</f>
        <v>3.6646999999999998</v>
      </c>
      <c r="D92" s="10">
        <f>3.666 * CHOOSE(CONTROL!$C$32, $C$9, 100%, $E$9)</f>
        <v>3.6659999999999999</v>
      </c>
      <c r="E92" s="9">
        <f>4.2819 * CHOOSE(CONTROL!$C$32, $C$9, 100%, $E$9)</f>
        <v>4.2819000000000003</v>
      </c>
      <c r="F92" s="9">
        <f>4.2819 * CHOOSE(CONTROL!$C$32, $C$9, 100%, $E$9)</f>
        <v>4.2819000000000003</v>
      </c>
      <c r="G92" s="9">
        <f>4.2861 * CHOOSE(CONTROL!$C$32, $C$9, 100%, $E$9)</f>
        <v>4.2861000000000002</v>
      </c>
      <c r="H92" s="9">
        <f>6.7822 * CHOOSE(CONTROL!$C$32, $C$9, 100%, $E$9)</f>
        <v>6.7821999999999996</v>
      </c>
      <c r="I92" s="9">
        <f>6.7864 * CHOOSE(CONTROL!$C$32, $C$9, 100%, $E$9)</f>
        <v>6.7864000000000004</v>
      </c>
      <c r="J92" s="9">
        <f>6.7822 * CHOOSE(CONTROL!$C$32, $C$9, 100%, $E$9)</f>
        <v>6.7821999999999996</v>
      </c>
      <c r="K92" s="9">
        <f>6.7864 * CHOOSE(CONTROL!$C$32, $C$9, 100%, $E$9)</f>
        <v>6.7864000000000004</v>
      </c>
      <c r="L92" s="9">
        <f>4.2819 * CHOOSE(CONTROL!$C$32, $C$9, 100%, $E$9)</f>
        <v>4.2819000000000003</v>
      </c>
      <c r="M92" s="9">
        <f>4.2861 * CHOOSE(CONTROL!$C$32, $C$9, 100%, $E$9)</f>
        <v>4.2861000000000002</v>
      </c>
      <c r="N92" s="9">
        <f>4.2819 * CHOOSE(CONTROL!$C$32, $C$9, 100%, $E$9)</f>
        <v>4.2819000000000003</v>
      </c>
      <c r="O92" s="9">
        <f>4.2861 * CHOOSE(CONTROL!$C$32, $C$9, 100%, $E$9)</f>
        <v>4.2861000000000002</v>
      </c>
      <c r="P92" s="17"/>
      <c r="Q92" s="17"/>
      <c r="R92" s="17"/>
    </row>
    <row r="93" spans="1:18" ht="15" x14ac:dyDescent="0.2">
      <c r="A93" s="16">
        <v>43678</v>
      </c>
      <c r="B93" s="10">
        <f>3.6714 * CHOOSE(CONTROL!$C$32, $C$9, 100%, $E$9)</f>
        <v>3.6714000000000002</v>
      </c>
      <c r="C93" s="10">
        <f>3.6714 * CHOOSE(CONTROL!$C$32, $C$9, 100%, $E$9)</f>
        <v>3.6714000000000002</v>
      </c>
      <c r="D93" s="10">
        <f>3.6727 * CHOOSE(CONTROL!$C$32, $C$9, 100%, $E$9)</f>
        <v>3.6726999999999999</v>
      </c>
      <c r="E93" s="9">
        <f>4.2315 * CHOOSE(CONTROL!$C$32, $C$9, 100%, $E$9)</f>
        <v>4.2314999999999996</v>
      </c>
      <c r="F93" s="9">
        <f>4.2315 * CHOOSE(CONTROL!$C$32, $C$9, 100%, $E$9)</f>
        <v>4.2314999999999996</v>
      </c>
      <c r="G93" s="9">
        <f>4.2357 * CHOOSE(CONTROL!$C$32, $C$9, 100%, $E$9)</f>
        <v>4.2356999999999996</v>
      </c>
      <c r="H93" s="9">
        <f>6.7963 * CHOOSE(CONTROL!$C$32, $C$9, 100%, $E$9)</f>
        <v>6.7962999999999996</v>
      </c>
      <c r="I93" s="9">
        <f>6.8005 * CHOOSE(CONTROL!$C$32, $C$9, 100%, $E$9)</f>
        <v>6.8005000000000004</v>
      </c>
      <c r="J93" s="9">
        <f>6.7963 * CHOOSE(CONTROL!$C$32, $C$9, 100%, $E$9)</f>
        <v>6.7962999999999996</v>
      </c>
      <c r="K93" s="9">
        <f>6.8005 * CHOOSE(CONTROL!$C$32, $C$9, 100%, $E$9)</f>
        <v>6.8005000000000004</v>
      </c>
      <c r="L93" s="9">
        <f>4.2315 * CHOOSE(CONTROL!$C$32, $C$9, 100%, $E$9)</f>
        <v>4.2314999999999996</v>
      </c>
      <c r="M93" s="9">
        <f>4.2357 * CHOOSE(CONTROL!$C$32, $C$9, 100%, $E$9)</f>
        <v>4.2356999999999996</v>
      </c>
      <c r="N93" s="9">
        <f>4.2315 * CHOOSE(CONTROL!$C$32, $C$9, 100%, $E$9)</f>
        <v>4.2314999999999996</v>
      </c>
      <c r="O93" s="9">
        <f>4.2357 * CHOOSE(CONTROL!$C$32, $C$9, 100%, $E$9)</f>
        <v>4.2356999999999996</v>
      </c>
      <c r="P93" s="17"/>
      <c r="Q93" s="17"/>
      <c r="R93" s="17"/>
    </row>
    <row r="94" spans="1:18" ht="15" x14ac:dyDescent="0.2">
      <c r="A94" s="16">
        <v>43709</v>
      </c>
      <c r="B94" s="10">
        <f>3.6684 * CHOOSE(CONTROL!$C$32, $C$9, 100%, $E$9)</f>
        <v>3.6684000000000001</v>
      </c>
      <c r="C94" s="10">
        <f>3.6684 * CHOOSE(CONTROL!$C$32, $C$9, 100%, $E$9)</f>
        <v>3.6684000000000001</v>
      </c>
      <c r="D94" s="10">
        <f>3.6696 * CHOOSE(CONTROL!$C$32, $C$9, 100%, $E$9)</f>
        <v>3.6696</v>
      </c>
      <c r="E94" s="9">
        <f>4.2233 * CHOOSE(CONTROL!$C$32, $C$9, 100%, $E$9)</f>
        <v>4.2233000000000001</v>
      </c>
      <c r="F94" s="9">
        <f>4.2233 * CHOOSE(CONTROL!$C$32, $C$9, 100%, $E$9)</f>
        <v>4.2233000000000001</v>
      </c>
      <c r="G94" s="9">
        <f>4.2275 * CHOOSE(CONTROL!$C$32, $C$9, 100%, $E$9)</f>
        <v>4.2275</v>
      </c>
      <c r="H94" s="9">
        <f>6.8105 * CHOOSE(CONTROL!$C$32, $C$9, 100%, $E$9)</f>
        <v>6.8105000000000002</v>
      </c>
      <c r="I94" s="9">
        <f>6.8147 * CHOOSE(CONTROL!$C$32, $C$9, 100%, $E$9)</f>
        <v>6.8147000000000002</v>
      </c>
      <c r="J94" s="9">
        <f>6.8105 * CHOOSE(CONTROL!$C$32, $C$9, 100%, $E$9)</f>
        <v>6.8105000000000002</v>
      </c>
      <c r="K94" s="9">
        <f>6.8147 * CHOOSE(CONTROL!$C$32, $C$9, 100%, $E$9)</f>
        <v>6.8147000000000002</v>
      </c>
      <c r="L94" s="9">
        <f>4.2233 * CHOOSE(CONTROL!$C$32, $C$9, 100%, $E$9)</f>
        <v>4.2233000000000001</v>
      </c>
      <c r="M94" s="9">
        <f>4.2275 * CHOOSE(CONTROL!$C$32, $C$9, 100%, $E$9)</f>
        <v>4.2275</v>
      </c>
      <c r="N94" s="9">
        <f>4.2233 * CHOOSE(CONTROL!$C$32, $C$9, 100%, $E$9)</f>
        <v>4.2233000000000001</v>
      </c>
      <c r="O94" s="9">
        <f>4.2275 * CHOOSE(CONTROL!$C$32, $C$9, 100%, $E$9)</f>
        <v>4.2275</v>
      </c>
      <c r="P94" s="17"/>
      <c r="Q94" s="17"/>
      <c r="R94" s="17"/>
    </row>
    <row r="95" spans="1:18" ht="15" x14ac:dyDescent="0.2">
      <c r="A95" s="16">
        <v>43739</v>
      </c>
      <c r="B95" s="10">
        <f>3.6625 * CHOOSE(CONTROL!$C$32, $C$9, 100%, $E$9)</f>
        <v>3.6625000000000001</v>
      </c>
      <c r="C95" s="10">
        <f>3.6625 * CHOOSE(CONTROL!$C$32, $C$9, 100%, $E$9)</f>
        <v>3.6625000000000001</v>
      </c>
      <c r="D95" s="10">
        <f>3.6635 * CHOOSE(CONTROL!$C$32, $C$9, 100%, $E$9)</f>
        <v>3.6635</v>
      </c>
      <c r="E95" s="9">
        <f>4.2343 * CHOOSE(CONTROL!$C$32, $C$9, 100%, $E$9)</f>
        <v>4.2343000000000002</v>
      </c>
      <c r="F95" s="9">
        <f>4.2343 * CHOOSE(CONTROL!$C$32, $C$9, 100%, $E$9)</f>
        <v>4.2343000000000002</v>
      </c>
      <c r="G95" s="9">
        <f>4.2376 * CHOOSE(CONTROL!$C$32, $C$9, 100%, $E$9)</f>
        <v>4.2375999999999996</v>
      </c>
      <c r="H95" s="9">
        <f>6.8247 * CHOOSE(CONTROL!$C$32, $C$9, 100%, $E$9)</f>
        <v>6.8247</v>
      </c>
      <c r="I95" s="9">
        <f>6.8279 * CHOOSE(CONTROL!$C$32, $C$9, 100%, $E$9)</f>
        <v>6.8278999999999996</v>
      </c>
      <c r="J95" s="9">
        <f>6.8247 * CHOOSE(CONTROL!$C$32, $C$9, 100%, $E$9)</f>
        <v>6.8247</v>
      </c>
      <c r="K95" s="9">
        <f>6.8279 * CHOOSE(CONTROL!$C$32, $C$9, 100%, $E$9)</f>
        <v>6.8278999999999996</v>
      </c>
      <c r="L95" s="9">
        <f>4.2343 * CHOOSE(CONTROL!$C$32, $C$9, 100%, $E$9)</f>
        <v>4.2343000000000002</v>
      </c>
      <c r="M95" s="9">
        <f>4.2376 * CHOOSE(CONTROL!$C$32, $C$9, 100%, $E$9)</f>
        <v>4.2375999999999996</v>
      </c>
      <c r="N95" s="9">
        <f>4.2343 * CHOOSE(CONTROL!$C$32, $C$9, 100%, $E$9)</f>
        <v>4.2343000000000002</v>
      </c>
      <c r="O95" s="9">
        <f>4.2376 * CHOOSE(CONTROL!$C$32, $C$9, 100%, $E$9)</f>
        <v>4.2375999999999996</v>
      </c>
      <c r="P95" s="17"/>
      <c r="Q95" s="17"/>
      <c r="R95" s="17"/>
    </row>
    <row r="96" spans="1:18" ht="15" x14ac:dyDescent="0.2">
      <c r="A96" s="16">
        <v>43770</v>
      </c>
      <c r="B96" s="10">
        <f>3.6656 * CHOOSE(CONTROL!$C$32, $C$9, 100%, $E$9)</f>
        <v>3.6656</v>
      </c>
      <c r="C96" s="10">
        <f>3.6656 * CHOOSE(CONTROL!$C$32, $C$9, 100%, $E$9)</f>
        <v>3.6656</v>
      </c>
      <c r="D96" s="10">
        <f>3.6665 * CHOOSE(CONTROL!$C$32, $C$9, 100%, $E$9)</f>
        <v>3.6665000000000001</v>
      </c>
      <c r="E96" s="9">
        <f>4.2487 * CHOOSE(CONTROL!$C$32, $C$9, 100%, $E$9)</f>
        <v>4.2487000000000004</v>
      </c>
      <c r="F96" s="9">
        <f>4.2487 * CHOOSE(CONTROL!$C$32, $C$9, 100%, $E$9)</f>
        <v>4.2487000000000004</v>
      </c>
      <c r="G96" s="9">
        <f>4.2519 * CHOOSE(CONTROL!$C$32, $C$9, 100%, $E$9)</f>
        <v>4.2519</v>
      </c>
      <c r="H96" s="9">
        <f>6.8389 * CHOOSE(CONTROL!$C$32, $C$9, 100%, $E$9)</f>
        <v>6.8388999999999998</v>
      </c>
      <c r="I96" s="9">
        <f>6.8421 * CHOOSE(CONTROL!$C$32, $C$9, 100%, $E$9)</f>
        <v>6.8421000000000003</v>
      </c>
      <c r="J96" s="9">
        <f>6.8389 * CHOOSE(CONTROL!$C$32, $C$9, 100%, $E$9)</f>
        <v>6.8388999999999998</v>
      </c>
      <c r="K96" s="9">
        <f>6.8421 * CHOOSE(CONTROL!$C$32, $C$9, 100%, $E$9)</f>
        <v>6.8421000000000003</v>
      </c>
      <c r="L96" s="9">
        <f>4.2487 * CHOOSE(CONTROL!$C$32, $C$9, 100%, $E$9)</f>
        <v>4.2487000000000004</v>
      </c>
      <c r="M96" s="9">
        <f>4.2519 * CHOOSE(CONTROL!$C$32, $C$9, 100%, $E$9)</f>
        <v>4.2519</v>
      </c>
      <c r="N96" s="9">
        <f>4.2487 * CHOOSE(CONTROL!$C$32, $C$9, 100%, $E$9)</f>
        <v>4.2487000000000004</v>
      </c>
      <c r="O96" s="9">
        <f>4.2519 * CHOOSE(CONTROL!$C$32, $C$9, 100%, $E$9)</f>
        <v>4.2519</v>
      </c>
      <c r="P96" s="17"/>
      <c r="Q96" s="17"/>
      <c r="R96" s="17"/>
    </row>
    <row r="97" spans="1:18" ht="15" x14ac:dyDescent="0.2">
      <c r="A97" s="16">
        <v>43800</v>
      </c>
      <c r="B97" s="10">
        <f>3.6656 * CHOOSE(CONTROL!$C$32, $C$9, 100%, $E$9)</f>
        <v>3.6656</v>
      </c>
      <c r="C97" s="10">
        <f>3.6656 * CHOOSE(CONTROL!$C$32, $C$9, 100%, $E$9)</f>
        <v>3.6656</v>
      </c>
      <c r="D97" s="10">
        <f>3.6665 * CHOOSE(CONTROL!$C$32, $C$9, 100%, $E$9)</f>
        <v>3.6665000000000001</v>
      </c>
      <c r="E97" s="9">
        <f>4.2181 * CHOOSE(CONTROL!$C$32, $C$9, 100%, $E$9)</f>
        <v>4.2180999999999997</v>
      </c>
      <c r="F97" s="9">
        <f>4.2181 * CHOOSE(CONTROL!$C$32, $C$9, 100%, $E$9)</f>
        <v>4.2180999999999997</v>
      </c>
      <c r="G97" s="9">
        <f>4.2213 * CHOOSE(CONTROL!$C$32, $C$9, 100%, $E$9)</f>
        <v>4.2213000000000003</v>
      </c>
      <c r="H97" s="9">
        <f>6.8531 * CHOOSE(CONTROL!$C$32, $C$9, 100%, $E$9)</f>
        <v>6.8531000000000004</v>
      </c>
      <c r="I97" s="9">
        <f>6.8564 * CHOOSE(CONTROL!$C$32, $C$9, 100%, $E$9)</f>
        <v>6.8563999999999998</v>
      </c>
      <c r="J97" s="9">
        <f>6.8531 * CHOOSE(CONTROL!$C$32, $C$9, 100%, $E$9)</f>
        <v>6.8531000000000004</v>
      </c>
      <c r="K97" s="9">
        <f>6.8564 * CHOOSE(CONTROL!$C$32, $C$9, 100%, $E$9)</f>
        <v>6.8563999999999998</v>
      </c>
      <c r="L97" s="9">
        <f>4.2181 * CHOOSE(CONTROL!$C$32, $C$9, 100%, $E$9)</f>
        <v>4.2180999999999997</v>
      </c>
      <c r="M97" s="9">
        <f>4.2213 * CHOOSE(CONTROL!$C$32, $C$9, 100%, $E$9)</f>
        <v>4.2213000000000003</v>
      </c>
      <c r="N97" s="9">
        <f>4.2181 * CHOOSE(CONTROL!$C$32, $C$9, 100%, $E$9)</f>
        <v>4.2180999999999997</v>
      </c>
      <c r="O97" s="9">
        <f>4.2213 * CHOOSE(CONTROL!$C$32, $C$9, 100%, $E$9)</f>
        <v>4.2213000000000003</v>
      </c>
      <c r="P97" s="17"/>
      <c r="Q97" s="17"/>
      <c r="R97" s="17"/>
    </row>
    <row r="98" spans="1:18" ht="15" x14ac:dyDescent="0.2">
      <c r="A98" s="16">
        <v>43831</v>
      </c>
      <c r="B98" s="10">
        <f>3.7012 * CHOOSE(CONTROL!$C$32, $C$9, 100%, $E$9)</f>
        <v>3.7012</v>
      </c>
      <c r="C98" s="10">
        <f>3.7012 * CHOOSE(CONTROL!$C$32, $C$9, 100%, $E$9)</f>
        <v>3.7012</v>
      </c>
      <c r="D98" s="10">
        <f>3.7022 * CHOOSE(CONTROL!$C$32, $C$9, 100%, $E$9)</f>
        <v>3.7021999999999999</v>
      </c>
      <c r="E98" s="9">
        <f>4.287 * CHOOSE(CONTROL!$C$32, $C$9, 100%, $E$9)</f>
        <v>4.2869999999999999</v>
      </c>
      <c r="F98" s="9">
        <f>4.287 * CHOOSE(CONTROL!$C$32, $C$9, 100%, $E$9)</f>
        <v>4.2869999999999999</v>
      </c>
      <c r="G98" s="9">
        <f>4.2902 * CHOOSE(CONTROL!$C$32, $C$9, 100%, $E$9)</f>
        <v>4.2901999999999996</v>
      </c>
      <c r="H98" s="9">
        <f>6.8674 * CHOOSE(CONTROL!$C$32, $C$9, 100%, $E$9)</f>
        <v>6.8673999999999999</v>
      </c>
      <c r="I98" s="9">
        <f>6.8706 * CHOOSE(CONTROL!$C$32, $C$9, 100%, $E$9)</f>
        <v>6.8705999999999996</v>
      </c>
      <c r="J98" s="9">
        <f>6.8674 * CHOOSE(CONTROL!$C$32, $C$9, 100%, $E$9)</f>
        <v>6.8673999999999999</v>
      </c>
      <c r="K98" s="9">
        <f>6.8706 * CHOOSE(CONTROL!$C$32, $C$9, 100%, $E$9)</f>
        <v>6.8705999999999996</v>
      </c>
      <c r="L98" s="9">
        <f>4.287 * CHOOSE(CONTROL!$C$32, $C$9, 100%, $E$9)</f>
        <v>4.2869999999999999</v>
      </c>
      <c r="M98" s="9">
        <f>4.2902 * CHOOSE(CONTROL!$C$32, $C$9, 100%, $E$9)</f>
        <v>4.2901999999999996</v>
      </c>
      <c r="N98" s="9">
        <f>4.287 * CHOOSE(CONTROL!$C$32, $C$9, 100%, $E$9)</f>
        <v>4.2869999999999999</v>
      </c>
      <c r="O98" s="9">
        <f>4.2902 * CHOOSE(CONTROL!$C$32, $C$9, 100%, $E$9)</f>
        <v>4.2901999999999996</v>
      </c>
      <c r="P98" s="17"/>
      <c r="Q98" s="17"/>
      <c r="R98" s="17"/>
    </row>
    <row r="99" spans="1:18" ht="15" x14ac:dyDescent="0.2">
      <c r="A99" s="16">
        <v>43862</v>
      </c>
      <c r="B99" s="10">
        <f>3.6982 * CHOOSE(CONTROL!$C$32, $C$9, 100%, $E$9)</f>
        <v>3.6981999999999999</v>
      </c>
      <c r="C99" s="10">
        <f>3.6982 * CHOOSE(CONTROL!$C$32, $C$9, 100%, $E$9)</f>
        <v>3.6981999999999999</v>
      </c>
      <c r="D99" s="10">
        <f>3.6991 * CHOOSE(CONTROL!$C$32, $C$9, 100%, $E$9)</f>
        <v>3.6991000000000001</v>
      </c>
      <c r="E99" s="9">
        <f>4.226 * CHOOSE(CONTROL!$C$32, $C$9, 100%, $E$9)</f>
        <v>4.226</v>
      </c>
      <c r="F99" s="9">
        <f>4.226 * CHOOSE(CONTROL!$C$32, $C$9, 100%, $E$9)</f>
        <v>4.226</v>
      </c>
      <c r="G99" s="9">
        <f>4.2292 * CHOOSE(CONTROL!$C$32, $C$9, 100%, $E$9)</f>
        <v>4.2291999999999996</v>
      </c>
      <c r="H99" s="9">
        <f>6.8817 * CHOOSE(CONTROL!$C$32, $C$9, 100%, $E$9)</f>
        <v>6.8817000000000004</v>
      </c>
      <c r="I99" s="9">
        <f>6.885 * CHOOSE(CONTROL!$C$32, $C$9, 100%, $E$9)</f>
        <v>6.8849999999999998</v>
      </c>
      <c r="J99" s="9">
        <f>6.8817 * CHOOSE(CONTROL!$C$32, $C$9, 100%, $E$9)</f>
        <v>6.8817000000000004</v>
      </c>
      <c r="K99" s="9">
        <f>6.885 * CHOOSE(CONTROL!$C$32, $C$9, 100%, $E$9)</f>
        <v>6.8849999999999998</v>
      </c>
      <c r="L99" s="9">
        <f>4.226 * CHOOSE(CONTROL!$C$32, $C$9, 100%, $E$9)</f>
        <v>4.226</v>
      </c>
      <c r="M99" s="9">
        <f>4.2292 * CHOOSE(CONTROL!$C$32, $C$9, 100%, $E$9)</f>
        <v>4.2291999999999996</v>
      </c>
      <c r="N99" s="9">
        <f>4.226 * CHOOSE(CONTROL!$C$32, $C$9, 100%, $E$9)</f>
        <v>4.226</v>
      </c>
      <c r="O99" s="9">
        <f>4.2292 * CHOOSE(CONTROL!$C$32, $C$9, 100%, $E$9)</f>
        <v>4.2291999999999996</v>
      </c>
      <c r="P99" s="17"/>
      <c r="Q99" s="17"/>
      <c r="R99" s="17"/>
    </row>
    <row r="100" spans="1:18" ht="15" x14ac:dyDescent="0.2">
      <c r="A100" s="16">
        <v>43891</v>
      </c>
      <c r="B100" s="10">
        <f>3.6951 * CHOOSE(CONTROL!$C$32, $C$9, 100%, $E$9)</f>
        <v>3.6951000000000001</v>
      </c>
      <c r="C100" s="10">
        <f>3.6951 * CHOOSE(CONTROL!$C$32, $C$9, 100%, $E$9)</f>
        <v>3.6951000000000001</v>
      </c>
      <c r="D100" s="10">
        <f>3.6961 * CHOOSE(CONTROL!$C$32, $C$9, 100%, $E$9)</f>
        <v>3.6960999999999999</v>
      </c>
      <c r="E100" s="9">
        <f>4.2703 * CHOOSE(CONTROL!$C$32, $C$9, 100%, $E$9)</f>
        <v>4.2702999999999998</v>
      </c>
      <c r="F100" s="9">
        <f>4.2703 * CHOOSE(CONTROL!$C$32, $C$9, 100%, $E$9)</f>
        <v>4.2702999999999998</v>
      </c>
      <c r="G100" s="9">
        <f>4.2735 * CHOOSE(CONTROL!$C$32, $C$9, 100%, $E$9)</f>
        <v>4.2735000000000003</v>
      </c>
      <c r="H100" s="9">
        <f>6.8961 * CHOOSE(CONTROL!$C$32, $C$9, 100%, $E$9)</f>
        <v>6.8960999999999997</v>
      </c>
      <c r="I100" s="9">
        <f>6.8993 * CHOOSE(CONTROL!$C$32, $C$9, 100%, $E$9)</f>
        <v>6.8993000000000002</v>
      </c>
      <c r="J100" s="9">
        <f>6.8961 * CHOOSE(CONTROL!$C$32, $C$9, 100%, $E$9)</f>
        <v>6.8960999999999997</v>
      </c>
      <c r="K100" s="9">
        <f>6.8993 * CHOOSE(CONTROL!$C$32, $C$9, 100%, $E$9)</f>
        <v>6.8993000000000002</v>
      </c>
      <c r="L100" s="9">
        <f>4.2703 * CHOOSE(CONTROL!$C$32, $C$9, 100%, $E$9)</f>
        <v>4.2702999999999998</v>
      </c>
      <c r="M100" s="9">
        <f>4.2735 * CHOOSE(CONTROL!$C$32, $C$9, 100%, $E$9)</f>
        <v>4.2735000000000003</v>
      </c>
      <c r="N100" s="9">
        <f>4.2703 * CHOOSE(CONTROL!$C$32, $C$9, 100%, $E$9)</f>
        <v>4.2702999999999998</v>
      </c>
      <c r="O100" s="9">
        <f>4.2735 * CHOOSE(CONTROL!$C$32, $C$9, 100%, $E$9)</f>
        <v>4.2735000000000003</v>
      </c>
      <c r="P100" s="17"/>
      <c r="Q100" s="17"/>
      <c r="R100" s="17"/>
    </row>
    <row r="101" spans="1:18" ht="15" x14ac:dyDescent="0.2">
      <c r="A101" s="16">
        <v>43922</v>
      </c>
      <c r="B101" s="10">
        <f>3.6926 * CHOOSE(CONTROL!$C$32, $C$9, 100%, $E$9)</f>
        <v>3.6926000000000001</v>
      </c>
      <c r="C101" s="10">
        <f>3.6926 * CHOOSE(CONTROL!$C$32, $C$9, 100%, $E$9)</f>
        <v>3.6926000000000001</v>
      </c>
      <c r="D101" s="10">
        <f>3.6935 * CHOOSE(CONTROL!$C$32, $C$9, 100%, $E$9)</f>
        <v>3.6934999999999998</v>
      </c>
      <c r="E101" s="9">
        <f>4.3158 * CHOOSE(CONTROL!$C$32, $C$9, 100%, $E$9)</f>
        <v>4.3158000000000003</v>
      </c>
      <c r="F101" s="9">
        <f>4.3158 * CHOOSE(CONTROL!$C$32, $C$9, 100%, $E$9)</f>
        <v>4.3158000000000003</v>
      </c>
      <c r="G101" s="9">
        <f>4.3191 * CHOOSE(CONTROL!$C$32, $C$9, 100%, $E$9)</f>
        <v>4.3190999999999997</v>
      </c>
      <c r="H101" s="9">
        <f>6.9104 * CHOOSE(CONTROL!$C$32, $C$9, 100%, $E$9)</f>
        <v>6.9104000000000001</v>
      </c>
      <c r="I101" s="9">
        <f>6.9137 * CHOOSE(CONTROL!$C$32, $C$9, 100%, $E$9)</f>
        <v>6.9137000000000004</v>
      </c>
      <c r="J101" s="9">
        <f>6.9104 * CHOOSE(CONTROL!$C$32, $C$9, 100%, $E$9)</f>
        <v>6.9104000000000001</v>
      </c>
      <c r="K101" s="9">
        <f>6.9137 * CHOOSE(CONTROL!$C$32, $C$9, 100%, $E$9)</f>
        <v>6.9137000000000004</v>
      </c>
      <c r="L101" s="9">
        <f>4.3158 * CHOOSE(CONTROL!$C$32, $C$9, 100%, $E$9)</f>
        <v>4.3158000000000003</v>
      </c>
      <c r="M101" s="9">
        <f>4.3191 * CHOOSE(CONTROL!$C$32, $C$9, 100%, $E$9)</f>
        <v>4.3190999999999997</v>
      </c>
      <c r="N101" s="9">
        <f>4.3158 * CHOOSE(CONTROL!$C$32, $C$9, 100%, $E$9)</f>
        <v>4.3158000000000003</v>
      </c>
      <c r="O101" s="9">
        <f>4.3191 * CHOOSE(CONTROL!$C$32, $C$9, 100%, $E$9)</f>
        <v>4.3190999999999997</v>
      </c>
      <c r="P101" s="17"/>
      <c r="Q101" s="17"/>
      <c r="R101" s="17"/>
    </row>
    <row r="102" spans="1:18" ht="15" x14ac:dyDescent="0.2">
      <c r="A102" s="16">
        <v>43952</v>
      </c>
      <c r="B102" s="10">
        <f>3.6926 * CHOOSE(CONTROL!$C$32, $C$9, 100%, $E$9)</f>
        <v>3.6926000000000001</v>
      </c>
      <c r="C102" s="10">
        <f>3.6926 * CHOOSE(CONTROL!$C$32, $C$9, 100%, $E$9)</f>
        <v>3.6926000000000001</v>
      </c>
      <c r="D102" s="10">
        <f>3.6938 * CHOOSE(CONTROL!$C$32, $C$9, 100%, $E$9)</f>
        <v>3.6938</v>
      </c>
      <c r="E102" s="9">
        <f>4.3345 * CHOOSE(CONTROL!$C$32, $C$9, 100%, $E$9)</f>
        <v>4.3345000000000002</v>
      </c>
      <c r="F102" s="9">
        <f>4.3345 * CHOOSE(CONTROL!$C$32, $C$9, 100%, $E$9)</f>
        <v>4.3345000000000002</v>
      </c>
      <c r="G102" s="9">
        <f>4.3387 * CHOOSE(CONTROL!$C$32, $C$9, 100%, $E$9)</f>
        <v>4.3387000000000002</v>
      </c>
      <c r="H102" s="9">
        <f>6.9248 * CHOOSE(CONTROL!$C$32, $C$9, 100%, $E$9)</f>
        <v>6.9248000000000003</v>
      </c>
      <c r="I102" s="9">
        <f>6.929 * CHOOSE(CONTROL!$C$32, $C$9, 100%, $E$9)</f>
        <v>6.9290000000000003</v>
      </c>
      <c r="J102" s="9">
        <f>6.9248 * CHOOSE(CONTROL!$C$32, $C$9, 100%, $E$9)</f>
        <v>6.9248000000000003</v>
      </c>
      <c r="K102" s="9">
        <f>6.929 * CHOOSE(CONTROL!$C$32, $C$9, 100%, $E$9)</f>
        <v>6.9290000000000003</v>
      </c>
      <c r="L102" s="9">
        <f>4.3345 * CHOOSE(CONTROL!$C$32, $C$9, 100%, $E$9)</f>
        <v>4.3345000000000002</v>
      </c>
      <c r="M102" s="9">
        <f>4.3387 * CHOOSE(CONTROL!$C$32, $C$9, 100%, $E$9)</f>
        <v>4.3387000000000002</v>
      </c>
      <c r="N102" s="9">
        <f>4.3345 * CHOOSE(CONTROL!$C$32, $C$9, 100%, $E$9)</f>
        <v>4.3345000000000002</v>
      </c>
      <c r="O102" s="9">
        <f>4.3387 * CHOOSE(CONTROL!$C$32, $C$9, 100%, $E$9)</f>
        <v>4.3387000000000002</v>
      </c>
      <c r="P102" s="17"/>
      <c r="Q102" s="17"/>
      <c r="R102" s="17"/>
    </row>
    <row r="103" spans="1:18" ht="15" x14ac:dyDescent="0.2">
      <c r="A103" s="16">
        <v>43983</v>
      </c>
      <c r="B103" s="10">
        <f>3.6987 * CHOOSE(CONTROL!$C$32, $C$9, 100%, $E$9)</f>
        <v>3.6987000000000001</v>
      </c>
      <c r="C103" s="10">
        <f>3.6987 * CHOOSE(CONTROL!$C$32, $C$9, 100%, $E$9)</f>
        <v>3.6987000000000001</v>
      </c>
      <c r="D103" s="10">
        <f>3.6999 * CHOOSE(CONTROL!$C$32, $C$9, 100%, $E$9)</f>
        <v>3.6999</v>
      </c>
      <c r="E103" s="9">
        <f>4.3201 * CHOOSE(CONTROL!$C$32, $C$9, 100%, $E$9)</f>
        <v>4.3201000000000001</v>
      </c>
      <c r="F103" s="9">
        <f>4.3201 * CHOOSE(CONTROL!$C$32, $C$9, 100%, $E$9)</f>
        <v>4.3201000000000001</v>
      </c>
      <c r="G103" s="9">
        <f>4.3243 * CHOOSE(CONTROL!$C$32, $C$9, 100%, $E$9)</f>
        <v>4.3243</v>
      </c>
      <c r="H103" s="9">
        <f>6.9393 * CHOOSE(CONTROL!$C$32, $C$9, 100%, $E$9)</f>
        <v>6.9393000000000002</v>
      </c>
      <c r="I103" s="9">
        <f>6.9435 * CHOOSE(CONTROL!$C$32, $C$9, 100%, $E$9)</f>
        <v>6.9435000000000002</v>
      </c>
      <c r="J103" s="9">
        <f>6.9393 * CHOOSE(CONTROL!$C$32, $C$9, 100%, $E$9)</f>
        <v>6.9393000000000002</v>
      </c>
      <c r="K103" s="9">
        <f>6.9435 * CHOOSE(CONTROL!$C$32, $C$9, 100%, $E$9)</f>
        <v>6.9435000000000002</v>
      </c>
      <c r="L103" s="9">
        <f>4.3201 * CHOOSE(CONTROL!$C$32, $C$9, 100%, $E$9)</f>
        <v>4.3201000000000001</v>
      </c>
      <c r="M103" s="9">
        <f>4.3243 * CHOOSE(CONTROL!$C$32, $C$9, 100%, $E$9)</f>
        <v>4.3243</v>
      </c>
      <c r="N103" s="9">
        <f>4.3201 * CHOOSE(CONTROL!$C$32, $C$9, 100%, $E$9)</f>
        <v>4.3201000000000001</v>
      </c>
      <c r="O103" s="9">
        <f>4.3243 * CHOOSE(CONTROL!$C$32, $C$9, 100%, $E$9)</f>
        <v>4.3243</v>
      </c>
      <c r="P103" s="17"/>
      <c r="Q103" s="17"/>
      <c r="R103" s="17"/>
    </row>
    <row r="104" spans="1:18" ht="15" x14ac:dyDescent="0.2">
      <c r="A104" s="16">
        <v>44013</v>
      </c>
      <c r="B104" s="10">
        <f>3.7654 * CHOOSE(CONTROL!$C$32, $C$9, 100%, $E$9)</f>
        <v>3.7654000000000001</v>
      </c>
      <c r="C104" s="10">
        <f>3.7654 * CHOOSE(CONTROL!$C$32, $C$9, 100%, $E$9)</f>
        <v>3.7654000000000001</v>
      </c>
      <c r="D104" s="10">
        <f>3.7667 * CHOOSE(CONTROL!$C$32, $C$9, 100%, $E$9)</f>
        <v>3.7667000000000002</v>
      </c>
      <c r="E104" s="9">
        <f>4.4408 * CHOOSE(CONTROL!$C$32, $C$9, 100%, $E$9)</f>
        <v>4.4408000000000003</v>
      </c>
      <c r="F104" s="9">
        <f>4.4408 * CHOOSE(CONTROL!$C$32, $C$9, 100%, $E$9)</f>
        <v>4.4408000000000003</v>
      </c>
      <c r="G104" s="9">
        <f>4.445 * CHOOSE(CONTROL!$C$32, $C$9, 100%, $E$9)</f>
        <v>4.4450000000000003</v>
      </c>
      <c r="H104" s="9">
        <f>6.9537 * CHOOSE(CONTROL!$C$32, $C$9, 100%, $E$9)</f>
        <v>6.9537000000000004</v>
      </c>
      <c r="I104" s="9">
        <f>6.9579 * CHOOSE(CONTROL!$C$32, $C$9, 100%, $E$9)</f>
        <v>6.9579000000000004</v>
      </c>
      <c r="J104" s="9">
        <f>6.9537 * CHOOSE(CONTROL!$C$32, $C$9, 100%, $E$9)</f>
        <v>6.9537000000000004</v>
      </c>
      <c r="K104" s="9">
        <f>6.9579 * CHOOSE(CONTROL!$C$32, $C$9, 100%, $E$9)</f>
        <v>6.9579000000000004</v>
      </c>
      <c r="L104" s="9">
        <f>4.4408 * CHOOSE(CONTROL!$C$32, $C$9, 100%, $E$9)</f>
        <v>4.4408000000000003</v>
      </c>
      <c r="M104" s="9">
        <f>4.445 * CHOOSE(CONTROL!$C$32, $C$9, 100%, $E$9)</f>
        <v>4.4450000000000003</v>
      </c>
      <c r="N104" s="9">
        <f>4.4408 * CHOOSE(CONTROL!$C$32, $C$9, 100%, $E$9)</f>
        <v>4.4408000000000003</v>
      </c>
      <c r="O104" s="9">
        <f>4.445 * CHOOSE(CONTROL!$C$32, $C$9, 100%, $E$9)</f>
        <v>4.4450000000000003</v>
      </c>
      <c r="P104" s="17"/>
      <c r="Q104" s="17"/>
      <c r="R104" s="17"/>
    </row>
    <row r="105" spans="1:18" ht="15" x14ac:dyDescent="0.2">
      <c r="A105" s="16">
        <v>44044</v>
      </c>
      <c r="B105" s="10">
        <f>3.7721 * CHOOSE(CONTROL!$C$32, $C$9, 100%, $E$9)</f>
        <v>3.7721</v>
      </c>
      <c r="C105" s="10">
        <f>3.7721 * CHOOSE(CONTROL!$C$32, $C$9, 100%, $E$9)</f>
        <v>3.7721</v>
      </c>
      <c r="D105" s="10">
        <f>3.7734 * CHOOSE(CONTROL!$C$32, $C$9, 100%, $E$9)</f>
        <v>3.7734000000000001</v>
      </c>
      <c r="E105" s="9">
        <f>4.3894 * CHOOSE(CONTROL!$C$32, $C$9, 100%, $E$9)</f>
        <v>4.3894000000000002</v>
      </c>
      <c r="F105" s="9">
        <f>4.3894 * CHOOSE(CONTROL!$C$32, $C$9, 100%, $E$9)</f>
        <v>4.3894000000000002</v>
      </c>
      <c r="G105" s="9">
        <f>4.3936 * CHOOSE(CONTROL!$C$32, $C$9, 100%, $E$9)</f>
        <v>4.3936000000000002</v>
      </c>
      <c r="H105" s="9">
        <f>6.9682 * CHOOSE(CONTROL!$C$32, $C$9, 100%, $E$9)</f>
        <v>6.9682000000000004</v>
      </c>
      <c r="I105" s="9">
        <f>6.9724 * CHOOSE(CONTROL!$C$32, $C$9, 100%, $E$9)</f>
        <v>6.9724000000000004</v>
      </c>
      <c r="J105" s="9">
        <f>6.9682 * CHOOSE(CONTROL!$C$32, $C$9, 100%, $E$9)</f>
        <v>6.9682000000000004</v>
      </c>
      <c r="K105" s="9">
        <f>6.9724 * CHOOSE(CONTROL!$C$32, $C$9, 100%, $E$9)</f>
        <v>6.9724000000000004</v>
      </c>
      <c r="L105" s="9">
        <f>4.3894 * CHOOSE(CONTROL!$C$32, $C$9, 100%, $E$9)</f>
        <v>4.3894000000000002</v>
      </c>
      <c r="M105" s="9">
        <f>4.3936 * CHOOSE(CONTROL!$C$32, $C$9, 100%, $E$9)</f>
        <v>4.3936000000000002</v>
      </c>
      <c r="N105" s="9">
        <f>4.3894 * CHOOSE(CONTROL!$C$32, $C$9, 100%, $E$9)</f>
        <v>4.3894000000000002</v>
      </c>
      <c r="O105" s="9">
        <f>4.3936 * CHOOSE(CONTROL!$C$32, $C$9, 100%, $E$9)</f>
        <v>4.3936000000000002</v>
      </c>
      <c r="P105" s="17"/>
      <c r="Q105" s="17"/>
      <c r="R105" s="17"/>
    </row>
    <row r="106" spans="1:18" ht="15" x14ac:dyDescent="0.2">
      <c r="A106" s="16">
        <v>44075</v>
      </c>
      <c r="B106" s="10">
        <f>3.7691 * CHOOSE(CONTROL!$C$32, $C$9, 100%, $E$9)</f>
        <v>3.7690999999999999</v>
      </c>
      <c r="C106" s="10">
        <f>3.7691 * CHOOSE(CONTROL!$C$32, $C$9, 100%, $E$9)</f>
        <v>3.7690999999999999</v>
      </c>
      <c r="D106" s="10">
        <f>3.7703 * CHOOSE(CONTROL!$C$32, $C$9, 100%, $E$9)</f>
        <v>3.7703000000000002</v>
      </c>
      <c r="E106" s="9">
        <f>4.381 * CHOOSE(CONTROL!$C$32, $C$9, 100%, $E$9)</f>
        <v>4.3810000000000002</v>
      </c>
      <c r="F106" s="9">
        <f>4.381 * CHOOSE(CONTROL!$C$32, $C$9, 100%, $E$9)</f>
        <v>4.3810000000000002</v>
      </c>
      <c r="G106" s="9">
        <f>4.3853 * CHOOSE(CONTROL!$C$32, $C$9, 100%, $E$9)</f>
        <v>4.3853</v>
      </c>
      <c r="H106" s="9">
        <f>6.9827 * CHOOSE(CONTROL!$C$32, $C$9, 100%, $E$9)</f>
        <v>6.9827000000000004</v>
      </c>
      <c r="I106" s="9">
        <f>6.9869 * CHOOSE(CONTROL!$C$32, $C$9, 100%, $E$9)</f>
        <v>6.9869000000000003</v>
      </c>
      <c r="J106" s="9">
        <f>6.9827 * CHOOSE(CONTROL!$C$32, $C$9, 100%, $E$9)</f>
        <v>6.9827000000000004</v>
      </c>
      <c r="K106" s="9">
        <f>6.9869 * CHOOSE(CONTROL!$C$32, $C$9, 100%, $E$9)</f>
        <v>6.9869000000000003</v>
      </c>
      <c r="L106" s="9">
        <f>4.381 * CHOOSE(CONTROL!$C$32, $C$9, 100%, $E$9)</f>
        <v>4.3810000000000002</v>
      </c>
      <c r="M106" s="9">
        <f>4.3853 * CHOOSE(CONTROL!$C$32, $C$9, 100%, $E$9)</f>
        <v>4.3853</v>
      </c>
      <c r="N106" s="9">
        <f>4.381 * CHOOSE(CONTROL!$C$32, $C$9, 100%, $E$9)</f>
        <v>4.3810000000000002</v>
      </c>
      <c r="O106" s="9">
        <f>4.3853 * CHOOSE(CONTROL!$C$32, $C$9, 100%, $E$9)</f>
        <v>4.3853</v>
      </c>
      <c r="P106" s="17"/>
      <c r="Q106" s="17"/>
      <c r="R106" s="17"/>
    </row>
    <row r="107" spans="1:18" ht="15" x14ac:dyDescent="0.2">
      <c r="A107" s="16">
        <v>44105</v>
      </c>
      <c r="B107" s="10">
        <f>3.7636 * CHOOSE(CONTROL!$C$32, $C$9, 100%, $E$9)</f>
        <v>3.7635999999999998</v>
      </c>
      <c r="C107" s="10">
        <f>3.7636 * CHOOSE(CONTROL!$C$32, $C$9, 100%, $E$9)</f>
        <v>3.7635999999999998</v>
      </c>
      <c r="D107" s="10">
        <f>3.7646 * CHOOSE(CONTROL!$C$32, $C$9, 100%, $E$9)</f>
        <v>3.7646000000000002</v>
      </c>
      <c r="E107" s="9">
        <f>4.3925 * CHOOSE(CONTROL!$C$32, $C$9, 100%, $E$9)</f>
        <v>4.3925000000000001</v>
      </c>
      <c r="F107" s="9">
        <f>4.3925 * CHOOSE(CONTROL!$C$32, $C$9, 100%, $E$9)</f>
        <v>4.3925000000000001</v>
      </c>
      <c r="G107" s="9">
        <f>4.3958 * CHOOSE(CONTROL!$C$32, $C$9, 100%, $E$9)</f>
        <v>4.3958000000000004</v>
      </c>
      <c r="H107" s="9">
        <f>6.9973 * CHOOSE(CONTROL!$C$32, $C$9, 100%, $E$9)</f>
        <v>6.9973000000000001</v>
      </c>
      <c r="I107" s="9">
        <f>7.0005 * CHOOSE(CONTROL!$C$32, $C$9, 100%, $E$9)</f>
        <v>7.0004999999999997</v>
      </c>
      <c r="J107" s="9">
        <f>6.9973 * CHOOSE(CONTROL!$C$32, $C$9, 100%, $E$9)</f>
        <v>6.9973000000000001</v>
      </c>
      <c r="K107" s="9">
        <f>7.0005 * CHOOSE(CONTROL!$C$32, $C$9, 100%, $E$9)</f>
        <v>7.0004999999999997</v>
      </c>
      <c r="L107" s="9">
        <f>4.3925 * CHOOSE(CONTROL!$C$32, $C$9, 100%, $E$9)</f>
        <v>4.3925000000000001</v>
      </c>
      <c r="M107" s="9">
        <f>4.3958 * CHOOSE(CONTROL!$C$32, $C$9, 100%, $E$9)</f>
        <v>4.3958000000000004</v>
      </c>
      <c r="N107" s="9">
        <f>4.3925 * CHOOSE(CONTROL!$C$32, $C$9, 100%, $E$9)</f>
        <v>4.3925000000000001</v>
      </c>
      <c r="O107" s="9">
        <f>4.3958 * CHOOSE(CONTROL!$C$32, $C$9, 100%, $E$9)</f>
        <v>4.3958000000000004</v>
      </c>
      <c r="P107" s="17"/>
      <c r="Q107" s="17"/>
      <c r="R107" s="17"/>
    </row>
    <row r="108" spans="1:18" ht="15" x14ac:dyDescent="0.2">
      <c r="A108" s="16">
        <v>44136</v>
      </c>
      <c r="B108" s="10">
        <f>3.7666 * CHOOSE(CONTROL!$C$32, $C$9, 100%, $E$9)</f>
        <v>3.7665999999999999</v>
      </c>
      <c r="C108" s="10">
        <f>3.7666 * CHOOSE(CONTROL!$C$32, $C$9, 100%, $E$9)</f>
        <v>3.7665999999999999</v>
      </c>
      <c r="D108" s="10">
        <f>3.7676 * CHOOSE(CONTROL!$C$32, $C$9, 100%, $E$9)</f>
        <v>3.7675999999999998</v>
      </c>
      <c r="E108" s="9">
        <f>4.4071 * CHOOSE(CONTROL!$C$32, $C$9, 100%, $E$9)</f>
        <v>4.4070999999999998</v>
      </c>
      <c r="F108" s="9">
        <f>4.4071 * CHOOSE(CONTROL!$C$32, $C$9, 100%, $E$9)</f>
        <v>4.4070999999999998</v>
      </c>
      <c r="G108" s="9">
        <f>4.4103 * CHOOSE(CONTROL!$C$32, $C$9, 100%, $E$9)</f>
        <v>4.4103000000000003</v>
      </c>
      <c r="H108" s="9">
        <f>7.0118 * CHOOSE(CONTROL!$C$32, $C$9, 100%, $E$9)</f>
        <v>7.0118</v>
      </c>
      <c r="I108" s="9">
        <f>7.0151 * CHOOSE(CONTROL!$C$32, $C$9, 100%, $E$9)</f>
        <v>7.0151000000000003</v>
      </c>
      <c r="J108" s="9">
        <f>7.0118 * CHOOSE(CONTROL!$C$32, $C$9, 100%, $E$9)</f>
        <v>7.0118</v>
      </c>
      <c r="K108" s="9">
        <f>7.0151 * CHOOSE(CONTROL!$C$32, $C$9, 100%, $E$9)</f>
        <v>7.0151000000000003</v>
      </c>
      <c r="L108" s="9">
        <f>4.4071 * CHOOSE(CONTROL!$C$32, $C$9, 100%, $E$9)</f>
        <v>4.4070999999999998</v>
      </c>
      <c r="M108" s="9">
        <f>4.4103 * CHOOSE(CONTROL!$C$32, $C$9, 100%, $E$9)</f>
        <v>4.4103000000000003</v>
      </c>
      <c r="N108" s="9">
        <f>4.4071 * CHOOSE(CONTROL!$C$32, $C$9, 100%, $E$9)</f>
        <v>4.4070999999999998</v>
      </c>
      <c r="O108" s="9">
        <f>4.4103 * CHOOSE(CONTROL!$C$32, $C$9, 100%, $E$9)</f>
        <v>4.4103000000000003</v>
      </c>
      <c r="P108" s="17"/>
      <c r="Q108" s="17"/>
      <c r="R108" s="17"/>
    </row>
    <row r="109" spans="1:18" ht="15" x14ac:dyDescent="0.2">
      <c r="A109" s="16">
        <v>44166</v>
      </c>
      <c r="B109" s="10">
        <f>3.7666 * CHOOSE(CONTROL!$C$32, $C$9, 100%, $E$9)</f>
        <v>3.7665999999999999</v>
      </c>
      <c r="C109" s="10">
        <f>3.7666 * CHOOSE(CONTROL!$C$32, $C$9, 100%, $E$9)</f>
        <v>3.7665999999999999</v>
      </c>
      <c r="D109" s="10">
        <f>3.7676 * CHOOSE(CONTROL!$C$32, $C$9, 100%, $E$9)</f>
        <v>3.7675999999999998</v>
      </c>
      <c r="E109" s="9">
        <f>4.376 * CHOOSE(CONTROL!$C$32, $C$9, 100%, $E$9)</f>
        <v>4.3760000000000003</v>
      </c>
      <c r="F109" s="9">
        <f>4.376 * CHOOSE(CONTROL!$C$32, $C$9, 100%, $E$9)</f>
        <v>4.3760000000000003</v>
      </c>
      <c r="G109" s="9">
        <f>4.3792 * CHOOSE(CONTROL!$C$32, $C$9, 100%, $E$9)</f>
        <v>4.3792</v>
      </c>
      <c r="H109" s="9">
        <f>7.0264 * CHOOSE(CONTROL!$C$32, $C$9, 100%, $E$9)</f>
        <v>7.0263999999999998</v>
      </c>
      <c r="I109" s="9">
        <f>7.0297 * CHOOSE(CONTROL!$C$32, $C$9, 100%, $E$9)</f>
        <v>7.0297000000000001</v>
      </c>
      <c r="J109" s="9">
        <f>7.0264 * CHOOSE(CONTROL!$C$32, $C$9, 100%, $E$9)</f>
        <v>7.0263999999999998</v>
      </c>
      <c r="K109" s="9">
        <f>7.0297 * CHOOSE(CONTROL!$C$32, $C$9, 100%, $E$9)</f>
        <v>7.0297000000000001</v>
      </c>
      <c r="L109" s="9">
        <f>4.376 * CHOOSE(CONTROL!$C$32, $C$9, 100%, $E$9)</f>
        <v>4.3760000000000003</v>
      </c>
      <c r="M109" s="9">
        <f>4.3792 * CHOOSE(CONTROL!$C$32, $C$9, 100%, $E$9)</f>
        <v>4.3792</v>
      </c>
      <c r="N109" s="9">
        <f>4.376 * CHOOSE(CONTROL!$C$32, $C$9, 100%, $E$9)</f>
        <v>4.3760000000000003</v>
      </c>
      <c r="O109" s="9">
        <f>4.3792 * CHOOSE(CONTROL!$C$32, $C$9, 100%, $E$9)</f>
        <v>4.3792</v>
      </c>
      <c r="P109" s="17"/>
      <c r="Q109" s="17"/>
      <c r="R109" s="17"/>
    </row>
    <row r="110" spans="1:18" ht="15" x14ac:dyDescent="0.2">
      <c r="A110" s="16">
        <v>44197</v>
      </c>
      <c r="B110" s="10">
        <f>3.7938 * CHOOSE(CONTROL!$C$32, $C$9, 100%, $E$9)</f>
        <v>3.7938000000000001</v>
      </c>
      <c r="C110" s="10">
        <f>3.7938 * CHOOSE(CONTROL!$C$32, $C$9, 100%, $E$9)</f>
        <v>3.7938000000000001</v>
      </c>
      <c r="D110" s="10">
        <f>3.7947 * CHOOSE(CONTROL!$C$32, $C$9, 100%, $E$9)</f>
        <v>3.7947000000000002</v>
      </c>
      <c r="E110" s="9">
        <f>4.3937 * CHOOSE(CONTROL!$C$32, $C$9, 100%, $E$9)</f>
        <v>4.3936999999999999</v>
      </c>
      <c r="F110" s="9">
        <f>4.3937 * CHOOSE(CONTROL!$C$32, $C$9, 100%, $E$9)</f>
        <v>4.3936999999999999</v>
      </c>
      <c r="G110" s="9">
        <f>4.3969 * CHOOSE(CONTROL!$C$32, $C$9, 100%, $E$9)</f>
        <v>4.3968999999999996</v>
      </c>
      <c r="H110" s="9">
        <f>7.0411 * CHOOSE(CONTROL!$C$32, $C$9, 100%, $E$9)</f>
        <v>7.0411000000000001</v>
      </c>
      <c r="I110" s="9">
        <f>7.0443 * CHOOSE(CONTROL!$C$32, $C$9, 100%, $E$9)</f>
        <v>7.0442999999999998</v>
      </c>
      <c r="J110" s="9">
        <f>7.0411 * CHOOSE(CONTROL!$C$32, $C$9, 100%, $E$9)</f>
        <v>7.0411000000000001</v>
      </c>
      <c r="K110" s="9">
        <f>7.0443 * CHOOSE(CONTROL!$C$32, $C$9, 100%, $E$9)</f>
        <v>7.0442999999999998</v>
      </c>
      <c r="L110" s="9">
        <f>4.3937 * CHOOSE(CONTROL!$C$32, $C$9, 100%, $E$9)</f>
        <v>4.3936999999999999</v>
      </c>
      <c r="M110" s="9">
        <f>4.3969 * CHOOSE(CONTROL!$C$32, $C$9, 100%, $E$9)</f>
        <v>4.3968999999999996</v>
      </c>
      <c r="N110" s="9">
        <f>4.3937 * CHOOSE(CONTROL!$C$32, $C$9, 100%, $E$9)</f>
        <v>4.3936999999999999</v>
      </c>
      <c r="O110" s="9">
        <f>4.3969 * CHOOSE(CONTROL!$C$32, $C$9, 100%, $E$9)</f>
        <v>4.3968999999999996</v>
      </c>
      <c r="P110" s="17"/>
      <c r="Q110" s="17"/>
      <c r="R110" s="17"/>
    </row>
    <row r="111" spans="1:18" ht="15" x14ac:dyDescent="0.2">
      <c r="A111" s="16">
        <v>44228</v>
      </c>
      <c r="B111" s="10">
        <f>3.7907 * CHOOSE(CONTROL!$C$32, $C$9, 100%, $E$9)</f>
        <v>3.7907000000000002</v>
      </c>
      <c r="C111" s="10">
        <f>3.7907 * CHOOSE(CONTROL!$C$32, $C$9, 100%, $E$9)</f>
        <v>3.7907000000000002</v>
      </c>
      <c r="D111" s="10">
        <f>3.7917 * CHOOSE(CONTROL!$C$32, $C$9, 100%, $E$9)</f>
        <v>3.7917000000000001</v>
      </c>
      <c r="E111" s="9">
        <f>4.3314 * CHOOSE(CONTROL!$C$32, $C$9, 100%, $E$9)</f>
        <v>4.3314000000000004</v>
      </c>
      <c r="F111" s="9">
        <f>4.3314 * CHOOSE(CONTROL!$C$32, $C$9, 100%, $E$9)</f>
        <v>4.3314000000000004</v>
      </c>
      <c r="G111" s="9">
        <f>4.3346 * CHOOSE(CONTROL!$C$32, $C$9, 100%, $E$9)</f>
        <v>4.3346</v>
      </c>
      <c r="H111" s="9">
        <f>7.0558 * CHOOSE(CONTROL!$C$32, $C$9, 100%, $E$9)</f>
        <v>7.0557999999999996</v>
      </c>
      <c r="I111" s="9">
        <f>7.059 * CHOOSE(CONTROL!$C$32, $C$9, 100%, $E$9)</f>
        <v>7.0590000000000002</v>
      </c>
      <c r="J111" s="9">
        <f>7.0558 * CHOOSE(CONTROL!$C$32, $C$9, 100%, $E$9)</f>
        <v>7.0557999999999996</v>
      </c>
      <c r="K111" s="9">
        <f>7.059 * CHOOSE(CONTROL!$C$32, $C$9, 100%, $E$9)</f>
        <v>7.0590000000000002</v>
      </c>
      <c r="L111" s="9">
        <f>4.3314 * CHOOSE(CONTROL!$C$32, $C$9, 100%, $E$9)</f>
        <v>4.3314000000000004</v>
      </c>
      <c r="M111" s="9">
        <f>4.3346 * CHOOSE(CONTROL!$C$32, $C$9, 100%, $E$9)</f>
        <v>4.3346</v>
      </c>
      <c r="N111" s="9">
        <f>4.3314 * CHOOSE(CONTROL!$C$32, $C$9, 100%, $E$9)</f>
        <v>4.3314000000000004</v>
      </c>
      <c r="O111" s="9">
        <f>4.3346 * CHOOSE(CONTROL!$C$32, $C$9, 100%, $E$9)</f>
        <v>4.3346</v>
      </c>
      <c r="P111" s="17"/>
      <c r="Q111" s="17"/>
      <c r="R111" s="17"/>
    </row>
    <row r="112" spans="1:18" ht="15" x14ac:dyDescent="0.2">
      <c r="A112" s="16">
        <v>44256</v>
      </c>
      <c r="B112" s="10">
        <f>3.7877 * CHOOSE(CONTROL!$C$32, $C$9, 100%, $E$9)</f>
        <v>3.7877000000000001</v>
      </c>
      <c r="C112" s="10">
        <f>3.7877 * CHOOSE(CONTROL!$C$32, $C$9, 100%, $E$9)</f>
        <v>3.7877000000000001</v>
      </c>
      <c r="D112" s="10">
        <f>3.7886 * CHOOSE(CONTROL!$C$32, $C$9, 100%, $E$9)</f>
        <v>3.7886000000000002</v>
      </c>
      <c r="E112" s="9">
        <f>4.3767 * CHOOSE(CONTROL!$C$32, $C$9, 100%, $E$9)</f>
        <v>4.3766999999999996</v>
      </c>
      <c r="F112" s="9">
        <f>4.3767 * CHOOSE(CONTROL!$C$32, $C$9, 100%, $E$9)</f>
        <v>4.3766999999999996</v>
      </c>
      <c r="G112" s="9">
        <f>4.38 * CHOOSE(CONTROL!$C$32, $C$9, 100%, $E$9)</f>
        <v>4.38</v>
      </c>
      <c r="H112" s="9">
        <f>7.0705 * CHOOSE(CONTROL!$C$32, $C$9, 100%, $E$9)</f>
        <v>7.0705</v>
      </c>
      <c r="I112" s="9">
        <f>7.0737 * CHOOSE(CONTROL!$C$32, $C$9, 100%, $E$9)</f>
        <v>7.0736999999999997</v>
      </c>
      <c r="J112" s="9">
        <f>7.0705 * CHOOSE(CONTROL!$C$32, $C$9, 100%, $E$9)</f>
        <v>7.0705</v>
      </c>
      <c r="K112" s="9">
        <f>7.0737 * CHOOSE(CONTROL!$C$32, $C$9, 100%, $E$9)</f>
        <v>7.0736999999999997</v>
      </c>
      <c r="L112" s="9">
        <f>4.3767 * CHOOSE(CONTROL!$C$32, $C$9, 100%, $E$9)</f>
        <v>4.3766999999999996</v>
      </c>
      <c r="M112" s="9">
        <f>4.38 * CHOOSE(CONTROL!$C$32, $C$9, 100%, $E$9)</f>
        <v>4.38</v>
      </c>
      <c r="N112" s="9">
        <f>4.3767 * CHOOSE(CONTROL!$C$32, $C$9, 100%, $E$9)</f>
        <v>4.3766999999999996</v>
      </c>
      <c r="O112" s="9">
        <f>4.38 * CHOOSE(CONTROL!$C$32, $C$9, 100%, $E$9)</f>
        <v>4.38</v>
      </c>
      <c r="P112" s="17"/>
      <c r="Q112" s="17"/>
      <c r="R112" s="17"/>
    </row>
    <row r="113" spans="1:18" ht="15" x14ac:dyDescent="0.2">
      <c r="A113" s="16">
        <v>44287</v>
      </c>
      <c r="B113" s="10">
        <f>3.7852 * CHOOSE(CONTROL!$C$32, $C$9, 100%, $E$9)</f>
        <v>3.7852000000000001</v>
      </c>
      <c r="C113" s="10">
        <f>3.7852 * CHOOSE(CONTROL!$C$32, $C$9, 100%, $E$9)</f>
        <v>3.7852000000000001</v>
      </c>
      <c r="D113" s="10">
        <f>3.7862 * CHOOSE(CONTROL!$C$32, $C$9, 100%, $E$9)</f>
        <v>3.7862</v>
      </c>
      <c r="E113" s="9">
        <f>4.4234 * CHOOSE(CONTROL!$C$32, $C$9, 100%, $E$9)</f>
        <v>4.4234</v>
      </c>
      <c r="F113" s="9">
        <f>4.4234 * CHOOSE(CONTROL!$C$32, $C$9, 100%, $E$9)</f>
        <v>4.4234</v>
      </c>
      <c r="G113" s="9">
        <f>4.4267 * CHOOSE(CONTROL!$C$32, $C$9, 100%, $E$9)</f>
        <v>4.4267000000000003</v>
      </c>
      <c r="H113" s="9">
        <f>7.0852 * CHOOSE(CONTROL!$C$32, $C$9, 100%, $E$9)</f>
        <v>7.0852000000000004</v>
      </c>
      <c r="I113" s="9">
        <f>7.0884 * CHOOSE(CONTROL!$C$32, $C$9, 100%, $E$9)</f>
        <v>7.0884</v>
      </c>
      <c r="J113" s="9">
        <f>7.0852 * CHOOSE(CONTROL!$C$32, $C$9, 100%, $E$9)</f>
        <v>7.0852000000000004</v>
      </c>
      <c r="K113" s="9">
        <f>7.0884 * CHOOSE(CONTROL!$C$32, $C$9, 100%, $E$9)</f>
        <v>7.0884</v>
      </c>
      <c r="L113" s="9">
        <f>4.4234 * CHOOSE(CONTROL!$C$32, $C$9, 100%, $E$9)</f>
        <v>4.4234</v>
      </c>
      <c r="M113" s="9">
        <f>4.4267 * CHOOSE(CONTROL!$C$32, $C$9, 100%, $E$9)</f>
        <v>4.4267000000000003</v>
      </c>
      <c r="N113" s="9">
        <f>4.4234 * CHOOSE(CONTROL!$C$32, $C$9, 100%, $E$9)</f>
        <v>4.4234</v>
      </c>
      <c r="O113" s="9">
        <f>4.4267 * CHOOSE(CONTROL!$C$32, $C$9, 100%, $E$9)</f>
        <v>4.4267000000000003</v>
      </c>
      <c r="P113" s="17"/>
      <c r="Q113" s="17"/>
      <c r="R113" s="17"/>
    </row>
    <row r="114" spans="1:18" ht="15" x14ac:dyDescent="0.2">
      <c r="A114" s="16">
        <v>44317</v>
      </c>
      <c r="B114" s="10">
        <f>3.7852 * CHOOSE(CONTROL!$C$32, $C$9, 100%, $E$9)</f>
        <v>3.7852000000000001</v>
      </c>
      <c r="C114" s="10">
        <f>3.7852 * CHOOSE(CONTROL!$C$32, $C$9, 100%, $E$9)</f>
        <v>3.7852000000000001</v>
      </c>
      <c r="D114" s="10">
        <f>3.7865 * CHOOSE(CONTROL!$C$32, $C$9, 100%, $E$9)</f>
        <v>3.7865000000000002</v>
      </c>
      <c r="E114" s="9">
        <f>4.4425 * CHOOSE(CONTROL!$C$32, $C$9, 100%, $E$9)</f>
        <v>4.4424999999999999</v>
      </c>
      <c r="F114" s="9">
        <f>4.4425 * CHOOSE(CONTROL!$C$32, $C$9, 100%, $E$9)</f>
        <v>4.4424999999999999</v>
      </c>
      <c r="G114" s="9">
        <f>4.4467 * CHOOSE(CONTROL!$C$32, $C$9, 100%, $E$9)</f>
        <v>4.4466999999999999</v>
      </c>
      <c r="H114" s="9">
        <f>7.0999 * CHOOSE(CONTROL!$C$32, $C$9, 100%, $E$9)</f>
        <v>7.0998999999999999</v>
      </c>
      <c r="I114" s="9">
        <f>7.1041 * CHOOSE(CONTROL!$C$32, $C$9, 100%, $E$9)</f>
        <v>7.1040999999999999</v>
      </c>
      <c r="J114" s="9">
        <f>7.0999 * CHOOSE(CONTROL!$C$32, $C$9, 100%, $E$9)</f>
        <v>7.0998999999999999</v>
      </c>
      <c r="K114" s="9">
        <f>7.1041 * CHOOSE(CONTROL!$C$32, $C$9, 100%, $E$9)</f>
        <v>7.1040999999999999</v>
      </c>
      <c r="L114" s="9">
        <f>4.4425 * CHOOSE(CONTROL!$C$32, $C$9, 100%, $E$9)</f>
        <v>4.4424999999999999</v>
      </c>
      <c r="M114" s="9">
        <f>4.4467 * CHOOSE(CONTROL!$C$32, $C$9, 100%, $E$9)</f>
        <v>4.4466999999999999</v>
      </c>
      <c r="N114" s="9">
        <f>4.4425 * CHOOSE(CONTROL!$C$32, $C$9, 100%, $E$9)</f>
        <v>4.4424999999999999</v>
      </c>
      <c r="O114" s="9">
        <f>4.4467 * CHOOSE(CONTROL!$C$32, $C$9, 100%, $E$9)</f>
        <v>4.4466999999999999</v>
      </c>
      <c r="P114" s="17"/>
      <c r="Q114" s="17"/>
      <c r="R114" s="17"/>
    </row>
    <row r="115" spans="1:18" ht="15" x14ac:dyDescent="0.2">
      <c r="A115" s="16">
        <v>44348</v>
      </c>
      <c r="B115" s="10">
        <f>3.7913 * CHOOSE(CONTROL!$C$32, $C$9, 100%, $E$9)</f>
        <v>3.7913000000000001</v>
      </c>
      <c r="C115" s="10">
        <f>3.7913 * CHOOSE(CONTROL!$C$32, $C$9, 100%, $E$9)</f>
        <v>3.7913000000000001</v>
      </c>
      <c r="D115" s="10">
        <f>3.7925 * CHOOSE(CONTROL!$C$32, $C$9, 100%, $E$9)</f>
        <v>3.7925</v>
      </c>
      <c r="E115" s="9">
        <f>4.4277 * CHOOSE(CONTROL!$C$32, $C$9, 100%, $E$9)</f>
        <v>4.4276999999999997</v>
      </c>
      <c r="F115" s="9">
        <f>4.4277 * CHOOSE(CONTROL!$C$32, $C$9, 100%, $E$9)</f>
        <v>4.4276999999999997</v>
      </c>
      <c r="G115" s="9">
        <f>4.4319 * CHOOSE(CONTROL!$C$32, $C$9, 100%, $E$9)</f>
        <v>4.4318999999999997</v>
      </c>
      <c r="H115" s="9">
        <f>7.1147 * CHOOSE(CONTROL!$C$32, $C$9, 100%, $E$9)</f>
        <v>7.1147</v>
      </c>
      <c r="I115" s="9">
        <f>7.1189 * CHOOSE(CONTROL!$C$32, $C$9, 100%, $E$9)</f>
        <v>7.1189</v>
      </c>
      <c r="J115" s="9">
        <f>7.1147 * CHOOSE(CONTROL!$C$32, $C$9, 100%, $E$9)</f>
        <v>7.1147</v>
      </c>
      <c r="K115" s="9">
        <f>7.1189 * CHOOSE(CONTROL!$C$32, $C$9, 100%, $E$9)</f>
        <v>7.1189</v>
      </c>
      <c r="L115" s="9">
        <f>4.4277 * CHOOSE(CONTROL!$C$32, $C$9, 100%, $E$9)</f>
        <v>4.4276999999999997</v>
      </c>
      <c r="M115" s="9">
        <f>4.4319 * CHOOSE(CONTROL!$C$32, $C$9, 100%, $E$9)</f>
        <v>4.4318999999999997</v>
      </c>
      <c r="N115" s="9">
        <f>4.4277 * CHOOSE(CONTROL!$C$32, $C$9, 100%, $E$9)</f>
        <v>4.4276999999999997</v>
      </c>
      <c r="O115" s="9">
        <f>4.4319 * CHOOSE(CONTROL!$C$32, $C$9, 100%, $E$9)</f>
        <v>4.4318999999999997</v>
      </c>
      <c r="P115" s="17"/>
      <c r="Q115" s="17"/>
      <c r="R115" s="17"/>
    </row>
    <row r="116" spans="1:18" ht="15" x14ac:dyDescent="0.2">
      <c r="A116" s="16">
        <v>44378</v>
      </c>
      <c r="B116" s="10">
        <f>3.8402 * CHOOSE(CONTROL!$C$32, $C$9, 100%, $E$9)</f>
        <v>3.8401999999999998</v>
      </c>
      <c r="C116" s="10">
        <f>3.8402 * CHOOSE(CONTROL!$C$32, $C$9, 100%, $E$9)</f>
        <v>3.8401999999999998</v>
      </c>
      <c r="D116" s="10">
        <f>3.8415 * CHOOSE(CONTROL!$C$32, $C$9, 100%, $E$9)</f>
        <v>3.8414999999999999</v>
      </c>
      <c r="E116" s="9">
        <f>4.4142 * CHOOSE(CONTROL!$C$32, $C$9, 100%, $E$9)</f>
        <v>4.4142000000000001</v>
      </c>
      <c r="F116" s="9">
        <f>4.4142 * CHOOSE(CONTROL!$C$32, $C$9, 100%, $E$9)</f>
        <v>4.4142000000000001</v>
      </c>
      <c r="G116" s="9">
        <f>4.4184 * CHOOSE(CONTROL!$C$32, $C$9, 100%, $E$9)</f>
        <v>4.4184000000000001</v>
      </c>
      <c r="H116" s="9">
        <f>7.1296 * CHOOSE(CONTROL!$C$32, $C$9, 100%, $E$9)</f>
        <v>7.1295999999999999</v>
      </c>
      <c r="I116" s="9">
        <f>7.1338 * CHOOSE(CONTROL!$C$32, $C$9, 100%, $E$9)</f>
        <v>7.1337999999999999</v>
      </c>
      <c r="J116" s="9">
        <f>7.1296 * CHOOSE(CONTROL!$C$32, $C$9, 100%, $E$9)</f>
        <v>7.1295999999999999</v>
      </c>
      <c r="K116" s="9">
        <f>7.1338 * CHOOSE(CONTROL!$C$32, $C$9, 100%, $E$9)</f>
        <v>7.1337999999999999</v>
      </c>
      <c r="L116" s="9">
        <f>4.4142 * CHOOSE(CONTROL!$C$32, $C$9, 100%, $E$9)</f>
        <v>4.4142000000000001</v>
      </c>
      <c r="M116" s="9">
        <f>4.4184 * CHOOSE(CONTROL!$C$32, $C$9, 100%, $E$9)</f>
        <v>4.4184000000000001</v>
      </c>
      <c r="N116" s="9">
        <f>4.4142 * CHOOSE(CONTROL!$C$32, $C$9, 100%, $E$9)</f>
        <v>4.4142000000000001</v>
      </c>
      <c r="O116" s="9">
        <f>4.4184 * CHOOSE(CONTROL!$C$32, $C$9, 100%, $E$9)</f>
        <v>4.4184000000000001</v>
      </c>
      <c r="P116" s="17"/>
      <c r="Q116" s="17"/>
      <c r="R116" s="17"/>
    </row>
    <row r="117" spans="1:18" ht="15" x14ac:dyDescent="0.2">
      <c r="A117" s="16">
        <v>44409</v>
      </c>
      <c r="B117" s="10">
        <f>3.8469 * CHOOSE(CONTROL!$C$32, $C$9, 100%, $E$9)</f>
        <v>3.8469000000000002</v>
      </c>
      <c r="C117" s="10">
        <f>3.8469 * CHOOSE(CONTROL!$C$32, $C$9, 100%, $E$9)</f>
        <v>3.8469000000000002</v>
      </c>
      <c r="D117" s="10">
        <f>3.8482 * CHOOSE(CONTROL!$C$32, $C$9, 100%, $E$9)</f>
        <v>3.8481999999999998</v>
      </c>
      <c r="E117" s="9">
        <f>4.3616 * CHOOSE(CONTROL!$C$32, $C$9, 100%, $E$9)</f>
        <v>4.3616000000000001</v>
      </c>
      <c r="F117" s="9">
        <f>4.3616 * CHOOSE(CONTROL!$C$32, $C$9, 100%, $E$9)</f>
        <v>4.3616000000000001</v>
      </c>
      <c r="G117" s="9">
        <f>4.3658 * CHOOSE(CONTROL!$C$32, $C$9, 100%, $E$9)</f>
        <v>4.3658000000000001</v>
      </c>
      <c r="H117" s="9">
        <f>7.1444 * CHOOSE(CONTROL!$C$32, $C$9, 100%, $E$9)</f>
        <v>7.1444000000000001</v>
      </c>
      <c r="I117" s="9">
        <f>7.1486 * CHOOSE(CONTROL!$C$32, $C$9, 100%, $E$9)</f>
        <v>7.1486000000000001</v>
      </c>
      <c r="J117" s="9">
        <f>7.1444 * CHOOSE(CONTROL!$C$32, $C$9, 100%, $E$9)</f>
        <v>7.1444000000000001</v>
      </c>
      <c r="K117" s="9">
        <f>7.1486 * CHOOSE(CONTROL!$C$32, $C$9, 100%, $E$9)</f>
        <v>7.1486000000000001</v>
      </c>
      <c r="L117" s="9">
        <f>4.3616 * CHOOSE(CONTROL!$C$32, $C$9, 100%, $E$9)</f>
        <v>4.3616000000000001</v>
      </c>
      <c r="M117" s="9">
        <f>4.3658 * CHOOSE(CONTROL!$C$32, $C$9, 100%, $E$9)</f>
        <v>4.3658000000000001</v>
      </c>
      <c r="N117" s="9">
        <f>4.3616 * CHOOSE(CONTROL!$C$32, $C$9, 100%, $E$9)</f>
        <v>4.3616000000000001</v>
      </c>
      <c r="O117" s="9">
        <f>4.3658 * CHOOSE(CONTROL!$C$32, $C$9, 100%, $E$9)</f>
        <v>4.3658000000000001</v>
      </c>
      <c r="P117" s="17"/>
      <c r="Q117" s="17"/>
      <c r="R117" s="17"/>
    </row>
    <row r="118" spans="1:18" ht="15" x14ac:dyDescent="0.2">
      <c r="A118" s="16">
        <v>44440</v>
      </c>
      <c r="B118" s="10">
        <f>3.8439 * CHOOSE(CONTROL!$C$32, $C$9, 100%, $E$9)</f>
        <v>3.8439000000000001</v>
      </c>
      <c r="C118" s="10">
        <f>3.8439 * CHOOSE(CONTROL!$C$32, $C$9, 100%, $E$9)</f>
        <v>3.8439000000000001</v>
      </c>
      <c r="D118" s="10">
        <f>3.8451 * CHOOSE(CONTROL!$C$32, $C$9, 100%, $E$9)</f>
        <v>3.8451</v>
      </c>
      <c r="E118" s="9">
        <f>4.3531 * CHOOSE(CONTROL!$C$32, $C$9, 100%, $E$9)</f>
        <v>4.3531000000000004</v>
      </c>
      <c r="F118" s="9">
        <f>4.3531 * CHOOSE(CONTROL!$C$32, $C$9, 100%, $E$9)</f>
        <v>4.3531000000000004</v>
      </c>
      <c r="G118" s="9">
        <f>4.3573 * CHOOSE(CONTROL!$C$32, $C$9, 100%, $E$9)</f>
        <v>4.3573000000000004</v>
      </c>
      <c r="H118" s="9">
        <f>7.1593 * CHOOSE(CONTROL!$C$32, $C$9, 100%, $E$9)</f>
        <v>7.1593</v>
      </c>
      <c r="I118" s="9">
        <f>7.1635 * CHOOSE(CONTROL!$C$32, $C$9, 100%, $E$9)</f>
        <v>7.1635</v>
      </c>
      <c r="J118" s="9">
        <f>7.1593 * CHOOSE(CONTROL!$C$32, $C$9, 100%, $E$9)</f>
        <v>7.1593</v>
      </c>
      <c r="K118" s="9">
        <f>7.1635 * CHOOSE(CONTROL!$C$32, $C$9, 100%, $E$9)</f>
        <v>7.1635</v>
      </c>
      <c r="L118" s="9">
        <f>4.3531 * CHOOSE(CONTROL!$C$32, $C$9, 100%, $E$9)</f>
        <v>4.3531000000000004</v>
      </c>
      <c r="M118" s="9">
        <f>4.3573 * CHOOSE(CONTROL!$C$32, $C$9, 100%, $E$9)</f>
        <v>4.3573000000000004</v>
      </c>
      <c r="N118" s="9">
        <f>4.3531 * CHOOSE(CONTROL!$C$32, $C$9, 100%, $E$9)</f>
        <v>4.3531000000000004</v>
      </c>
      <c r="O118" s="9">
        <f>4.3573 * CHOOSE(CONTROL!$C$32, $C$9, 100%, $E$9)</f>
        <v>4.3573000000000004</v>
      </c>
      <c r="P118" s="17"/>
      <c r="Q118" s="17"/>
      <c r="R118" s="17"/>
    </row>
    <row r="119" spans="1:18" ht="15" x14ac:dyDescent="0.2">
      <c r="A119" s="16">
        <v>44470</v>
      </c>
      <c r="B119" s="10">
        <f>3.8386 * CHOOSE(CONTROL!$C$32, $C$9, 100%, $E$9)</f>
        <v>3.8386</v>
      </c>
      <c r="C119" s="10">
        <f>3.8386 * CHOOSE(CONTROL!$C$32, $C$9, 100%, $E$9)</f>
        <v>3.8386</v>
      </c>
      <c r="D119" s="10">
        <f>3.8396 * CHOOSE(CONTROL!$C$32, $C$9, 100%, $E$9)</f>
        <v>3.8395999999999999</v>
      </c>
      <c r="E119" s="9">
        <f>4.3651 * CHOOSE(CONTROL!$C$32, $C$9, 100%, $E$9)</f>
        <v>4.3651</v>
      </c>
      <c r="F119" s="9">
        <f>4.3651 * CHOOSE(CONTROL!$C$32, $C$9, 100%, $E$9)</f>
        <v>4.3651</v>
      </c>
      <c r="G119" s="9">
        <f>4.3684 * CHOOSE(CONTROL!$C$32, $C$9, 100%, $E$9)</f>
        <v>4.3684000000000003</v>
      </c>
      <c r="H119" s="9">
        <f>7.1742 * CHOOSE(CONTROL!$C$32, $C$9, 100%, $E$9)</f>
        <v>7.1741999999999999</v>
      </c>
      <c r="I119" s="9">
        <f>7.1774 * CHOOSE(CONTROL!$C$32, $C$9, 100%, $E$9)</f>
        <v>7.1773999999999996</v>
      </c>
      <c r="J119" s="9">
        <f>7.1742 * CHOOSE(CONTROL!$C$32, $C$9, 100%, $E$9)</f>
        <v>7.1741999999999999</v>
      </c>
      <c r="K119" s="9">
        <f>7.1774 * CHOOSE(CONTROL!$C$32, $C$9, 100%, $E$9)</f>
        <v>7.1773999999999996</v>
      </c>
      <c r="L119" s="9">
        <f>4.3651 * CHOOSE(CONTROL!$C$32, $C$9, 100%, $E$9)</f>
        <v>4.3651</v>
      </c>
      <c r="M119" s="9">
        <f>4.3684 * CHOOSE(CONTROL!$C$32, $C$9, 100%, $E$9)</f>
        <v>4.3684000000000003</v>
      </c>
      <c r="N119" s="9">
        <f>4.3651 * CHOOSE(CONTROL!$C$32, $C$9, 100%, $E$9)</f>
        <v>4.3651</v>
      </c>
      <c r="O119" s="9">
        <f>4.3684 * CHOOSE(CONTROL!$C$32, $C$9, 100%, $E$9)</f>
        <v>4.3684000000000003</v>
      </c>
      <c r="P119" s="17"/>
      <c r="Q119" s="17"/>
      <c r="R119" s="17"/>
    </row>
    <row r="120" spans="1:18" ht="15" x14ac:dyDescent="0.2">
      <c r="A120" s="16">
        <v>44501</v>
      </c>
      <c r="B120" s="10">
        <f>3.8417 * CHOOSE(CONTROL!$C$32, $C$9, 100%, $E$9)</f>
        <v>3.8416999999999999</v>
      </c>
      <c r="C120" s="10">
        <f>3.8417 * CHOOSE(CONTROL!$C$32, $C$9, 100%, $E$9)</f>
        <v>3.8416999999999999</v>
      </c>
      <c r="D120" s="10">
        <f>3.8426 * CHOOSE(CONTROL!$C$32, $C$9, 100%, $E$9)</f>
        <v>3.8426</v>
      </c>
      <c r="E120" s="9">
        <f>4.38 * CHOOSE(CONTROL!$C$32, $C$9, 100%, $E$9)</f>
        <v>4.38</v>
      </c>
      <c r="F120" s="9">
        <f>4.38 * CHOOSE(CONTROL!$C$32, $C$9, 100%, $E$9)</f>
        <v>4.38</v>
      </c>
      <c r="G120" s="9">
        <f>4.3832 * CHOOSE(CONTROL!$C$32, $C$9, 100%, $E$9)</f>
        <v>4.3832000000000004</v>
      </c>
      <c r="H120" s="9">
        <f>7.1892 * CHOOSE(CONTROL!$C$32, $C$9, 100%, $E$9)</f>
        <v>7.1891999999999996</v>
      </c>
      <c r="I120" s="9">
        <f>7.1924 * CHOOSE(CONTROL!$C$32, $C$9, 100%, $E$9)</f>
        <v>7.1924000000000001</v>
      </c>
      <c r="J120" s="9">
        <f>7.1892 * CHOOSE(CONTROL!$C$32, $C$9, 100%, $E$9)</f>
        <v>7.1891999999999996</v>
      </c>
      <c r="K120" s="9">
        <f>7.1924 * CHOOSE(CONTROL!$C$32, $C$9, 100%, $E$9)</f>
        <v>7.1924000000000001</v>
      </c>
      <c r="L120" s="9">
        <f>4.38 * CHOOSE(CONTROL!$C$32, $C$9, 100%, $E$9)</f>
        <v>4.38</v>
      </c>
      <c r="M120" s="9">
        <f>4.3832 * CHOOSE(CONTROL!$C$32, $C$9, 100%, $E$9)</f>
        <v>4.3832000000000004</v>
      </c>
      <c r="N120" s="9">
        <f>4.38 * CHOOSE(CONTROL!$C$32, $C$9, 100%, $E$9)</f>
        <v>4.38</v>
      </c>
      <c r="O120" s="9">
        <f>4.3832 * CHOOSE(CONTROL!$C$32, $C$9, 100%, $E$9)</f>
        <v>4.3832000000000004</v>
      </c>
      <c r="P120" s="17"/>
      <c r="Q120" s="17"/>
      <c r="R120" s="17"/>
    </row>
    <row r="121" spans="1:18" ht="15" x14ac:dyDescent="0.2">
      <c r="A121" s="16">
        <v>44531</v>
      </c>
      <c r="B121" s="10">
        <f>3.8417 * CHOOSE(CONTROL!$C$32, $C$9, 100%, $E$9)</f>
        <v>3.8416999999999999</v>
      </c>
      <c r="C121" s="10">
        <f>3.8417 * CHOOSE(CONTROL!$C$32, $C$9, 100%, $E$9)</f>
        <v>3.8416999999999999</v>
      </c>
      <c r="D121" s="10">
        <f>3.8426 * CHOOSE(CONTROL!$C$32, $C$9, 100%, $E$9)</f>
        <v>3.8426</v>
      </c>
      <c r="E121" s="9">
        <f>4.3481 * CHOOSE(CONTROL!$C$32, $C$9, 100%, $E$9)</f>
        <v>4.3480999999999996</v>
      </c>
      <c r="F121" s="9">
        <f>4.3481 * CHOOSE(CONTROL!$C$32, $C$9, 100%, $E$9)</f>
        <v>4.3480999999999996</v>
      </c>
      <c r="G121" s="9">
        <f>4.3514 * CHOOSE(CONTROL!$C$32, $C$9, 100%, $E$9)</f>
        <v>4.3513999999999999</v>
      </c>
      <c r="H121" s="9">
        <f>7.2041 * CHOOSE(CONTROL!$C$32, $C$9, 100%, $E$9)</f>
        <v>7.2041000000000004</v>
      </c>
      <c r="I121" s="9">
        <f>7.2074 * CHOOSE(CONTROL!$C$32, $C$9, 100%, $E$9)</f>
        <v>7.2073999999999998</v>
      </c>
      <c r="J121" s="9">
        <f>7.2041 * CHOOSE(CONTROL!$C$32, $C$9, 100%, $E$9)</f>
        <v>7.2041000000000004</v>
      </c>
      <c r="K121" s="9">
        <f>7.2074 * CHOOSE(CONTROL!$C$32, $C$9, 100%, $E$9)</f>
        <v>7.2073999999999998</v>
      </c>
      <c r="L121" s="9">
        <f>4.3481 * CHOOSE(CONTROL!$C$32, $C$9, 100%, $E$9)</f>
        <v>4.3480999999999996</v>
      </c>
      <c r="M121" s="9">
        <f>4.3514 * CHOOSE(CONTROL!$C$32, $C$9, 100%, $E$9)</f>
        <v>4.3513999999999999</v>
      </c>
      <c r="N121" s="9">
        <f>4.3481 * CHOOSE(CONTROL!$C$32, $C$9, 100%, $E$9)</f>
        <v>4.3480999999999996</v>
      </c>
      <c r="O121" s="9">
        <f>4.3514 * CHOOSE(CONTROL!$C$32, $C$9, 100%, $E$9)</f>
        <v>4.3513999999999999</v>
      </c>
      <c r="P121" s="17"/>
      <c r="Q121" s="17"/>
      <c r="R121" s="17"/>
    </row>
    <row r="122" spans="1:18" ht="15" x14ac:dyDescent="0.2">
      <c r="A122" s="16">
        <v>44562</v>
      </c>
      <c r="B122" s="10">
        <f>3.8771 * CHOOSE(CONTROL!$C$32, $C$9, 100%, $E$9)</f>
        <v>3.8771</v>
      </c>
      <c r="C122" s="10">
        <f>3.8771 * CHOOSE(CONTROL!$C$32, $C$9, 100%, $E$9)</f>
        <v>3.8771</v>
      </c>
      <c r="D122" s="10">
        <f>3.878 * CHOOSE(CONTROL!$C$32, $C$9, 100%, $E$9)</f>
        <v>3.8780000000000001</v>
      </c>
      <c r="E122" s="9">
        <f>4.4143 * CHOOSE(CONTROL!$C$32, $C$9, 100%, $E$9)</f>
        <v>4.4142999999999999</v>
      </c>
      <c r="F122" s="9">
        <f>4.4143 * CHOOSE(CONTROL!$C$32, $C$9, 100%, $E$9)</f>
        <v>4.4142999999999999</v>
      </c>
      <c r="G122" s="9">
        <f>4.4175 * CHOOSE(CONTROL!$C$32, $C$9, 100%, $E$9)</f>
        <v>4.4175000000000004</v>
      </c>
      <c r="H122" s="9">
        <f>7.2191 * CHOOSE(CONTROL!$C$32, $C$9, 100%, $E$9)</f>
        <v>7.2191000000000001</v>
      </c>
      <c r="I122" s="9">
        <f>7.2224 * CHOOSE(CONTROL!$C$32, $C$9, 100%, $E$9)</f>
        <v>7.2224000000000004</v>
      </c>
      <c r="J122" s="9">
        <f>7.2191 * CHOOSE(CONTROL!$C$32, $C$9, 100%, $E$9)</f>
        <v>7.2191000000000001</v>
      </c>
      <c r="K122" s="9">
        <f>7.2224 * CHOOSE(CONTROL!$C$32, $C$9, 100%, $E$9)</f>
        <v>7.2224000000000004</v>
      </c>
      <c r="L122" s="9">
        <f>4.4143 * CHOOSE(CONTROL!$C$32, $C$9, 100%, $E$9)</f>
        <v>4.4142999999999999</v>
      </c>
      <c r="M122" s="9">
        <f>4.4175 * CHOOSE(CONTROL!$C$32, $C$9, 100%, $E$9)</f>
        <v>4.4175000000000004</v>
      </c>
      <c r="N122" s="9">
        <f>4.4143 * CHOOSE(CONTROL!$C$32, $C$9, 100%, $E$9)</f>
        <v>4.4142999999999999</v>
      </c>
      <c r="O122" s="9">
        <f>4.4175 * CHOOSE(CONTROL!$C$32, $C$9, 100%, $E$9)</f>
        <v>4.4175000000000004</v>
      </c>
      <c r="P122" s="17"/>
      <c r="Q122" s="17"/>
      <c r="R122" s="17"/>
    </row>
    <row r="123" spans="1:18" ht="15" x14ac:dyDescent="0.2">
      <c r="A123" s="16">
        <v>44593</v>
      </c>
      <c r="B123" s="10">
        <f>3.874 * CHOOSE(CONTROL!$C$32, $C$9, 100%, $E$9)</f>
        <v>3.8740000000000001</v>
      </c>
      <c r="C123" s="10">
        <f>3.874 * CHOOSE(CONTROL!$C$32, $C$9, 100%, $E$9)</f>
        <v>3.8740000000000001</v>
      </c>
      <c r="D123" s="10">
        <f>3.875 * CHOOSE(CONTROL!$C$32, $C$9, 100%, $E$9)</f>
        <v>3.875</v>
      </c>
      <c r="E123" s="9">
        <f>4.3499 * CHOOSE(CONTROL!$C$32, $C$9, 100%, $E$9)</f>
        <v>4.3498999999999999</v>
      </c>
      <c r="F123" s="9">
        <f>4.3499 * CHOOSE(CONTROL!$C$32, $C$9, 100%, $E$9)</f>
        <v>4.3498999999999999</v>
      </c>
      <c r="G123" s="9">
        <f>4.3531 * CHOOSE(CONTROL!$C$32, $C$9, 100%, $E$9)</f>
        <v>4.3531000000000004</v>
      </c>
      <c r="H123" s="9">
        <f>7.2342 * CHOOSE(CONTROL!$C$32, $C$9, 100%, $E$9)</f>
        <v>7.2342000000000004</v>
      </c>
      <c r="I123" s="9">
        <f>7.2374 * CHOOSE(CONTROL!$C$32, $C$9, 100%, $E$9)</f>
        <v>7.2374000000000001</v>
      </c>
      <c r="J123" s="9">
        <f>7.2342 * CHOOSE(CONTROL!$C$32, $C$9, 100%, $E$9)</f>
        <v>7.2342000000000004</v>
      </c>
      <c r="K123" s="9">
        <f>7.2374 * CHOOSE(CONTROL!$C$32, $C$9, 100%, $E$9)</f>
        <v>7.2374000000000001</v>
      </c>
      <c r="L123" s="9">
        <f>4.3499 * CHOOSE(CONTROL!$C$32, $C$9, 100%, $E$9)</f>
        <v>4.3498999999999999</v>
      </c>
      <c r="M123" s="9">
        <f>4.3531 * CHOOSE(CONTROL!$C$32, $C$9, 100%, $E$9)</f>
        <v>4.3531000000000004</v>
      </c>
      <c r="N123" s="9">
        <f>4.3499 * CHOOSE(CONTROL!$C$32, $C$9, 100%, $E$9)</f>
        <v>4.3498999999999999</v>
      </c>
      <c r="O123" s="9">
        <f>4.3531 * CHOOSE(CONTROL!$C$32, $C$9, 100%, $E$9)</f>
        <v>4.3531000000000004</v>
      </c>
      <c r="P123" s="17"/>
      <c r="Q123" s="17"/>
      <c r="R123" s="17"/>
    </row>
    <row r="124" spans="1:18" ht="15" x14ac:dyDescent="0.2">
      <c r="A124" s="16">
        <v>44621</v>
      </c>
      <c r="B124" s="10">
        <f>3.871 * CHOOSE(CONTROL!$C$32, $C$9, 100%, $E$9)</f>
        <v>3.871</v>
      </c>
      <c r="C124" s="10">
        <f>3.871 * CHOOSE(CONTROL!$C$32, $C$9, 100%, $E$9)</f>
        <v>3.871</v>
      </c>
      <c r="D124" s="10">
        <f>3.8719 * CHOOSE(CONTROL!$C$32, $C$9, 100%, $E$9)</f>
        <v>3.8719000000000001</v>
      </c>
      <c r="E124" s="9">
        <f>4.3968 * CHOOSE(CONTROL!$C$32, $C$9, 100%, $E$9)</f>
        <v>4.3967999999999998</v>
      </c>
      <c r="F124" s="9">
        <f>4.3968 * CHOOSE(CONTROL!$C$32, $C$9, 100%, $E$9)</f>
        <v>4.3967999999999998</v>
      </c>
      <c r="G124" s="9">
        <f>4.4001 * CHOOSE(CONTROL!$C$32, $C$9, 100%, $E$9)</f>
        <v>4.4001000000000001</v>
      </c>
      <c r="H124" s="9">
        <f>7.2493 * CHOOSE(CONTROL!$C$32, $C$9, 100%, $E$9)</f>
        <v>7.2492999999999999</v>
      </c>
      <c r="I124" s="9">
        <f>7.2525 * CHOOSE(CONTROL!$C$32, $C$9, 100%, $E$9)</f>
        <v>7.2525000000000004</v>
      </c>
      <c r="J124" s="9">
        <f>7.2493 * CHOOSE(CONTROL!$C$32, $C$9, 100%, $E$9)</f>
        <v>7.2492999999999999</v>
      </c>
      <c r="K124" s="9">
        <f>7.2525 * CHOOSE(CONTROL!$C$32, $C$9, 100%, $E$9)</f>
        <v>7.2525000000000004</v>
      </c>
      <c r="L124" s="9">
        <f>4.3968 * CHOOSE(CONTROL!$C$32, $C$9, 100%, $E$9)</f>
        <v>4.3967999999999998</v>
      </c>
      <c r="M124" s="9">
        <f>4.4001 * CHOOSE(CONTROL!$C$32, $C$9, 100%, $E$9)</f>
        <v>4.4001000000000001</v>
      </c>
      <c r="N124" s="9">
        <f>4.3968 * CHOOSE(CONTROL!$C$32, $C$9, 100%, $E$9)</f>
        <v>4.3967999999999998</v>
      </c>
      <c r="O124" s="9">
        <f>4.4001 * CHOOSE(CONTROL!$C$32, $C$9, 100%, $E$9)</f>
        <v>4.4001000000000001</v>
      </c>
      <c r="P124" s="17"/>
      <c r="Q124" s="17"/>
      <c r="R124" s="17"/>
    </row>
    <row r="125" spans="1:18" ht="15" x14ac:dyDescent="0.2">
      <c r="A125" s="16">
        <v>44652</v>
      </c>
      <c r="B125" s="10">
        <f>3.8686 * CHOOSE(CONTROL!$C$32, $C$9, 100%, $E$9)</f>
        <v>3.8685999999999998</v>
      </c>
      <c r="C125" s="10">
        <f>3.8686 * CHOOSE(CONTROL!$C$32, $C$9, 100%, $E$9)</f>
        <v>3.8685999999999998</v>
      </c>
      <c r="D125" s="10">
        <f>3.8696 * CHOOSE(CONTROL!$C$32, $C$9, 100%, $E$9)</f>
        <v>3.8696000000000002</v>
      </c>
      <c r="E125" s="9">
        <f>4.4453 * CHOOSE(CONTROL!$C$32, $C$9, 100%, $E$9)</f>
        <v>4.4452999999999996</v>
      </c>
      <c r="F125" s="9">
        <f>4.4453 * CHOOSE(CONTROL!$C$32, $C$9, 100%, $E$9)</f>
        <v>4.4452999999999996</v>
      </c>
      <c r="G125" s="9">
        <f>4.4486 * CHOOSE(CONTROL!$C$32, $C$9, 100%, $E$9)</f>
        <v>4.4485999999999999</v>
      </c>
      <c r="H125" s="9">
        <f>7.2644 * CHOOSE(CONTROL!$C$32, $C$9, 100%, $E$9)</f>
        <v>7.2644000000000002</v>
      </c>
      <c r="I125" s="9">
        <f>7.2676 * CHOOSE(CONTROL!$C$32, $C$9, 100%, $E$9)</f>
        <v>7.2675999999999998</v>
      </c>
      <c r="J125" s="9">
        <f>7.2644 * CHOOSE(CONTROL!$C$32, $C$9, 100%, $E$9)</f>
        <v>7.2644000000000002</v>
      </c>
      <c r="K125" s="9">
        <f>7.2676 * CHOOSE(CONTROL!$C$32, $C$9, 100%, $E$9)</f>
        <v>7.2675999999999998</v>
      </c>
      <c r="L125" s="9">
        <f>4.4453 * CHOOSE(CONTROL!$C$32, $C$9, 100%, $E$9)</f>
        <v>4.4452999999999996</v>
      </c>
      <c r="M125" s="9">
        <f>4.4486 * CHOOSE(CONTROL!$C$32, $C$9, 100%, $E$9)</f>
        <v>4.4485999999999999</v>
      </c>
      <c r="N125" s="9">
        <f>4.4453 * CHOOSE(CONTROL!$C$32, $C$9, 100%, $E$9)</f>
        <v>4.4452999999999996</v>
      </c>
      <c r="O125" s="9">
        <f>4.4486 * CHOOSE(CONTROL!$C$32, $C$9, 100%, $E$9)</f>
        <v>4.4485999999999999</v>
      </c>
      <c r="P125" s="17"/>
      <c r="Q125" s="17"/>
      <c r="R125" s="17"/>
    </row>
    <row r="126" spans="1:18" ht="15" x14ac:dyDescent="0.2">
      <c r="A126" s="16">
        <v>44682</v>
      </c>
      <c r="B126" s="10">
        <f>3.8686 * CHOOSE(CONTROL!$C$32, $C$9, 100%, $E$9)</f>
        <v>3.8685999999999998</v>
      </c>
      <c r="C126" s="10">
        <f>3.8686 * CHOOSE(CONTROL!$C$32, $C$9, 100%, $E$9)</f>
        <v>3.8685999999999998</v>
      </c>
      <c r="D126" s="10">
        <f>3.8698 * CHOOSE(CONTROL!$C$32, $C$9, 100%, $E$9)</f>
        <v>3.8698000000000001</v>
      </c>
      <c r="E126" s="9">
        <f>4.4651 * CHOOSE(CONTROL!$C$32, $C$9, 100%, $E$9)</f>
        <v>4.4650999999999996</v>
      </c>
      <c r="F126" s="9">
        <f>4.4651 * CHOOSE(CONTROL!$C$32, $C$9, 100%, $E$9)</f>
        <v>4.4650999999999996</v>
      </c>
      <c r="G126" s="9">
        <f>4.4693 * CHOOSE(CONTROL!$C$32, $C$9, 100%, $E$9)</f>
        <v>4.4692999999999996</v>
      </c>
      <c r="H126" s="9">
        <f>7.2795 * CHOOSE(CONTROL!$C$32, $C$9, 100%, $E$9)</f>
        <v>7.2794999999999996</v>
      </c>
      <c r="I126" s="9">
        <f>7.2837 * CHOOSE(CONTROL!$C$32, $C$9, 100%, $E$9)</f>
        <v>7.2836999999999996</v>
      </c>
      <c r="J126" s="9">
        <f>7.2795 * CHOOSE(CONTROL!$C$32, $C$9, 100%, $E$9)</f>
        <v>7.2794999999999996</v>
      </c>
      <c r="K126" s="9">
        <f>7.2837 * CHOOSE(CONTROL!$C$32, $C$9, 100%, $E$9)</f>
        <v>7.2836999999999996</v>
      </c>
      <c r="L126" s="9">
        <f>4.4651 * CHOOSE(CONTROL!$C$32, $C$9, 100%, $E$9)</f>
        <v>4.4650999999999996</v>
      </c>
      <c r="M126" s="9">
        <f>4.4693 * CHOOSE(CONTROL!$C$32, $C$9, 100%, $E$9)</f>
        <v>4.4692999999999996</v>
      </c>
      <c r="N126" s="9">
        <f>4.4651 * CHOOSE(CONTROL!$C$32, $C$9, 100%, $E$9)</f>
        <v>4.4650999999999996</v>
      </c>
      <c r="O126" s="9">
        <f>4.4693 * CHOOSE(CONTROL!$C$32, $C$9, 100%, $E$9)</f>
        <v>4.4692999999999996</v>
      </c>
      <c r="P126" s="17"/>
      <c r="Q126" s="17"/>
      <c r="R126" s="17"/>
    </row>
    <row r="127" spans="1:18" ht="15" x14ac:dyDescent="0.2">
      <c r="A127" s="16">
        <v>44713</v>
      </c>
      <c r="B127" s="10">
        <f>3.8747 * CHOOSE(CONTROL!$C$32, $C$9, 100%, $E$9)</f>
        <v>3.8746999999999998</v>
      </c>
      <c r="C127" s="10">
        <f>3.8747 * CHOOSE(CONTROL!$C$32, $C$9, 100%, $E$9)</f>
        <v>3.8746999999999998</v>
      </c>
      <c r="D127" s="10">
        <f>3.8759 * CHOOSE(CONTROL!$C$32, $C$9, 100%, $E$9)</f>
        <v>3.8759000000000001</v>
      </c>
      <c r="E127" s="9">
        <f>4.4496 * CHOOSE(CONTROL!$C$32, $C$9, 100%, $E$9)</f>
        <v>4.4496000000000002</v>
      </c>
      <c r="F127" s="9">
        <f>4.4496 * CHOOSE(CONTROL!$C$32, $C$9, 100%, $E$9)</f>
        <v>4.4496000000000002</v>
      </c>
      <c r="G127" s="9">
        <f>4.4538 * CHOOSE(CONTROL!$C$32, $C$9, 100%, $E$9)</f>
        <v>4.4538000000000002</v>
      </c>
      <c r="H127" s="9">
        <f>7.2947 * CHOOSE(CONTROL!$C$32, $C$9, 100%, $E$9)</f>
        <v>7.2946999999999997</v>
      </c>
      <c r="I127" s="9">
        <f>7.2989 * CHOOSE(CONTROL!$C$32, $C$9, 100%, $E$9)</f>
        <v>7.2988999999999997</v>
      </c>
      <c r="J127" s="9">
        <f>7.2947 * CHOOSE(CONTROL!$C$32, $C$9, 100%, $E$9)</f>
        <v>7.2946999999999997</v>
      </c>
      <c r="K127" s="9">
        <f>7.2989 * CHOOSE(CONTROL!$C$32, $C$9, 100%, $E$9)</f>
        <v>7.2988999999999997</v>
      </c>
      <c r="L127" s="9">
        <f>4.4496 * CHOOSE(CONTROL!$C$32, $C$9, 100%, $E$9)</f>
        <v>4.4496000000000002</v>
      </c>
      <c r="M127" s="9">
        <f>4.4538 * CHOOSE(CONTROL!$C$32, $C$9, 100%, $E$9)</f>
        <v>4.4538000000000002</v>
      </c>
      <c r="N127" s="9">
        <f>4.4496 * CHOOSE(CONTROL!$C$32, $C$9, 100%, $E$9)</f>
        <v>4.4496000000000002</v>
      </c>
      <c r="O127" s="9">
        <f>4.4538 * CHOOSE(CONTROL!$C$32, $C$9, 100%, $E$9)</f>
        <v>4.4538000000000002</v>
      </c>
      <c r="P127" s="17"/>
      <c r="Q127" s="17"/>
      <c r="R127" s="17"/>
    </row>
    <row r="128" spans="1:18" ht="15" x14ac:dyDescent="0.2">
      <c r="A128" s="16">
        <v>44743</v>
      </c>
      <c r="B128" s="10">
        <f>3.9387 * CHOOSE(CONTROL!$C$32, $C$9, 100%, $E$9)</f>
        <v>3.9386999999999999</v>
      </c>
      <c r="C128" s="10">
        <f>3.9387 * CHOOSE(CONTROL!$C$32, $C$9, 100%, $E$9)</f>
        <v>3.9386999999999999</v>
      </c>
      <c r="D128" s="10">
        <f>3.9399 * CHOOSE(CONTROL!$C$32, $C$9, 100%, $E$9)</f>
        <v>3.9399000000000002</v>
      </c>
      <c r="E128" s="9">
        <f>4.5339 * CHOOSE(CONTROL!$C$32, $C$9, 100%, $E$9)</f>
        <v>4.5339</v>
      </c>
      <c r="F128" s="9">
        <f>4.5339 * CHOOSE(CONTROL!$C$32, $C$9, 100%, $E$9)</f>
        <v>4.5339</v>
      </c>
      <c r="G128" s="9">
        <f>4.5381 * CHOOSE(CONTROL!$C$32, $C$9, 100%, $E$9)</f>
        <v>4.5381</v>
      </c>
      <c r="H128" s="9">
        <f>7.3099 * CHOOSE(CONTROL!$C$32, $C$9, 100%, $E$9)</f>
        <v>7.3098999999999998</v>
      </c>
      <c r="I128" s="9">
        <f>7.3141 * CHOOSE(CONTROL!$C$32, $C$9, 100%, $E$9)</f>
        <v>7.3140999999999998</v>
      </c>
      <c r="J128" s="9">
        <f>7.3099 * CHOOSE(CONTROL!$C$32, $C$9, 100%, $E$9)</f>
        <v>7.3098999999999998</v>
      </c>
      <c r="K128" s="9">
        <f>7.3141 * CHOOSE(CONTROL!$C$32, $C$9, 100%, $E$9)</f>
        <v>7.3140999999999998</v>
      </c>
      <c r="L128" s="9">
        <f>4.5339 * CHOOSE(CONTROL!$C$32, $C$9, 100%, $E$9)</f>
        <v>4.5339</v>
      </c>
      <c r="M128" s="9">
        <f>4.5381 * CHOOSE(CONTROL!$C$32, $C$9, 100%, $E$9)</f>
        <v>4.5381</v>
      </c>
      <c r="N128" s="9">
        <f>4.5339 * CHOOSE(CONTROL!$C$32, $C$9, 100%, $E$9)</f>
        <v>4.5339</v>
      </c>
      <c r="O128" s="9">
        <f>4.5381 * CHOOSE(CONTROL!$C$32, $C$9, 100%, $E$9)</f>
        <v>4.5381</v>
      </c>
      <c r="P128" s="17"/>
      <c r="Q128" s="17"/>
      <c r="R128" s="17"/>
    </row>
    <row r="129" spans="1:18" ht="15" x14ac:dyDescent="0.2">
      <c r="A129" s="16">
        <v>44774</v>
      </c>
      <c r="B129" s="10">
        <f>3.9454 * CHOOSE(CONTROL!$C$32, $C$9, 100%, $E$9)</f>
        <v>3.9453999999999998</v>
      </c>
      <c r="C129" s="10">
        <f>3.9454 * CHOOSE(CONTROL!$C$32, $C$9, 100%, $E$9)</f>
        <v>3.9453999999999998</v>
      </c>
      <c r="D129" s="10">
        <f>3.9466 * CHOOSE(CONTROL!$C$32, $C$9, 100%, $E$9)</f>
        <v>3.9466000000000001</v>
      </c>
      <c r="E129" s="9">
        <f>4.4792 * CHOOSE(CONTROL!$C$32, $C$9, 100%, $E$9)</f>
        <v>4.4791999999999996</v>
      </c>
      <c r="F129" s="9">
        <f>4.4792 * CHOOSE(CONTROL!$C$32, $C$9, 100%, $E$9)</f>
        <v>4.4791999999999996</v>
      </c>
      <c r="G129" s="9">
        <f>4.4834 * CHOOSE(CONTROL!$C$32, $C$9, 100%, $E$9)</f>
        <v>4.4833999999999996</v>
      </c>
      <c r="H129" s="9">
        <f>7.3251 * CHOOSE(CONTROL!$C$32, $C$9, 100%, $E$9)</f>
        <v>7.3250999999999999</v>
      </c>
      <c r="I129" s="9">
        <f>7.3293 * CHOOSE(CONTROL!$C$32, $C$9, 100%, $E$9)</f>
        <v>7.3292999999999999</v>
      </c>
      <c r="J129" s="9">
        <f>7.3251 * CHOOSE(CONTROL!$C$32, $C$9, 100%, $E$9)</f>
        <v>7.3250999999999999</v>
      </c>
      <c r="K129" s="9">
        <f>7.3293 * CHOOSE(CONTROL!$C$32, $C$9, 100%, $E$9)</f>
        <v>7.3292999999999999</v>
      </c>
      <c r="L129" s="9">
        <f>4.4792 * CHOOSE(CONTROL!$C$32, $C$9, 100%, $E$9)</f>
        <v>4.4791999999999996</v>
      </c>
      <c r="M129" s="9">
        <f>4.4834 * CHOOSE(CONTROL!$C$32, $C$9, 100%, $E$9)</f>
        <v>4.4833999999999996</v>
      </c>
      <c r="N129" s="9">
        <f>4.4792 * CHOOSE(CONTROL!$C$32, $C$9, 100%, $E$9)</f>
        <v>4.4791999999999996</v>
      </c>
      <c r="O129" s="9">
        <f>4.4834 * CHOOSE(CONTROL!$C$32, $C$9, 100%, $E$9)</f>
        <v>4.4833999999999996</v>
      </c>
      <c r="P129" s="17"/>
      <c r="Q129" s="17"/>
      <c r="R129" s="17"/>
    </row>
    <row r="130" spans="1:18" ht="15" x14ac:dyDescent="0.2">
      <c r="A130" s="16">
        <v>44805</v>
      </c>
      <c r="B130" s="10">
        <f>3.9423 * CHOOSE(CONTROL!$C$32, $C$9, 100%, $E$9)</f>
        <v>3.9422999999999999</v>
      </c>
      <c r="C130" s="10">
        <f>3.9423 * CHOOSE(CONTROL!$C$32, $C$9, 100%, $E$9)</f>
        <v>3.9422999999999999</v>
      </c>
      <c r="D130" s="10">
        <f>3.9436 * CHOOSE(CONTROL!$C$32, $C$9, 100%, $E$9)</f>
        <v>3.9436</v>
      </c>
      <c r="E130" s="9">
        <f>4.4705 * CHOOSE(CONTROL!$C$32, $C$9, 100%, $E$9)</f>
        <v>4.4705000000000004</v>
      </c>
      <c r="F130" s="9">
        <f>4.4705 * CHOOSE(CONTROL!$C$32, $C$9, 100%, $E$9)</f>
        <v>4.4705000000000004</v>
      </c>
      <c r="G130" s="9">
        <f>4.4747 * CHOOSE(CONTROL!$C$32, $C$9, 100%, $E$9)</f>
        <v>4.4747000000000003</v>
      </c>
      <c r="H130" s="9">
        <f>7.3403 * CHOOSE(CONTROL!$C$32, $C$9, 100%, $E$9)</f>
        <v>7.3403</v>
      </c>
      <c r="I130" s="9">
        <f>7.3445 * CHOOSE(CONTROL!$C$32, $C$9, 100%, $E$9)</f>
        <v>7.3445</v>
      </c>
      <c r="J130" s="9">
        <f>7.3403 * CHOOSE(CONTROL!$C$32, $C$9, 100%, $E$9)</f>
        <v>7.3403</v>
      </c>
      <c r="K130" s="9">
        <f>7.3445 * CHOOSE(CONTROL!$C$32, $C$9, 100%, $E$9)</f>
        <v>7.3445</v>
      </c>
      <c r="L130" s="9">
        <f>4.4705 * CHOOSE(CONTROL!$C$32, $C$9, 100%, $E$9)</f>
        <v>4.4705000000000004</v>
      </c>
      <c r="M130" s="9">
        <f>4.4747 * CHOOSE(CONTROL!$C$32, $C$9, 100%, $E$9)</f>
        <v>4.4747000000000003</v>
      </c>
      <c r="N130" s="9">
        <f>4.4705 * CHOOSE(CONTROL!$C$32, $C$9, 100%, $E$9)</f>
        <v>4.4705000000000004</v>
      </c>
      <c r="O130" s="9">
        <f>4.4747 * CHOOSE(CONTROL!$C$32, $C$9, 100%, $E$9)</f>
        <v>4.4747000000000003</v>
      </c>
      <c r="P130" s="17"/>
      <c r="Q130" s="17"/>
      <c r="R130" s="17"/>
    </row>
    <row r="131" spans="1:18" ht="15" x14ac:dyDescent="0.2">
      <c r="A131" s="16">
        <v>44835</v>
      </c>
      <c r="B131" s="10">
        <f>3.9375 * CHOOSE(CONTROL!$C$32, $C$9, 100%, $E$9)</f>
        <v>3.9375</v>
      </c>
      <c r="C131" s="10">
        <f>3.9375 * CHOOSE(CONTROL!$C$32, $C$9, 100%, $E$9)</f>
        <v>3.9375</v>
      </c>
      <c r="D131" s="10">
        <f>3.9385 * CHOOSE(CONTROL!$C$32, $C$9, 100%, $E$9)</f>
        <v>3.9384999999999999</v>
      </c>
      <c r="E131" s="9">
        <f>4.4835 * CHOOSE(CONTROL!$C$32, $C$9, 100%, $E$9)</f>
        <v>4.4835000000000003</v>
      </c>
      <c r="F131" s="9">
        <f>4.4835 * CHOOSE(CONTROL!$C$32, $C$9, 100%, $E$9)</f>
        <v>4.4835000000000003</v>
      </c>
      <c r="G131" s="9">
        <f>4.4867 * CHOOSE(CONTROL!$C$32, $C$9, 100%, $E$9)</f>
        <v>4.4866999999999999</v>
      </c>
      <c r="H131" s="9">
        <f>7.3556 * CHOOSE(CONTROL!$C$32, $C$9, 100%, $E$9)</f>
        <v>7.3555999999999999</v>
      </c>
      <c r="I131" s="9">
        <f>7.3589 * CHOOSE(CONTROL!$C$32, $C$9, 100%, $E$9)</f>
        <v>7.3589000000000002</v>
      </c>
      <c r="J131" s="9">
        <f>7.3556 * CHOOSE(CONTROL!$C$32, $C$9, 100%, $E$9)</f>
        <v>7.3555999999999999</v>
      </c>
      <c r="K131" s="9">
        <f>7.3589 * CHOOSE(CONTROL!$C$32, $C$9, 100%, $E$9)</f>
        <v>7.3589000000000002</v>
      </c>
      <c r="L131" s="9">
        <f>4.4835 * CHOOSE(CONTROL!$C$32, $C$9, 100%, $E$9)</f>
        <v>4.4835000000000003</v>
      </c>
      <c r="M131" s="9">
        <f>4.4867 * CHOOSE(CONTROL!$C$32, $C$9, 100%, $E$9)</f>
        <v>4.4866999999999999</v>
      </c>
      <c r="N131" s="9">
        <f>4.4835 * CHOOSE(CONTROL!$C$32, $C$9, 100%, $E$9)</f>
        <v>4.4835000000000003</v>
      </c>
      <c r="O131" s="9">
        <f>4.4867 * CHOOSE(CONTROL!$C$32, $C$9, 100%, $E$9)</f>
        <v>4.4866999999999999</v>
      </c>
      <c r="P131" s="17"/>
      <c r="Q131" s="17"/>
      <c r="R131" s="17"/>
    </row>
    <row r="132" spans="1:18" ht="15" x14ac:dyDescent="0.2">
      <c r="A132" s="16">
        <v>44866</v>
      </c>
      <c r="B132" s="10">
        <f>3.9406 * CHOOSE(CONTROL!$C$32, $C$9, 100%, $E$9)</f>
        <v>3.9405999999999999</v>
      </c>
      <c r="C132" s="10">
        <f>3.9406 * CHOOSE(CONTROL!$C$32, $C$9, 100%, $E$9)</f>
        <v>3.9405999999999999</v>
      </c>
      <c r="D132" s="10">
        <f>3.9415 * CHOOSE(CONTROL!$C$32, $C$9, 100%, $E$9)</f>
        <v>3.9415</v>
      </c>
      <c r="E132" s="9">
        <f>4.4988 * CHOOSE(CONTROL!$C$32, $C$9, 100%, $E$9)</f>
        <v>4.4988000000000001</v>
      </c>
      <c r="F132" s="9">
        <f>4.4988 * CHOOSE(CONTROL!$C$32, $C$9, 100%, $E$9)</f>
        <v>4.4988000000000001</v>
      </c>
      <c r="G132" s="9">
        <f>4.502 * CHOOSE(CONTROL!$C$32, $C$9, 100%, $E$9)</f>
        <v>4.5019999999999998</v>
      </c>
      <c r="H132" s="9">
        <f>7.371 * CHOOSE(CONTROL!$C$32, $C$9, 100%, $E$9)</f>
        <v>7.3710000000000004</v>
      </c>
      <c r="I132" s="9">
        <f>7.3742 * CHOOSE(CONTROL!$C$32, $C$9, 100%, $E$9)</f>
        <v>7.3742000000000001</v>
      </c>
      <c r="J132" s="9">
        <f>7.371 * CHOOSE(CONTROL!$C$32, $C$9, 100%, $E$9)</f>
        <v>7.3710000000000004</v>
      </c>
      <c r="K132" s="9">
        <f>7.3742 * CHOOSE(CONTROL!$C$32, $C$9, 100%, $E$9)</f>
        <v>7.3742000000000001</v>
      </c>
      <c r="L132" s="9">
        <f>4.4988 * CHOOSE(CONTROL!$C$32, $C$9, 100%, $E$9)</f>
        <v>4.4988000000000001</v>
      </c>
      <c r="M132" s="9">
        <f>4.502 * CHOOSE(CONTROL!$C$32, $C$9, 100%, $E$9)</f>
        <v>4.5019999999999998</v>
      </c>
      <c r="N132" s="9">
        <f>4.4988 * CHOOSE(CONTROL!$C$32, $C$9, 100%, $E$9)</f>
        <v>4.4988000000000001</v>
      </c>
      <c r="O132" s="9">
        <f>4.502 * CHOOSE(CONTROL!$C$32, $C$9, 100%, $E$9)</f>
        <v>4.5019999999999998</v>
      </c>
      <c r="P132" s="17"/>
      <c r="Q132" s="17"/>
      <c r="R132" s="17"/>
    </row>
    <row r="133" spans="1:18" ht="15" x14ac:dyDescent="0.2">
      <c r="A133" s="16">
        <v>44896</v>
      </c>
      <c r="B133" s="10">
        <f>3.9406 * CHOOSE(CONTROL!$C$32, $C$9, 100%, $E$9)</f>
        <v>3.9405999999999999</v>
      </c>
      <c r="C133" s="10">
        <f>3.9406 * CHOOSE(CONTROL!$C$32, $C$9, 100%, $E$9)</f>
        <v>3.9405999999999999</v>
      </c>
      <c r="D133" s="10">
        <f>3.9415 * CHOOSE(CONTROL!$C$32, $C$9, 100%, $E$9)</f>
        <v>3.9415</v>
      </c>
      <c r="E133" s="9">
        <f>4.4658 * CHOOSE(CONTROL!$C$32, $C$9, 100%, $E$9)</f>
        <v>4.4657999999999998</v>
      </c>
      <c r="F133" s="9">
        <f>4.4658 * CHOOSE(CONTROL!$C$32, $C$9, 100%, $E$9)</f>
        <v>4.4657999999999998</v>
      </c>
      <c r="G133" s="9">
        <f>4.469 * CHOOSE(CONTROL!$C$32, $C$9, 100%, $E$9)</f>
        <v>4.4690000000000003</v>
      </c>
      <c r="H133" s="9">
        <f>7.3863 * CHOOSE(CONTROL!$C$32, $C$9, 100%, $E$9)</f>
        <v>7.3863000000000003</v>
      </c>
      <c r="I133" s="9">
        <f>7.3895 * CHOOSE(CONTROL!$C$32, $C$9, 100%, $E$9)</f>
        <v>7.3895</v>
      </c>
      <c r="J133" s="9">
        <f>7.3863 * CHOOSE(CONTROL!$C$32, $C$9, 100%, $E$9)</f>
        <v>7.3863000000000003</v>
      </c>
      <c r="K133" s="9">
        <f>7.3895 * CHOOSE(CONTROL!$C$32, $C$9, 100%, $E$9)</f>
        <v>7.3895</v>
      </c>
      <c r="L133" s="9">
        <f>4.4658 * CHOOSE(CONTROL!$C$32, $C$9, 100%, $E$9)</f>
        <v>4.4657999999999998</v>
      </c>
      <c r="M133" s="9">
        <f>4.469 * CHOOSE(CONTROL!$C$32, $C$9, 100%, $E$9)</f>
        <v>4.4690000000000003</v>
      </c>
      <c r="N133" s="9">
        <f>4.4658 * CHOOSE(CONTROL!$C$32, $C$9, 100%, $E$9)</f>
        <v>4.4657999999999998</v>
      </c>
      <c r="O133" s="9">
        <f>4.469 * CHOOSE(CONTROL!$C$32, $C$9, 100%, $E$9)</f>
        <v>4.4690000000000003</v>
      </c>
      <c r="P133" s="17"/>
      <c r="Q133" s="17"/>
      <c r="R133" s="17"/>
    </row>
    <row r="134" spans="1:18" ht="15" x14ac:dyDescent="0.2">
      <c r="A134" s="16">
        <v>44927</v>
      </c>
      <c r="B134" s="10">
        <f>3.9707 * CHOOSE(CONTROL!$C$32, $C$9, 100%, $E$9)</f>
        <v>3.9706999999999999</v>
      </c>
      <c r="C134" s="10">
        <f>3.9707 * CHOOSE(CONTROL!$C$32, $C$9, 100%, $E$9)</f>
        <v>3.9706999999999999</v>
      </c>
      <c r="D134" s="10">
        <f>3.9717 * CHOOSE(CONTROL!$C$32, $C$9, 100%, $E$9)</f>
        <v>3.9716999999999998</v>
      </c>
      <c r="E134" s="9">
        <f>4.4991 * CHOOSE(CONTROL!$C$32, $C$9, 100%, $E$9)</f>
        <v>4.4991000000000003</v>
      </c>
      <c r="F134" s="9">
        <f>4.4991 * CHOOSE(CONTROL!$C$32, $C$9, 100%, $E$9)</f>
        <v>4.4991000000000003</v>
      </c>
      <c r="G134" s="9">
        <f>4.5023 * CHOOSE(CONTROL!$C$32, $C$9, 100%, $E$9)</f>
        <v>4.5023</v>
      </c>
      <c r="H134" s="9">
        <f>7.4017 * CHOOSE(CONTROL!$C$32, $C$9, 100%, $E$9)</f>
        <v>7.4016999999999999</v>
      </c>
      <c r="I134" s="9">
        <f>7.4049 * CHOOSE(CONTROL!$C$32, $C$9, 100%, $E$9)</f>
        <v>7.4048999999999996</v>
      </c>
      <c r="J134" s="9">
        <f>7.4017 * CHOOSE(CONTROL!$C$32, $C$9, 100%, $E$9)</f>
        <v>7.4016999999999999</v>
      </c>
      <c r="K134" s="9">
        <f>7.4049 * CHOOSE(CONTROL!$C$32, $C$9, 100%, $E$9)</f>
        <v>7.4048999999999996</v>
      </c>
      <c r="L134" s="9">
        <f>4.4991 * CHOOSE(CONTROL!$C$32, $C$9, 100%, $E$9)</f>
        <v>4.4991000000000003</v>
      </c>
      <c r="M134" s="9">
        <f>4.5023 * CHOOSE(CONTROL!$C$32, $C$9, 100%, $E$9)</f>
        <v>4.5023</v>
      </c>
      <c r="N134" s="9">
        <f>4.4991 * CHOOSE(CONTROL!$C$32, $C$9, 100%, $E$9)</f>
        <v>4.4991000000000003</v>
      </c>
      <c r="O134" s="9">
        <f>4.5023 * CHOOSE(CONTROL!$C$32, $C$9, 100%, $E$9)</f>
        <v>4.5023</v>
      </c>
      <c r="P134" s="17"/>
      <c r="Q134" s="17"/>
      <c r="R134" s="17"/>
    </row>
    <row r="135" spans="1:18" ht="15" x14ac:dyDescent="0.2">
      <c r="A135" s="16">
        <v>44958</v>
      </c>
      <c r="B135" s="10">
        <f>3.9677 * CHOOSE(CONTROL!$C$32, $C$9, 100%, $E$9)</f>
        <v>3.9676999999999998</v>
      </c>
      <c r="C135" s="10">
        <f>3.9677 * CHOOSE(CONTROL!$C$32, $C$9, 100%, $E$9)</f>
        <v>3.9676999999999998</v>
      </c>
      <c r="D135" s="10">
        <f>3.9686 * CHOOSE(CONTROL!$C$32, $C$9, 100%, $E$9)</f>
        <v>3.9685999999999999</v>
      </c>
      <c r="E135" s="9">
        <f>4.4325 * CHOOSE(CONTROL!$C$32, $C$9, 100%, $E$9)</f>
        <v>4.4325000000000001</v>
      </c>
      <c r="F135" s="9">
        <f>4.4325 * CHOOSE(CONTROL!$C$32, $C$9, 100%, $E$9)</f>
        <v>4.4325000000000001</v>
      </c>
      <c r="G135" s="9">
        <f>4.4357 * CHOOSE(CONTROL!$C$32, $C$9, 100%, $E$9)</f>
        <v>4.4356999999999998</v>
      </c>
      <c r="H135" s="9">
        <f>7.4171 * CHOOSE(CONTROL!$C$32, $C$9, 100%, $E$9)</f>
        <v>7.4170999999999996</v>
      </c>
      <c r="I135" s="9">
        <f>7.4203 * CHOOSE(CONTROL!$C$32, $C$9, 100%, $E$9)</f>
        <v>7.4203000000000001</v>
      </c>
      <c r="J135" s="9">
        <f>7.4171 * CHOOSE(CONTROL!$C$32, $C$9, 100%, $E$9)</f>
        <v>7.4170999999999996</v>
      </c>
      <c r="K135" s="9">
        <f>7.4203 * CHOOSE(CONTROL!$C$32, $C$9, 100%, $E$9)</f>
        <v>7.4203000000000001</v>
      </c>
      <c r="L135" s="9">
        <f>4.4325 * CHOOSE(CONTROL!$C$32, $C$9, 100%, $E$9)</f>
        <v>4.4325000000000001</v>
      </c>
      <c r="M135" s="9">
        <f>4.4357 * CHOOSE(CONTROL!$C$32, $C$9, 100%, $E$9)</f>
        <v>4.4356999999999998</v>
      </c>
      <c r="N135" s="9">
        <f>4.4325 * CHOOSE(CONTROL!$C$32, $C$9, 100%, $E$9)</f>
        <v>4.4325000000000001</v>
      </c>
      <c r="O135" s="9">
        <f>4.4357 * CHOOSE(CONTROL!$C$32, $C$9, 100%, $E$9)</f>
        <v>4.4356999999999998</v>
      </c>
      <c r="P135" s="17"/>
      <c r="Q135" s="17"/>
      <c r="R135" s="17"/>
    </row>
    <row r="136" spans="1:18" ht="15" x14ac:dyDescent="0.2">
      <c r="A136" s="16">
        <v>44986</v>
      </c>
      <c r="B136" s="10">
        <f>3.9647 * CHOOSE(CONTROL!$C$32, $C$9, 100%, $E$9)</f>
        <v>3.9647000000000001</v>
      </c>
      <c r="C136" s="10">
        <f>3.9647 * CHOOSE(CONTROL!$C$32, $C$9, 100%, $E$9)</f>
        <v>3.9647000000000001</v>
      </c>
      <c r="D136" s="10">
        <f>3.9656 * CHOOSE(CONTROL!$C$32, $C$9, 100%, $E$9)</f>
        <v>3.9655999999999998</v>
      </c>
      <c r="E136" s="9">
        <f>4.4812 * CHOOSE(CONTROL!$C$32, $C$9, 100%, $E$9)</f>
        <v>4.4812000000000003</v>
      </c>
      <c r="F136" s="9">
        <f>4.4812 * CHOOSE(CONTROL!$C$32, $C$9, 100%, $E$9)</f>
        <v>4.4812000000000003</v>
      </c>
      <c r="G136" s="9">
        <f>4.4844 * CHOOSE(CONTROL!$C$32, $C$9, 100%, $E$9)</f>
        <v>4.4843999999999999</v>
      </c>
      <c r="H136" s="9">
        <f>7.4326 * CHOOSE(CONTROL!$C$32, $C$9, 100%, $E$9)</f>
        <v>7.4325999999999999</v>
      </c>
      <c r="I136" s="9">
        <f>7.4358 * CHOOSE(CONTROL!$C$32, $C$9, 100%, $E$9)</f>
        <v>7.4358000000000004</v>
      </c>
      <c r="J136" s="9">
        <f>7.4326 * CHOOSE(CONTROL!$C$32, $C$9, 100%, $E$9)</f>
        <v>7.4325999999999999</v>
      </c>
      <c r="K136" s="9">
        <f>7.4358 * CHOOSE(CONTROL!$C$32, $C$9, 100%, $E$9)</f>
        <v>7.4358000000000004</v>
      </c>
      <c r="L136" s="9">
        <f>4.4812 * CHOOSE(CONTROL!$C$32, $C$9, 100%, $E$9)</f>
        <v>4.4812000000000003</v>
      </c>
      <c r="M136" s="9">
        <f>4.4844 * CHOOSE(CONTROL!$C$32, $C$9, 100%, $E$9)</f>
        <v>4.4843999999999999</v>
      </c>
      <c r="N136" s="9">
        <f>4.4812 * CHOOSE(CONTROL!$C$32, $C$9, 100%, $E$9)</f>
        <v>4.4812000000000003</v>
      </c>
      <c r="O136" s="9">
        <f>4.4844 * CHOOSE(CONTROL!$C$32, $C$9, 100%, $E$9)</f>
        <v>4.4843999999999999</v>
      </c>
      <c r="P136" s="17"/>
      <c r="Q136" s="17"/>
      <c r="R136" s="17"/>
    </row>
    <row r="137" spans="1:18" ht="15" x14ac:dyDescent="0.2">
      <c r="A137" s="16">
        <v>45017</v>
      </c>
      <c r="B137" s="10">
        <f>3.9624 * CHOOSE(CONTROL!$C$32, $C$9, 100%, $E$9)</f>
        <v>3.9624000000000001</v>
      </c>
      <c r="C137" s="10">
        <f>3.9624 * CHOOSE(CONTROL!$C$32, $C$9, 100%, $E$9)</f>
        <v>3.9624000000000001</v>
      </c>
      <c r="D137" s="10">
        <f>3.9633 * CHOOSE(CONTROL!$C$32, $C$9, 100%, $E$9)</f>
        <v>3.9632999999999998</v>
      </c>
      <c r="E137" s="9">
        <f>4.5315 * CHOOSE(CONTROL!$C$32, $C$9, 100%, $E$9)</f>
        <v>4.5315000000000003</v>
      </c>
      <c r="F137" s="9">
        <f>4.5315 * CHOOSE(CONTROL!$C$32, $C$9, 100%, $E$9)</f>
        <v>4.5315000000000003</v>
      </c>
      <c r="G137" s="9">
        <f>4.5348 * CHOOSE(CONTROL!$C$32, $C$9, 100%, $E$9)</f>
        <v>4.5347999999999997</v>
      </c>
      <c r="H137" s="9">
        <f>7.4481 * CHOOSE(CONTROL!$C$32, $C$9, 100%, $E$9)</f>
        <v>7.4481000000000002</v>
      </c>
      <c r="I137" s="9">
        <f>7.4513 * CHOOSE(CONTROL!$C$32, $C$9, 100%, $E$9)</f>
        <v>7.4512999999999998</v>
      </c>
      <c r="J137" s="9">
        <f>7.4481 * CHOOSE(CONTROL!$C$32, $C$9, 100%, $E$9)</f>
        <v>7.4481000000000002</v>
      </c>
      <c r="K137" s="9">
        <f>7.4513 * CHOOSE(CONTROL!$C$32, $C$9, 100%, $E$9)</f>
        <v>7.4512999999999998</v>
      </c>
      <c r="L137" s="9">
        <f>4.5315 * CHOOSE(CONTROL!$C$32, $C$9, 100%, $E$9)</f>
        <v>4.5315000000000003</v>
      </c>
      <c r="M137" s="9">
        <f>4.5348 * CHOOSE(CONTROL!$C$32, $C$9, 100%, $E$9)</f>
        <v>4.5347999999999997</v>
      </c>
      <c r="N137" s="9">
        <f>4.5315 * CHOOSE(CONTROL!$C$32, $C$9, 100%, $E$9)</f>
        <v>4.5315000000000003</v>
      </c>
      <c r="O137" s="9">
        <f>4.5348 * CHOOSE(CONTROL!$C$32, $C$9, 100%, $E$9)</f>
        <v>4.5347999999999997</v>
      </c>
      <c r="P137" s="17"/>
      <c r="Q137" s="17"/>
      <c r="R137" s="17"/>
    </row>
    <row r="138" spans="1:18" ht="15" x14ac:dyDescent="0.2">
      <c r="A138" s="16">
        <v>45047</v>
      </c>
      <c r="B138" s="10">
        <f>3.9624 * CHOOSE(CONTROL!$C$32, $C$9, 100%, $E$9)</f>
        <v>3.9624000000000001</v>
      </c>
      <c r="C138" s="10">
        <f>3.9624 * CHOOSE(CONTROL!$C$32, $C$9, 100%, $E$9)</f>
        <v>3.9624000000000001</v>
      </c>
      <c r="D138" s="10">
        <f>3.9636 * CHOOSE(CONTROL!$C$32, $C$9, 100%, $E$9)</f>
        <v>3.9636</v>
      </c>
      <c r="E138" s="9">
        <f>4.552 * CHOOSE(CONTROL!$C$32, $C$9, 100%, $E$9)</f>
        <v>4.5519999999999996</v>
      </c>
      <c r="F138" s="9">
        <f>4.552 * CHOOSE(CONTROL!$C$32, $C$9, 100%, $E$9)</f>
        <v>4.5519999999999996</v>
      </c>
      <c r="G138" s="9">
        <f>4.5562 * CHOOSE(CONTROL!$C$32, $C$9, 100%, $E$9)</f>
        <v>4.5561999999999996</v>
      </c>
      <c r="H138" s="9">
        <f>7.4636 * CHOOSE(CONTROL!$C$32, $C$9, 100%, $E$9)</f>
        <v>7.4635999999999996</v>
      </c>
      <c r="I138" s="9">
        <f>7.4678 * CHOOSE(CONTROL!$C$32, $C$9, 100%, $E$9)</f>
        <v>7.4678000000000004</v>
      </c>
      <c r="J138" s="9">
        <f>7.4636 * CHOOSE(CONTROL!$C$32, $C$9, 100%, $E$9)</f>
        <v>7.4635999999999996</v>
      </c>
      <c r="K138" s="9">
        <f>7.4678 * CHOOSE(CONTROL!$C$32, $C$9, 100%, $E$9)</f>
        <v>7.4678000000000004</v>
      </c>
      <c r="L138" s="9">
        <f>4.552 * CHOOSE(CONTROL!$C$32, $C$9, 100%, $E$9)</f>
        <v>4.5519999999999996</v>
      </c>
      <c r="M138" s="9">
        <f>4.5562 * CHOOSE(CONTROL!$C$32, $C$9, 100%, $E$9)</f>
        <v>4.5561999999999996</v>
      </c>
      <c r="N138" s="9">
        <f>4.552 * CHOOSE(CONTROL!$C$32, $C$9, 100%, $E$9)</f>
        <v>4.5519999999999996</v>
      </c>
      <c r="O138" s="9">
        <f>4.5562 * CHOOSE(CONTROL!$C$32, $C$9, 100%, $E$9)</f>
        <v>4.5561999999999996</v>
      </c>
      <c r="P138" s="17"/>
      <c r="Q138" s="17"/>
      <c r="R138" s="17"/>
    </row>
    <row r="139" spans="1:18" ht="15" x14ac:dyDescent="0.2">
      <c r="A139" s="16">
        <v>45078</v>
      </c>
      <c r="B139" s="10">
        <f>3.9684 * CHOOSE(CONTROL!$C$32, $C$9, 100%, $E$9)</f>
        <v>3.9683999999999999</v>
      </c>
      <c r="C139" s="10">
        <f>3.9684 * CHOOSE(CONTROL!$C$32, $C$9, 100%, $E$9)</f>
        <v>3.9683999999999999</v>
      </c>
      <c r="D139" s="10">
        <f>3.9697 * CHOOSE(CONTROL!$C$32, $C$9, 100%, $E$9)</f>
        <v>3.9697</v>
      </c>
      <c r="E139" s="9">
        <f>4.5358 * CHOOSE(CONTROL!$C$32, $C$9, 100%, $E$9)</f>
        <v>4.5358000000000001</v>
      </c>
      <c r="F139" s="9">
        <f>4.5358 * CHOOSE(CONTROL!$C$32, $C$9, 100%, $E$9)</f>
        <v>4.5358000000000001</v>
      </c>
      <c r="G139" s="9">
        <f>4.54 * CHOOSE(CONTROL!$C$32, $C$9, 100%, $E$9)</f>
        <v>4.54</v>
      </c>
      <c r="H139" s="9">
        <f>7.4791 * CHOOSE(CONTROL!$C$32, $C$9, 100%, $E$9)</f>
        <v>7.4790999999999999</v>
      </c>
      <c r="I139" s="9">
        <f>7.4833 * CHOOSE(CONTROL!$C$32, $C$9, 100%, $E$9)</f>
        <v>7.4832999999999998</v>
      </c>
      <c r="J139" s="9">
        <f>7.4791 * CHOOSE(CONTROL!$C$32, $C$9, 100%, $E$9)</f>
        <v>7.4790999999999999</v>
      </c>
      <c r="K139" s="9">
        <f>7.4833 * CHOOSE(CONTROL!$C$32, $C$9, 100%, $E$9)</f>
        <v>7.4832999999999998</v>
      </c>
      <c r="L139" s="9">
        <f>4.5358 * CHOOSE(CONTROL!$C$32, $C$9, 100%, $E$9)</f>
        <v>4.5358000000000001</v>
      </c>
      <c r="M139" s="9">
        <f>4.54 * CHOOSE(CONTROL!$C$32, $C$9, 100%, $E$9)</f>
        <v>4.54</v>
      </c>
      <c r="N139" s="9">
        <f>4.5358 * CHOOSE(CONTROL!$C$32, $C$9, 100%, $E$9)</f>
        <v>4.5358000000000001</v>
      </c>
      <c r="O139" s="9">
        <f>4.54 * CHOOSE(CONTROL!$C$32, $C$9, 100%, $E$9)</f>
        <v>4.54</v>
      </c>
      <c r="P139" s="17"/>
      <c r="Q139" s="17"/>
      <c r="R139" s="17"/>
    </row>
    <row r="140" spans="1:18" ht="15" x14ac:dyDescent="0.2">
      <c r="A140" s="16">
        <v>45108</v>
      </c>
      <c r="B140" s="10">
        <f>4.0216 * CHOOSE(CONTROL!$C$32, $C$9, 100%, $E$9)</f>
        <v>4.0216000000000003</v>
      </c>
      <c r="C140" s="10">
        <f>4.0216 * CHOOSE(CONTROL!$C$32, $C$9, 100%, $E$9)</f>
        <v>4.0216000000000003</v>
      </c>
      <c r="D140" s="10">
        <f>4.0228 * CHOOSE(CONTROL!$C$32, $C$9, 100%, $E$9)</f>
        <v>4.0228000000000002</v>
      </c>
      <c r="E140" s="9">
        <f>4.5373 * CHOOSE(CONTROL!$C$32, $C$9, 100%, $E$9)</f>
        <v>4.5373000000000001</v>
      </c>
      <c r="F140" s="9">
        <f>4.5373 * CHOOSE(CONTROL!$C$32, $C$9, 100%, $E$9)</f>
        <v>4.5373000000000001</v>
      </c>
      <c r="G140" s="9">
        <f>4.5415 * CHOOSE(CONTROL!$C$32, $C$9, 100%, $E$9)</f>
        <v>4.5415000000000001</v>
      </c>
      <c r="H140" s="9">
        <f>7.4947 * CHOOSE(CONTROL!$C$32, $C$9, 100%, $E$9)</f>
        <v>7.4946999999999999</v>
      </c>
      <c r="I140" s="9">
        <f>7.4989 * CHOOSE(CONTROL!$C$32, $C$9, 100%, $E$9)</f>
        <v>7.4988999999999999</v>
      </c>
      <c r="J140" s="9">
        <f>7.4947 * CHOOSE(CONTROL!$C$32, $C$9, 100%, $E$9)</f>
        <v>7.4946999999999999</v>
      </c>
      <c r="K140" s="9">
        <f>7.4989 * CHOOSE(CONTROL!$C$32, $C$9, 100%, $E$9)</f>
        <v>7.4988999999999999</v>
      </c>
      <c r="L140" s="9">
        <f>4.5373 * CHOOSE(CONTROL!$C$32, $C$9, 100%, $E$9)</f>
        <v>4.5373000000000001</v>
      </c>
      <c r="M140" s="9">
        <f>4.5415 * CHOOSE(CONTROL!$C$32, $C$9, 100%, $E$9)</f>
        <v>4.5415000000000001</v>
      </c>
      <c r="N140" s="9">
        <f>4.5373 * CHOOSE(CONTROL!$C$32, $C$9, 100%, $E$9)</f>
        <v>4.5373000000000001</v>
      </c>
      <c r="O140" s="9">
        <f>4.5415 * CHOOSE(CONTROL!$C$32, $C$9, 100%, $E$9)</f>
        <v>4.5415000000000001</v>
      </c>
      <c r="P140" s="17"/>
      <c r="Q140" s="17"/>
      <c r="R140" s="17"/>
    </row>
    <row r="141" spans="1:18" ht="15" x14ac:dyDescent="0.2">
      <c r="A141" s="16">
        <v>45139</v>
      </c>
      <c r="B141" s="10">
        <f>4.0282 * CHOOSE(CONTROL!$C$32, $C$9, 100%, $E$9)</f>
        <v>4.0282</v>
      </c>
      <c r="C141" s="10">
        <f>4.0282 * CHOOSE(CONTROL!$C$32, $C$9, 100%, $E$9)</f>
        <v>4.0282</v>
      </c>
      <c r="D141" s="10">
        <f>4.0295 * CHOOSE(CONTROL!$C$32, $C$9, 100%, $E$9)</f>
        <v>4.0294999999999996</v>
      </c>
      <c r="E141" s="9">
        <f>4.4805 * CHOOSE(CONTROL!$C$32, $C$9, 100%, $E$9)</f>
        <v>4.4805000000000001</v>
      </c>
      <c r="F141" s="9">
        <f>4.4805 * CHOOSE(CONTROL!$C$32, $C$9, 100%, $E$9)</f>
        <v>4.4805000000000001</v>
      </c>
      <c r="G141" s="9">
        <f>4.4847 * CHOOSE(CONTROL!$C$32, $C$9, 100%, $E$9)</f>
        <v>4.4847000000000001</v>
      </c>
      <c r="H141" s="9">
        <f>7.5103 * CHOOSE(CONTROL!$C$32, $C$9, 100%, $E$9)</f>
        <v>7.5103</v>
      </c>
      <c r="I141" s="9">
        <f>7.5145 * CHOOSE(CONTROL!$C$32, $C$9, 100%, $E$9)</f>
        <v>7.5145</v>
      </c>
      <c r="J141" s="9">
        <f>7.5103 * CHOOSE(CONTROL!$C$32, $C$9, 100%, $E$9)</f>
        <v>7.5103</v>
      </c>
      <c r="K141" s="9">
        <f>7.5145 * CHOOSE(CONTROL!$C$32, $C$9, 100%, $E$9)</f>
        <v>7.5145</v>
      </c>
      <c r="L141" s="9">
        <f>4.4805 * CHOOSE(CONTROL!$C$32, $C$9, 100%, $E$9)</f>
        <v>4.4805000000000001</v>
      </c>
      <c r="M141" s="9">
        <f>4.4847 * CHOOSE(CONTROL!$C$32, $C$9, 100%, $E$9)</f>
        <v>4.4847000000000001</v>
      </c>
      <c r="N141" s="9">
        <f>4.4805 * CHOOSE(CONTROL!$C$32, $C$9, 100%, $E$9)</f>
        <v>4.4805000000000001</v>
      </c>
      <c r="O141" s="9">
        <f>4.4847 * CHOOSE(CONTROL!$C$32, $C$9, 100%, $E$9)</f>
        <v>4.4847000000000001</v>
      </c>
      <c r="P141" s="17"/>
      <c r="Q141" s="17"/>
      <c r="R141" s="17"/>
    </row>
    <row r="142" spans="1:18" ht="15" x14ac:dyDescent="0.2">
      <c r="A142" s="16">
        <v>45170</v>
      </c>
      <c r="B142" s="10">
        <f>4.0252 * CHOOSE(CONTROL!$C$32, $C$9, 100%, $E$9)</f>
        <v>4.0251999999999999</v>
      </c>
      <c r="C142" s="10">
        <f>4.0252 * CHOOSE(CONTROL!$C$32, $C$9, 100%, $E$9)</f>
        <v>4.0251999999999999</v>
      </c>
      <c r="D142" s="10">
        <f>4.0264 * CHOOSE(CONTROL!$C$32, $C$9, 100%, $E$9)</f>
        <v>4.0263999999999998</v>
      </c>
      <c r="E142" s="9">
        <f>4.4716 * CHOOSE(CONTROL!$C$32, $C$9, 100%, $E$9)</f>
        <v>4.4715999999999996</v>
      </c>
      <c r="F142" s="9">
        <f>4.4716 * CHOOSE(CONTROL!$C$32, $C$9, 100%, $E$9)</f>
        <v>4.4715999999999996</v>
      </c>
      <c r="G142" s="9">
        <f>4.4758 * CHOOSE(CONTROL!$C$32, $C$9, 100%, $E$9)</f>
        <v>4.4757999999999996</v>
      </c>
      <c r="H142" s="9">
        <f>7.526 * CHOOSE(CONTROL!$C$32, $C$9, 100%, $E$9)</f>
        <v>7.5259999999999998</v>
      </c>
      <c r="I142" s="9">
        <f>7.5302 * CHOOSE(CONTROL!$C$32, $C$9, 100%, $E$9)</f>
        <v>7.5301999999999998</v>
      </c>
      <c r="J142" s="9">
        <f>7.526 * CHOOSE(CONTROL!$C$32, $C$9, 100%, $E$9)</f>
        <v>7.5259999999999998</v>
      </c>
      <c r="K142" s="9">
        <f>7.5302 * CHOOSE(CONTROL!$C$32, $C$9, 100%, $E$9)</f>
        <v>7.5301999999999998</v>
      </c>
      <c r="L142" s="9">
        <f>4.4716 * CHOOSE(CONTROL!$C$32, $C$9, 100%, $E$9)</f>
        <v>4.4715999999999996</v>
      </c>
      <c r="M142" s="9">
        <f>4.4758 * CHOOSE(CONTROL!$C$32, $C$9, 100%, $E$9)</f>
        <v>4.4757999999999996</v>
      </c>
      <c r="N142" s="9">
        <f>4.4716 * CHOOSE(CONTROL!$C$32, $C$9, 100%, $E$9)</f>
        <v>4.4715999999999996</v>
      </c>
      <c r="O142" s="9">
        <f>4.4758 * CHOOSE(CONTROL!$C$32, $C$9, 100%, $E$9)</f>
        <v>4.4757999999999996</v>
      </c>
      <c r="P142" s="17"/>
      <c r="Q142" s="17"/>
      <c r="R142" s="17"/>
    </row>
    <row r="143" spans="1:18" ht="15" x14ac:dyDescent="0.2">
      <c r="A143" s="16">
        <v>45200</v>
      </c>
      <c r="B143" s="10">
        <f>4.0208 * CHOOSE(CONTROL!$C$32, $C$9, 100%, $E$9)</f>
        <v>4.0208000000000004</v>
      </c>
      <c r="C143" s="10">
        <f>4.0208 * CHOOSE(CONTROL!$C$32, $C$9, 100%, $E$9)</f>
        <v>4.0208000000000004</v>
      </c>
      <c r="D143" s="10">
        <f>4.0217 * CHOOSE(CONTROL!$C$32, $C$9, 100%, $E$9)</f>
        <v>4.0217000000000001</v>
      </c>
      <c r="E143" s="9">
        <f>4.4854 * CHOOSE(CONTROL!$C$32, $C$9, 100%, $E$9)</f>
        <v>4.4854000000000003</v>
      </c>
      <c r="F143" s="9">
        <f>4.4854 * CHOOSE(CONTROL!$C$32, $C$9, 100%, $E$9)</f>
        <v>4.4854000000000003</v>
      </c>
      <c r="G143" s="9">
        <f>4.4887 * CHOOSE(CONTROL!$C$32, $C$9, 100%, $E$9)</f>
        <v>4.4886999999999997</v>
      </c>
      <c r="H143" s="9">
        <f>7.5416 * CHOOSE(CONTROL!$C$32, $C$9, 100%, $E$9)</f>
        <v>7.5415999999999999</v>
      </c>
      <c r="I143" s="9">
        <f>7.5449 * CHOOSE(CONTROL!$C$32, $C$9, 100%, $E$9)</f>
        <v>7.5449000000000002</v>
      </c>
      <c r="J143" s="9">
        <f>7.5416 * CHOOSE(CONTROL!$C$32, $C$9, 100%, $E$9)</f>
        <v>7.5415999999999999</v>
      </c>
      <c r="K143" s="9">
        <f>7.5449 * CHOOSE(CONTROL!$C$32, $C$9, 100%, $E$9)</f>
        <v>7.5449000000000002</v>
      </c>
      <c r="L143" s="9">
        <f>4.4854 * CHOOSE(CONTROL!$C$32, $C$9, 100%, $E$9)</f>
        <v>4.4854000000000003</v>
      </c>
      <c r="M143" s="9">
        <f>4.4887 * CHOOSE(CONTROL!$C$32, $C$9, 100%, $E$9)</f>
        <v>4.4886999999999997</v>
      </c>
      <c r="N143" s="9">
        <f>4.4854 * CHOOSE(CONTROL!$C$32, $C$9, 100%, $E$9)</f>
        <v>4.4854000000000003</v>
      </c>
      <c r="O143" s="9">
        <f>4.4887 * CHOOSE(CONTROL!$C$32, $C$9, 100%, $E$9)</f>
        <v>4.4886999999999997</v>
      </c>
      <c r="P143" s="17"/>
      <c r="Q143" s="17"/>
      <c r="R143" s="17"/>
    </row>
    <row r="144" spans="1:18" ht="15" x14ac:dyDescent="0.2">
      <c r="A144" s="16">
        <v>45231</v>
      </c>
      <c r="B144" s="10">
        <f>4.0238 * CHOOSE(CONTROL!$C$32, $C$9, 100%, $E$9)</f>
        <v>4.0237999999999996</v>
      </c>
      <c r="C144" s="10">
        <f>4.0238 * CHOOSE(CONTROL!$C$32, $C$9, 100%, $E$9)</f>
        <v>4.0237999999999996</v>
      </c>
      <c r="D144" s="10">
        <f>4.0248 * CHOOSE(CONTROL!$C$32, $C$9, 100%, $E$9)</f>
        <v>4.0247999999999999</v>
      </c>
      <c r="E144" s="9">
        <f>4.5012 * CHOOSE(CONTROL!$C$32, $C$9, 100%, $E$9)</f>
        <v>4.5011999999999999</v>
      </c>
      <c r="F144" s="9">
        <f>4.5012 * CHOOSE(CONTROL!$C$32, $C$9, 100%, $E$9)</f>
        <v>4.5011999999999999</v>
      </c>
      <c r="G144" s="9">
        <f>4.5044 * CHOOSE(CONTROL!$C$32, $C$9, 100%, $E$9)</f>
        <v>4.5044000000000004</v>
      </c>
      <c r="H144" s="9">
        <f>7.5574 * CHOOSE(CONTROL!$C$32, $C$9, 100%, $E$9)</f>
        <v>7.5574000000000003</v>
      </c>
      <c r="I144" s="9">
        <f>7.5606 * CHOOSE(CONTROL!$C$32, $C$9, 100%, $E$9)</f>
        <v>7.5606</v>
      </c>
      <c r="J144" s="9">
        <f>7.5574 * CHOOSE(CONTROL!$C$32, $C$9, 100%, $E$9)</f>
        <v>7.5574000000000003</v>
      </c>
      <c r="K144" s="9">
        <f>7.5606 * CHOOSE(CONTROL!$C$32, $C$9, 100%, $E$9)</f>
        <v>7.5606</v>
      </c>
      <c r="L144" s="9">
        <f>4.5012 * CHOOSE(CONTROL!$C$32, $C$9, 100%, $E$9)</f>
        <v>4.5011999999999999</v>
      </c>
      <c r="M144" s="9">
        <f>4.5044 * CHOOSE(CONTROL!$C$32, $C$9, 100%, $E$9)</f>
        <v>4.5044000000000004</v>
      </c>
      <c r="N144" s="9">
        <f>4.5012 * CHOOSE(CONTROL!$C$32, $C$9, 100%, $E$9)</f>
        <v>4.5011999999999999</v>
      </c>
      <c r="O144" s="9">
        <f>4.5044 * CHOOSE(CONTROL!$C$32, $C$9, 100%, $E$9)</f>
        <v>4.5044000000000004</v>
      </c>
      <c r="P144" s="17"/>
      <c r="Q144" s="17"/>
      <c r="R144" s="17"/>
    </row>
    <row r="145" spans="1:18" ht="15" x14ac:dyDescent="0.2">
      <c r="A145" s="16">
        <v>45261</v>
      </c>
      <c r="B145" s="10">
        <f>4.0238 * CHOOSE(CONTROL!$C$32, $C$9, 100%, $E$9)</f>
        <v>4.0237999999999996</v>
      </c>
      <c r="C145" s="10">
        <f>4.0238 * CHOOSE(CONTROL!$C$32, $C$9, 100%, $E$9)</f>
        <v>4.0237999999999996</v>
      </c>
      <c r="D145" s="10">
        <f>4.0248 * CHOOSE(CONTROL!$C$32, $C$9, 100%, $E$9)</f>
        <v>4.0247999999999999</v>
      </c>
      <c r="E145" s="9">
        <f>4.4671 * CHOOSE(CONTROL!$C$32, $C$9, 100%, $E$9)</f>
        <v>4.4671000000000003</v>
      </c>
      <c r="F145" s="9">
        <f>4.4671 * CHOOSE(CONTROL!$C$32, $C$9, 100%, $E$9)</f>
        <v>4.4671000000000003</v>
      </c>
      <c r="G145" s="9">
        <f>4.4703 * CHOOSE(CONTROL!$C$32, $C$9, 100%, $E$9)</f>
        <v>4.4702999999999999</v>
      </c>
      <c r="H145" s="9">
        <f>7.5731 * CHOOSE(CONTROL!$C$32, $C$9, 100%, $E$9)</f>
        <v>7.5731000000000002</v>
      </c>
      <c r="I145" s="9">
        <f>7.5763 * CHOOSE(CONTROL!$C$32, $C$9, 100%, $E$9)</f>
        <v>7.5762999999999998</v>
      </c>
      <c r="J145" s="9">
        <f>7.5731 * CHOOSE(CONTROL!$C$32, $C$9, 100%, $E$9)</f>
        <v>7.5731000000000002</v>
      </c>
      <c r="K145" s="9">
        <f>7.5763 * CHOOSE(CONTROL!$C$32, $C$9, 100%, $E$9)</f>
        <v>7.5762999999999998</v>
      </c>
      <c r="L145" s="9">
        <f>4.4671 * CHOOSE(CONTROL!$C$32, $C$9, 100%, $E$9)</f>
        <v>4.4671000000000003</v>
      </c>
      <c r="M145" s="9">
        <f>4.4703 * CHOOSE(CONTROL!$C$32, $C$9, 100%, $E$9)</f>
        <v>4.4702999999999999</v>
      </c>
      <c r="N145" s="9">
        <f>4.4671 * CHOOSE(CONTROL!$C$32, $C$9, 100%, $E$9)</f>
        <v>4.4671000000000003</v>
      </c>
      <c r="O145" s="9">
        <f>4.4703 * CHOOSE(CONTROL!$C$32, $C$9, 100%, $E$9)</f>
        <v>4.4702999999999999</v>
      </c>
      <c r="P145" s="17"/>
      <c r="Q145" s="17"/>
      <c r="R145" s="17"/>
    </row>
    <row r="146" spans="1:18" ht="15" x14ac:dyDescent="0.2">
      <c r="A146" s="16">
        <v>45292</v>
      </c>
      <c r="B146" s="10">
        <f>4.0494 * CHOOSE(CONTROL!$C$32, $C$9, 100%, $E$9)</f>
        <v>4.0494000000000003</v>
      </c>
      <c r="C146" s="10">
        <f>4.0494 * CHOOSE(CONTROL!$C$32, $C$9, 100%, $E$9)</f>
        <v>4.0494000000000003</v>
      </c>
      <c r="D146" s="10">
        <f>4.0504 * CHOOSE(CONTROL!$C$32, $C$9, 100%, $E$9)</f>
        <v>4.0503999999999998</v>
      </c>
      <c r="E146" s="9">
        <f>4.5201 * CHOOSE(CONTROL!$C$32, $C$9, 100%, $E$9)</f>
        <v>4.5201000000000002</v>
      </c>
      <c r="F146" s="9">
        <f>4.5201 * CHOOSE(CONTROL!$C$32, $C$9, 100%, $E$9)</f>
        <v>4.5201000000000002</v>
      </c>
      <c r="G146" s="9">
        <f>4.5234 * CHOOSE(CONTROL!$C$32, $C$9, 100%, $E$9)</f>
        <v>4.5233999999999996</v>
      </c>
      <c r="H146" s="9">
        <f>7.5889 * CHOOSE(CONTROL!$C$32, $C$9, 100%, $E$9)</f>
        <v>7.5888999999999998</v>
      </c>
      <c r="I146" s="9">
        <f>7.5921 * CHOOSE(CONTROL!$C$32, $C$9, 100%, $E$9)</f>
        <v>7.5921000000000003</v>
      </c>
      <c r="J146" s="9">
        <f>7.5889 * CHOOSE(CONTROL!$C$32, $C$9, 100%, $E$9)</f>
        <v>7.5888999999999998</v>
      </c>
      <c r="K146" s="9">
        <f>7.5921 * CHOOSE(CONTROL!$C$32, $C$9, 100%, $E$9)</f>
        <v>7.5921000000000003</v>
      </c>
      <c r="L146" s="9">
        <f>4.5201 * CHOOSE(CONTROL!$C$32, $C$9, 100%, $E$9)</f>
        <v>4.5201000000000002</v>
      </c>
      <c r="M146" s="9">
        <f>4.5234 * CHOOSE(CONTROL!$C$32, $C$9, 100%, $E$9)</f>
        <v>4.5233999999999996</v>
      </c>
      <c r="N146" s="9">
        <f>4.5201 * CHOOSE(CONTROL!$C$32, $C$9, 100%, $E$9)</f>
        <v>4.5201000000000002</v>
      </c>
      <c r="O146" s="9">
        <f>4.5234 * CHOOSE(CONTROL!$C$32, $C$9, 100%, $E$9)</f>
        <v>4.5233999999999996</v>
      </c>
      <c r="P146" s="17"/>
      <c r="Q146" s="17"/>
      <c r="R146" s="17"/>
    </row>
    <row r="147" spans="1:18" ht="15" x14ac:dyDescent="0.2">
      <c r="A147" s="16">
        <v>45323</v>
      </c>
      <c r="B147" s="10">
        <f>4.0464 * CHOOSE(CONTROL!$C$32, $C$9, 100%, $E$9)</f>
        <v>4.0464000000000002</v>
      </c>
      <c r="C147" s="10">
        <f>4.0464 * CHOOSE(CONTROL!$C$32, $C$9, 100%, $E$9)</f>
        <v>4.0464000000000002</v>
      </c>
      <c r="D147" s="10">
        <f>4.0473 * CHOOSE(CONTROL!$C$32, $C$9, 100%, $E$9)</f>
        <v>4.0472999999999999</v>
      </c>
      <c r="E147" s="9">
        <f>4.4513 * CHOOSE(CONTROL!$C$32, $C$9, 100%, $E$9)</f>
        <v>4.4512999999999998</v>
      </c>
      <c r="F147" s="9">
        <f>4.4513 * CHOOSE(CONTROL!$C$32, $C$9, 100%, $E$9)</f>
        <v>4.4512999999999998</v>
      </c>
      <c r="G147" s="9">
        <f>4.4546 * CHOOSE(CONTROL!$C$32, $C$9, 100%, $E$9)</f>
        <v>4.4546000000000001</v>
      </c>
      <c r="H147" s="9">
        <f>7.6047 * CHOOSE(CONTROL!$C$32, $C$9, 100%, $E$9)</f>
        <v>7.6047000000000002</v>
      </c>
      <c r="I147" s="9">
        <f>7.6079 * CHOOSE(CONTROL!$C$32, $C$9, 100%, $E$9)</f>
        <v>7.6078999999999999</v>
      </c>
      <c r="J147" s="9">
        <f>7.6047 * CHOOSE(CONTROL!$C$32, $C$9, 100%, $E$9)</f>
        <v>7.6047000000000002</v>
      </c>
      <c r="K147" s="9">
        <f>7.6079 * CHOOSE(CONTROL!$C$32, $C$9, 100%, $E$9)</f>
        <v>7.6078999999999999</v>
      </c>
      <c r="L147" s="9">
        <f>4.4513 * CHOOSE(CONTROL!$C$32, $C$9, 100%, $E$9)</f>
        <v>4.4512999999999998</v>
      </c>
      <c r="M147" s="9">
        <f>4.4546 * CHOOSE(CONTROL!$C$32, $C$9, 100%, $E$9)</f>
        <v>4.4546000000000001</v>
      </c>
      <c r="N147" s="9">
        <f>4.4513 * CHOOSE(CONTROL!$C$32, $C$9, 100%, $E$9)</f>
        <v>4.4512999999999998</v>
      </c>
      <c r="O147" s="9">
        <f>4.4546 * CHOOSE(CONTROL!$C$32, $C$9, 100%, $E$9)</f>
        <v>4.4546000000000001</v>
      </c>
      <c r="P147" s="17"/>
      <c r="Q147" s="17"/>
      <c r="R147" s="17"/>
    </row>
    <row r="148" spans="1:18" ht="15" x14ac:dyDescent="0.2">
      <c r="A148" s="16">
        <v>45352</v>
      </c>
      <c r="B148" s="10">
        <f>4.0433 * CHOOSE(CONTROL!$C$32, $C$9, 100%, $E$9)</f>
        <v>4.0433000000000003</v>
      </c>
      <c r="C148" s="10">
        <f>4.0433 * CHOOSE(CONTROL!$C$32, $C$9, 100%, $E$9)</f>
        <v>4.0433000000000003</v>
      </c>
      <c r="D148" s="10">
        <f>4.0443 * CHOOSE(CONTROL!$C$32, $C$9, 100%, $E$9)</f>
        <v>4.0442999999999998</v>
      </c>
      <c r="E148" s="9">
        <f>4.5018 * CHOOSE(CONTROL!$C$32, $C$9, 100%, $E$9)</f>
        <v>4.5018000000000002</v>
      </c>
      <c r="F148" s="9">
        <f>4.5018 * CHOOSE(CONTROL!$C$32, $C$9, 100%, $E$9)</f>
        <v>4.5018000000000002</v>
      </c>
      <c r="G148" s="9">
        <f>4.505 * CHOOSE(CONTROL!$C$32, $C$9, 100%, $E$9)</f>
        <v>4.5049999999999999</v>
      </c>
      <c r="H148" s="9">
        <f>7.6205 * CHOOSE(CONTROL!$C$32, $C$9, 100%, $E$9)</f>
        <v>7.6204999999999998</v>
      </c>
      <c r="I148" s="9">
        <f>7.6238 * CHOOSE(CONTROL!$C$32, $C$9, 100%, $E$9)</f>
        <v>7.6238000000000001</v>
      </c>
      <c r="J148" s="9">
        <f>7.6205 * CHOOSE(CONTROL!$C$32, $C$9, 100%, $E$9)</f>
        <v>7.6204999999999998</v>
      </c>
      <c r="K148" s="9">
        <f>7.6238 * CHOOSE(CONTROL!$C$32, $C$9, 100%, $E$9)</f>
        <v>7.6238000000000001</v>
      </c>
      <c r="L148" s="9">
        <f>4.5018 * CHOOSE(CONTROL!$C$32, $C$9, 100%, $E$9)</f>
        <v>4.5018000000000002</v>
      </c>
      <c r="M148" s="9">
        <f>4.505 * CHOOSE(CONTROL!$C$32, $C$9, 100%, $E$9)</f>
        <v>4.5049999999999999</v>
      </c>
      <c r="N148" s="9">
        <f>4.5018 * CHOOSE(CONTROL!$C$32, $C$9, 100%, $E$9)</f>
        <v>4.5018000000000002</v>
      </c>
      <c r="O148" s="9">
        <f>4.505 * CHOOSE(CONTROL!$C$32, $C$9, 100%, $E$9)</f>
        <v>4.5049999999999999</v>
      </c>
      <c r="P148" s="17"/>
      <c r="Q148" s="17"/>
      <c r="R148" s="17"/>
    </row>
    <row r="149" spans="1:18" ht="15" x14ac:dyDescent="0.2">
      <c r="A149" s="16">
        <v>45383</v>
      </c>
      <c r="B149" s="10">
        <f>4.0412 * CHOOSE(CONTROL!$C$32, $C$9, 100%, $E$9)</f>
        <v>4.0411999999999999</v>
      </c>
      <c r="C149" s="10">
        <f>4.0412 * CHOOSE(CONTROL!$C$32, $C$9, 100%, $E$9)</f>
        <v>4.0411999999999999</v>
      </c>
      <c r="D149" s="10">
        <f>4.0421 * CHOOSE(CONTROL!$C$32, $C$9, 100%, $E$9)</f>
        <v>4.0420999999999996</v>
      </c>
      <c r="E149" s="9">
        <f>4.554 * CHOOSE(CONTROL!$C$32, $C$9, 100%, $E$9)</f>
        <v>4.5540000000000003</v>
      </c>
      <c r="F149" s="9">
        <f>4.554 * CHOOSE(CONTROL!$C$32, $C$9, 100%, $E$9)</f>
        <v>4.5540000000000003</v>
      </c>
      <c r="G149" s="9">
        <f>4.5572 * CHOOSE(CONTROL!$C$32, $C$9, 100%, $E$9)</f>
        <v>4.5571999999999999</v>
      </c>
      <c r="H149" s="9">
        <f>7.6364 * CHOOSE(CONTROL!$C$32, $C$9, 100%, $E$9)</f>
        <v>7.6364000000000001</v>
      </c>
      <c r="I149" s="9">
        <f>7.6396 * CHOOSE(CONTROL!$C$32, $C$9, 100%, $E$9)</f>
        <v>7.6395999999999997</v>
      </c>
      <c r="J149" s="9">
        <f>7.6364 * CHOOSE(CONTROL!$C$32, $C$9, 100%, $E$9)</f>
        <v>7.6364000000000001</v>
      </c>
      <c r="K149" s="9">
        <f>7.6396 * CHOOSE(CONTROL!$C$32, $C$9, 100%, $E$9)</f>
        <v>7.6395999999999997</v>
      </c>
      <c r="L149" s="9">
        <f>4.554 * CHOOSE(CONTROL!$C$32, $C$9, 100%, $E$9)</f>
        <v>4.5540000000000003</v>
      </c>
      <c r="M149" s="9">
        <f>4.5572 * CHOOSE(CONTROL!$C$32, $C$9, 100%, $E$9)</f>
        <v>4.5571999999999999</v>
      </c>
      <c r="N149" s="9">
        <f>4.554 * CHOOSE(CONTROL!$C$32, $C$9, 100%, $E$9)</f>
        <v>4.5540000000000003</v>
      </c>
      <c r="O149" s="9">
        <f>4.5572 * CHOOSE(CONTROL!$C$32, $C$9, 100%, $E$9)</f>
        <v>4.5571999999999999</v>
      </c>
      <c r="P149" s="17"/>
      <c r="Q149" s="17"/>
      <c r="R149" s="17"/>
    </row>
    <row r="150" spans="1:18" ht="15" x14ac:dyDescent="0.2">
      <c r="A150" s="16">
        <v>45413</v>
      </c>
      <c r="B150" s="10">
        <f>4.0412 * CHOOSE(CONTROL!$C$32, $C$9, 100%, $E$9)</f>
        <v>4.0411999999999999</v>
      </c>
      <c r="C150" s="10">
        <f>4.0412 * CHOOSE(CONTROL!$C$32, $C$9, 100%, $E$9)</f>
        <v>4.0411999999999999</v>
      </c>
      <c r="D150" s="10">
        <f>4.0424 * CHOOSE(CONTROL!$C$32, $C$9, 100%, $E$9)</f>
        <v>4.0423999999999998</v>
      </c>
      <c r="E150" s="9">
        <f>4.5752 * CHOOSE(CONTROL!$C$32, $C$9, 100%, $E$9)</f>
        <v>4.5751999999999997</v>
      </c>
      <c r="F150" s="9">
        <f>4.5752 * CHOOSE(CONTROL!$C$32, $C$9, 100%, $E$9)</f>
        <v>4.5751999999999997</v>
      </c>
      <c r="G150" s="9">
        <f>4.5794 * CHOOSE(CONTROL!$C$32, $C$9, 100%, $E$9)</f>
        <v>4.5793999999999997</v>
      </c>
      <c r="H150" s="9">
        <f>7.6523 * CHOOSE(CONTROL!$C$32, $C$9, 100%, $E$9)</f>
        <v>7.6523000000000003</v>
      </c>
      <c r="I150" s="9">
        <f>7.6565 * CHOOSE(CONTROL!$C$32, $C$9, 100%, $E$9)</f>
        <v>7.6565000000000003</v>
      </c>
      <c r="J150" s="9">
        <f>7.6523 * CHOOSE(CONTROL!$C$32, $C$9, 100%, $E$9)</f>
        <v>7.6523000000000003</v>
      </c>
      <c r="K150" s="9">
        <f>7.6565 * CHOOSE(CONTROL!$C$32, $C$9, 100%, $E$9)</f>
        <v>7.6565000000000003</v>
      </c>
      <c r="L150" s="9">
        <f>4.5752 * CHOOSE(CONTROL!$C$32, $C$9, 100%, $E$9)</f>
        <v>4.5751999999999997</v>
      </c>
      <c r="M150" s="9">
        <f>4.5794 * CHOOSE(CONTROL!$C$32, $C$9, 100%, $E$9)</f>
        <v>4.5793999999999997</v>
      </c>
      <c r="N150" s="9">
        <f>4.5752 * CHOOSE(CONTROL!$C$32, $C$9, 100%, $E$9)</f>
        <v>4.5751999999999997</v>
      </c>
      <c r="O150" s="9">
        <f>4.5794 * CHOOSE(CONTROL!$C$32, $C$9, 100%, $E$9)</f>
        <v>4.5793999999999997</v>
      </c>
      <c r="P150" s="17"/>
      <c r="Q150" s="17"/>
      <c r="R150" s="17"/>
    </row>
    <row r="151" spans="1:18" ht="15" x14ac:dyDescent="0.2">
      <c r="A151" s="16">
        <v>45444</v>
      </c>
      <c r="B151" s="10">
        <f>4.0472 * CHOOSE(CONTROL!$C$32, $C$9, 100%, $E$9)</f>
        <v>4.0472000000000001</v>
      </c>
      <c r="C151" s="10">
        <f>4.0472 * CHOOSE(CONTROL!$C$32, $C$9, 100%, $E$9)</f>
        <v>4.0472000000000001</v>
      </c>
      <c r="D151" s="10">
        <f>4.0485 * CHOOSE(CONTROL!$C$32, $C$9, 100%, $E$9)</f>
        <v>4.0484999999999998</v>
      </c>
      <c r="E151" s="9">
        <f>4.5582 * CHOOSE(CONTROL!$C$32, $C$9, 100%, $E$9)</f>
        <v>4.5582000000000003</v>
      </c>
      <c r="F151" s="9">
        <f>4.5582 * CHOOSE(CONTROL!$C$32, $C$9, 100%, $E$9)</f>
        <v>4.5582000000000003</v>
      </c>
      <c r="G151" s="9">
        <f>4.5624 * CHOOSE(CONTROL!$C$32, $C$9, 100%, $E$9)</f>
        <v>4.5624000000000002</v>
      </c>
      <c r="H151" s="9">
        <f>7.6683 * CHOOSE(CONTROL!$C$32, $C$9, 100%, $E$9)</f>
        <v>7.6683000000000003</v>
      </c>
      <c r="I151" s="9">
        <f>7.6725 * CHOOSE(CONTROL!$C$32, $C$9, 100%, $E$9)</f>
        <v>7.6725000000000003</v>
      </c>
      <c r="J151" s="9">
        <f>7.6683 * CHOOSE(CONTROL!$C$32, $C$9, 100%, $E$9)</f>
        <v>7.6683000000000003</v>
      </c>
      <c r="K151" s="9">
        <f>7.6725 * CHOOSE(CONTROL!$C$32, $C$9, 100%, $E$9)</f>
        <v>7.6725000000000003</v>
      </c>
      <c r="L151" s="9">
        <f>4.5582 * CHOOSE(CONTROL!$C$32, $C$9, 100%, $E$9)</f>
        <v>4.5582000000000003</v>
      </c>
      <c r="M151" s="9">
        <f>4.5624 * CHOOSE(CONTROL!$C$32, $C$9, 100%, $E$9)</f>
        <v>4.5624000000000002</v>
      </c>
      <c r="N151" s="9">
        <f>4.5582 * CHOOSE(CONTROL!$C$32, $C$9, 100%, $E$9)</f>
        <v>4.5582000000000003</v>
      </c>
      <c r="O151" s="9">
        <f>4.5624 * CHOOSE(CONTROL!$C$32, $C$9, 100%, $E$9)</f>
        <v>4.5624000000000002</v>
      </c>
      <c r="P151" s="17"/>
      <c r="Q151" s="17"/>
      <c r="R151" s="17"/>
    </row>
    <row r="152" spans="1:18" ht="15" x14ac:dyDescent="0.2">
      <c r="A152" s="16">
        <v>45474</v>
      </c>
      <c r="B152" s="10">
        <f>4.0876 * CHOOSE(CONTROL!$C$32, $C$9, 100%, $E$9)</f>
        <v>4.0876000000000001</v>
      </c>
      <c r="C152" s="10">
        <f>4.0876 * CHOOSE(CONTROL!$C$32, $C$9, 100%, $E$9)</f>
        <v>4.0876000000000001</v>
      </c>
      <c r="D152" s="10">
        <f>4.0888 * CHOOSE(CONTROL!$C$32, $C$9, 100%, $E$9)</f>
        <v>4.0888</v>
      </c>
      <c r="E152" s="9">
        <f>4.6067 * CHOOSE(CONTROL!$C$32, $C$9, 100%, $E$9)</f>
        <v>4.6067</v>
      </c>
      <c r="F152" s="9">
        <f>4.6067 * CHOOSE(CONTROL!$C$32, $C$9, 100%, $E$9)</f>
        <v>4.6067</v>
      </c>
      <c r="G152" s="9">
        <f>4.6109 * CHOOSE(CONTROL!$C$32, $C$9, 100%, $E$9)</f>
        <v>4.6109</v>
      </c>
      <c r="H152" s="9">
        <f>7.6842 * CHOOSE(CONTROL!$C$32, $C$9, 100%, $E$9)</f>
        <v>7.6841999999999997</v>
      </c>
      <c r="I152" s="9">
        <f>7.6884 * CHOOSE(CONTROL!$C$32, $C$9, 100%, $E$9)</f>
        <v>7.6883999999999997</v>
      </c>
      <c r="J152" s="9">
        <f>7.6842 * CHOOSE(CONTROL!$C$32, $C$9, 100%, $E$9)</f>
        <v>7.6841999999999997</v>
      </c>
      <c r="K152" s="9">
        <f>7.6884 * CHOOSE(CONTROL!$C$32, $C$9, 100%, $E$9)</f>
        <v>7.6883999999999997</v>
      </c>
      <c r="L152" s="9">
        <f>4.6067 * CHOOSE(CONTROL!$C$32, $C$9, 100%, $E$9)</f>
        <v>4.6067</v>
      </c>
      <c r="M152" s="9">
        <f>4.6109 * CHOOSE(CONTROL!$C$32, $C$9, 100%, $E$9)</f>
        <v>4.6109</v>
      </c>
      <c r="N152" s="9">
        <f>4.6067 * CHOOSE(CONTROL!$C$32, $C$9, 100%, $E$9)</f>
        <v>4.6067</v>
      </c>
      <c r="O152" s="9">
        <f>4.6109 * CHOOSE(CONTROL!$C$32, $C$9, 100%, $E$9)</f>
        <v>4.6109</v>
      </c>
      <c r="P152" s="17"/>
      <c r="Q152" s="17"/>
      <c r="R152" s="17"/>
    </row>
    <row r="153" spans="1:18" ht="15" x14ac:dyDescent="0.2">
      <c r="A153" s="16">
        <v>45505</v>
      </c>
      <c r="B153" s="10">
        <f>4.0943 * CHOOSE(CONTROL!$C$32, $C$9, 100%, $E$9)</f>
        <v>4.0942999999999996</v>
      </c>
      <c r="C153" s="10">
        <f>4.0943 * CHOOSE(CONTROL!$C$32, $C$9, 100%, $E$9)</f>
        <v>4.0942999999999996</v>
      </c>
      <c r="D153" s="10">
        <f>4.0955 * CHOOSE(CONTROL!$C$32, $C$9, 100%, $E$9)</f>
        <v>4.0955000000000004</v>
      </c>
      <c r="E153" s="9">
        <f>4.5479 * CHOOSE(CONTROL!$C$32, $C$9, 100%, $E$9)</f>
        <v>4.5479000000000003</v>
      </c>
      <c r="F153" s="9">
        <f>4.5479 * CHOOSE(CONTROL!$C$32, $C$9, 100%, $E$9)</f>
        <v>4.5479000000000003</v>
      </c>
      <c r="G153" s="9">
        <f>4.5521 * CHOOSE(CONTROL!$C$32, $C$9, 100%, $E$9)</f>
        <v>4.5521000000000003</v>
      </c>
      <c r="H153" s="9">
        <f>7.7002 * CHOOSE(CONTROL!$C$32, $C$9, 100%, $E$9)</f>
        <v>7.7001999999999997</v>
      </c>
      <c r="I153" s="9">
        <f>7.7044 * CHOOSE(CONTROL!$C$32, $C$9, 100%, $E$9)</f>
        <v>7.7043999999999997</v>
      </c>
      <c r="J153" s="9">
        <f>7.7002 * CHOOSE(CONTROL!$C$32, $C$9, 100%, $E$9)</f>
        <v>7.7001999999999997</v>
      </c>
      <c r="K153" s="9">
        <f>7.7044 * CHOOSE(CONTROL!$C$32, $C$9, 100%, $E$9)</f>
        <v>7.7043999999999997</v>
      </c>
      <c r="L153" s="9">
        <f>4.5479 * CHOOSE(CONTROL!$C$32, $C$9, 100%, $E$9)</f>
        <v>4.5479000000000003</v>
      </c>
      <c r="M153" s="9">
        <f>4.5521 * CHOOSE(CONTROL!$C$32, $C$9, 100%, $E$9)</f>
        <v>4.5521000000000003</v>
      </c>
      <c r="N153" s="9">
        <f>4.5479 * CHOOSE(CONTROL!$C$32, $C$9, 100%, $E$9)</f>
        <v>4.5479000000000003</v>
      </c>
      <c r="O153" s="9">
        <f>4.5521 * CHOOSE(CONTROL!$C$32, $C$9, 100%, $E$9)</f>
        <v>4.5521000000000003</v>
      </c>
      <c r="P153" s="17"/>
      <c r="Q153" s="17"/>
      <c r="R153" s="17"/>
    </row>
    <row r="154" spans="1:18" ht="15" x14ac:dyDescent="0.2">
      <c r="A154" s="16">
        <v>45536</v>
      </c>
      <c r="B154" s="10">
        <f>4.0912 * CHOOSE(CONTROL!$C$32, $C$9, 100%, $E$9)</f>
        <v>4.0911999999999997</v>
      </c>
      <c r="C154" s="10">
        <f>4.0912 * CHOOSE(CONTROL!$C$32, $C$9, 100%, $E$9)</f>
        <v>4.0911999999999997</v>
      </c>
      <c r="D154" s="10">
        <f>4.0925 * CHOOSE(CONTROL!$C$32, $C$9, 100%, $E$9)</f>
        <v>4.0925000000000002</v>
      </c>
      <c r="E154" s="9">
        <f>4.5387 * CHOOSE(CONTROL!$C$32, $C$9, 100%, $E$9)</f>
        <v>4.5387000000000004</v>
      </c>
      <c r="F154" s="9">
        <f>4.5387 * CHOOSE(CONTROL!$C$32, $C$9, 100%, $E$9)</f>
        <v>4.5387000000000004</v>
      </c>
      <c r="G154" s="9">
        <f>4.5429 * CHOOSE(CONTROL!$C$32, $C$9, 100%, $E$9)</f>
        <v>4.5429000000000004</v>
      </c>
      <c r="H154" s="9">
        <f>7.7163 * CHOOSE(CONTROL!$C$32, $C$9, 100%, $E$9)</f>
        <v>7.7163000000000004</v>
      </c>
      <c r="I154" s="9">
        <f>7.7205 * CHOOSE(CONTROL!$C$32, $C$9, 100%, $E$9)</f>
        <v>7.7205000000000004</v>
      </c>
      <c r="J154" s="9">
        <f>7.7163 * CHOOSE(CONTROL!$C$32, $C$9, 100%, $E$9)</f>
        <v>7.7163000000000004</v>
      </c>
      <c r="K154" s="9">
        <f>7.7205 * CHOOSE(CONTROL!$C$32, $C$9, 100%, $E$9)</f>
        <v>7.7205000000000004</v>
      </c>
      <c r="L154" s="9">
        <f>4.5387 * CHOOSE(CONTROL!$C$32, $C$9, 100%, $E$9)</f>
        <v>4.5387000000000004</v>
      </c>
      <c r="M154" s="9">
        <f>4.5429 * CHOOSE(CONTROL!$C$32, $C$9, 100%, $E$9)</f>
        <v>4.5429000000000004</v>
      </c>
      <c r="N154" s="9">
        <f>4.5387 * CHOOSE(CONTROL!$C$32, $C$9, 100%, $E$9)</f>
        <v>4.5387000000000004</v>
      </c>
      <c r="O154" s="9">
        <f>4.5429 * CHOOSE(CONTROL!$C$32, $C$9, 100%, $E$9)</f>
        <v>4.5429000000000004</v>
      </c>
      <c r="P154" s="17"/>
      <c r="Q154" s="17"/>
      <c r="R154" s="17"/>
    </row>
    <row r="155" spans="1:18" ht="15" x14ac:dyDescent="0.2">
      <c r="A155" s="16">
        <v>45566</v>
      </c>
      <c r="B155" s="10">
        <f>4.0872 * CHOOSE(CONTROL!$C$32, $C$9, 100%, $E$9)</f>
        <v>4.0872000000000002</v>
      </c>
      <c r="C155" s="10">
        <f>4.0872 * CHOOSE(CONTROL!$C$32, $C$9, 100%, $E$9)</f>
        <v>4.0872000000000002</v>
      </c>
      <c r="D155" s="10">
        <f>4.0881 * CHOOSE(CONTROL!$C$32, $C$9, 100%, $E$9)</f>
        <v>4.0880999999999998</v>
      </c>
      <c r="E155" s="9">
        <f>4.5535 * CHOOSE(CONTROL!$C$32, $C$9, 100%, $E$9)</f>
        <v>4.5534999999999997</v>
      </c>
      <c r="F155" s="9">
        <f>4.5535 * CHOOSE(CONTROL!$C$32, $C$9, 100%, $E$9)</f>
        <v>4.5534999999999997</v>
      </c>
      <c r="G155" s="9">
        <f>4.5567 * CHOOSE(CONTROL!$C$32, $C$9, 100%, $E$9)</f>
        <v>4.5567000000000002</v>
      </c>
      <c r="H155" s="9">
        <f>7.7324 * CHOOSE(CONTROL!$C$32, $C$9, 100%, $E$9)</f>
        <v>7.7324000000000002</v>
      </c>
      <c r="I155" s="9">
        <f>7.7356 * CHOOSE(CONTROL!$C$32, $C$9, 100%, $E$9)</f>
        <v>7.7355999999999998</v>
      </c>
      <c r="J155" s="9">
        <f>7.7324 * CHOOSE(CONTROL!$C$32, $C$9, 100%, $E$9)</f>
        <v>7.7324000000000002</v>
      </c>
      <c r="K155" s="9">
        <f>7.7356 * CHOOSE(CONTROL!$C$32, $C$9, 100%, $E$9)</f>
        <v>7.7355999999999998</v>
      </c>
      <c r="L155" s="9">
        <f>4.5535 * CHOOSE(CONTROL!$C$32, $C$9, 100%, $E$9)</f>
        <v>4.5534999999999997</v>
      </c>
      <c r="M155" s="9">
        <f>4.5567 * CHOOSE(CONTROL!$C$32, $C$9, 100%, $E$9)</f>
        <v>4.5567000000000002</v>
      </c>
      <c r="N155" s="9">
        <f>4.5535 * CHOOSE(CONTROL!$C$32, $C$9, 100%, $E$9)</f>
        <v>4.5534999999999997</v>
      </c>
      <c r="O155" s="9">
        <f>4.5567 * CHOOSE(CONTROL!$C$32, $C$9, 100%, $E$9)</f>
        <v>4.5567000000000002</v>
      </c>
      <c r="P155" s="17"/>
      <c r="Q155" s="17"/>
      <c r="R155" s="17"/>
    </row>
    <row r="156" spans="1:18" ht="15" x14ac:dyDescent="0.2">
      <c r="A156" s="16">
        <v>45597</v>
      </c>
      <c r="B156" s="10">
        <f>4.0902 * CHOOSE(CONTROL!$C$32, $C$9, 100%, $E$9)</f>
        <v>4.0902000000000003</v>
      </c>
      <c r="C156" s="10">
        <f>4.0902 * CHOOSE(CONTROL!$C$32, $C$9, 100%, $E$9)</f>
        <v>4.0902000000000003</v>
      </c>
      <c r="D156" s="10">
        <f>4.0912 * CHOOSE(CONTROL!$C$32, $C$9, 100%, $E$9)</f>
        <v>4.0911999999999997</v>
      </c>
      <c r="E156" s="9">
        <f>4.5698 * CHOOSE(CONTROL!$C$32, $C$9, 100%, $E$9)</f>
        <v>4.5697999999999999</v>
      </c>
      <c r="F156" s="9">
        <f>4.5698 * CHOOSE(CONTROL!$C$32, $C$9, 100%, $E$9)</f>
        <v>4.5697999999999999</v>
      </c>
      <c r="G156" s="9">
        <f>4.573 * CHOOSE(CONTROL!$C$32, $C$9, 100%, $E$9)</f>
        <v>4.5730000000000004</v>
      </c>
      <c r="H156" s="9">
        <f>7.7485 * CHOOSE(CONTROL!$C$32, $C$9, 100%, $E$9)</f>
        <v>7.7484999999999999</v>
      </c>
      <c r="I156" s="9">
        <f>7.7517 * CHOOSE(CONTROL!$C$32, $C$9, 100%, $E$9)</f>
        <v>7.7516999999999996</v>
      </c>
      <c r="J156" s="9">
        <f>7.7485 * CHOOSE(CONTROL!$C$32, $C$9, 100%, $E$9)</f>
        <v>7.7484999999999999</v>
      </c>
      <c r="K156" s="9">
        <f>7.7517 * CHOOSE(CONTROL!$C$32, $C$9, 100%, $E$9)</f>
        <v>7.7516999999999996</v>
      </c>
      <c r="L156" s="9">
        <f>4.5698 * CHOOSE(CONTROL!$C$32, $C$9, 100%, $E$9)</f>
        <v>4.5697999999999999</v>
      </c>
      <c r="M156" s="9">
        <f>4.573 * CHOOSE(CONTROL!$C$32, $C$9, 100%, $E$9)</f>
        <v>4.5730000000000004</v>
      </c>
      <c r="N156" s="9">
        <f>4.5698 * CHOOSE(CONTROL!$C$32, $C$9, 100%, $E$9)</f>
        <v>4.5697999999999999</v>
      </c>
      <c r="O156" s="9">
        <f>4.573 * CHOOSE(CONTROL!$C$32, $C$9, 100%, $E$9)</f>
        <v>4.5730000000000004</v>
      </c>
      <c r="P156" s="17"/>
      <c r="Q156" s="17"/>
      <c r="R156" s="17"/>
    </row>
    <row r="157" spans="1:18" ht="15" x14ac:dyDescent="0.2">
      <c r="A157" s="16">
        <v>45627</v>
      </c>
      <c r="B157" s="10">
        <f>4.0902 * CHOOSE(CONTROL!$C$32, $C$9, 100%, $E$9)</f>
        <v>4.0902000000000003</v>
      </c>
      <c r="C157" s="10">
        <f>4.0902 * CHOOSE(CONTROL!$C$32, $C$9, 100%, $E$9)</f>
        <v>4.0902000000000003</v>
      </c>
      <c r="D157" s="10">
        <f>4.0912 * CHOOSE(CONTROL!$C$32, $C$9, 100%, $E$9)</f>
        <v>4.0911999999999997</v>
      </c>
      <c r="E157" s="9">
        <f>4.5345 * CHOOSE(CONTROL!$C$32, $C$9, 100%, $E$9)</f>
        <v>4.5345000000000004</v>
      </c>
      <c r="F157" s="9">
        <f>4.5345 * CHOOSE(CONTROL!$C$32, $C$9, 100%, $E$9)</f>
        <v>4.5345000000000004</v>
      </c>
      <c r="G157" s="9">
        <f>4.5377 * CHOOSE(CONTROL!$C$32, $C$9, 100%, $E$9)</f>
        <v>4.5377000000000001</v>
      </c>
      <c r="H157" s="9">
        <f>7.7646 * CHOOSE(CONTROL!$C$32, $C$9, 100%, $E$9)</f>
        <v>7.7645999999999997</v>
      </c>
      <c r="I157" s="9">
        <f>7.7678 * CHOOSE(CONTROL!$C$32, $C$9, 100%, $E$9)</f>
        <v>7.7678000000000003</v>
      </c>
      <c r="J157" s="9">
        <f>7.7646 * CHOOSE(CONTROL!$C$32, $C$9, 100%, $E$9)</f>
        <v>7.7645999999999997</v>
      </c>
      <c r="K157" s="9">
        <f>7.7678 * CHOOSE(CONTROL!$C$32, $C$9, 100%, $E$9)</f>
        <v>7.7678000000000003</v>
      </c>
      <c r="L157" s="9">
        <f>4.5345 * CHOOSE(CONTROL!$C$32, $C$9, 100%, $E$9)</f>
        <v>4.5345000000000004</v>
      </c>
      <c r="M157" s="9">
        <f>4.5377 * CHOOSE(CONTROL!$C$32, $C$9, 100%, $E$9)</f>
        <v>4.5377000000000001</v>
      </c>
      <c r="N157" s="9">
        <f>4.5345 * CHOOSE(CONTROL!$C$32, $C$9, 100%, $E$9)</f>
        <v>4.5345000000000004</v>
      </c>
      <c r="O157" s="9">
        <f>4.5377 * CHOOSE(CONTROL!$C$32, $C$9, 100%, $E$9)</f>
        <v>4.5377000000000001</v>
      </c>
      <c r="P157" s="17"/>
      <c r="Q157" s="17"/>
      <c r="R157" s="17"/>
    </row>
    <row r="158" spans="1:18" ht="15" x14ac:dyDescent="0.2">
      <c r="A158" s="16">
        <v>45658</v>
      </c>
      <c r="B158" s="10">
        <f>4.1274 * CHOOSE(CONTROL!$C$32, $C$9, 100%, $E$9)</f>
        <v>4.1273999999999997</v>
      </c>
      <c r="C158" s="10">
        <f>4.1274 * CHOOSE(CONTROL!$C$32, $C$9, 100%, $E$9)</f>
        <v>4.1273999999999997</v>
      </c>
      <c r="D158" s="10">
        <f>4.1283 * CHOOSE(CONTROL!$C$32, $C$9, 100%, $E$9)</f>
        <v>4.1283000000000003</v>
      </c>
      <c r="E158" s="9">
        <f>4.5812 * CHOOSE(CONTROL!$C$32, $C$9, 100%, $E$9)</f>
        <v>4.5811999999999999</v>
      </c>
      <c r="F158" s="9">
        <f>4.5812 * CHOOSE(CONTROL!$C$32, $C$9, 100%, $E$9)</f>
        <v>4.5811999999999999</v>
      </c>
      <c r="G158" s="9">
        <f>4.5845 * CHOOSE(CONTROL!$C$32, $C$9, 100%, $E$9)</f>
        <v>4.5845000000000002</v>
      </c>
      <c r="H158" s="9">
        <f>7.7808 * CHOOSE(CONTROL!$C$32, $C$9, 100%, $E$9)</f>
        <v>7.7808000000000002</v>
      </c>
      <c r="I158" s="9">
        <f>7.784 * CHOOSE(CONTROL!$C$32, $C$9, 100%, $E$9)</f>
        <v>7.7839999999999998</v>
      </c>
      <c r="J158" s="9">
        <f>7.7808 * CHOOSE(CONTROL!$C$32, $C$9, 100%, $E$9)</f>
        <v>7.7808000000000002</v>
      </c>
      <c r="K158" s="9">
        <f>7.784 * CHOOSE(CONTROL!$C$32, $C$9, 100%, $E$9)</f>
        <v>7.7839999999999998</v>
      </c>
      <c r="L158" s="9">
        <f>4.5812 * CHOOSE(CONTROL!$C$32, $C$9, 100%, $E$9)</f>
        <v>4.5811999999999999</v>
      </c>
      <c r="M158" s="9">
        <f>4.5845 * CHOOSE(CONTROL!$C$32, $C$9, 100%, $E$9)</f>
        <v>4.5845000000000002</v>
      </c>
      <c r="N158" s="9">
        <f>4.5812 * CHOOSE(CONTROL!$C$32, $C$9, 100%, $E$9)</f>
        <v>4.5811999999999999</v>
      </c>
      <c r="O158" s="9">
        <f>4.5845 * CHOOSE(CONTROL!$C$32, $C$9, 100%, $E$9)</f>
        <v>4.5845000000000002</v>
      </c>
      <c r="P158" s="17"/>
      <c r="Q158" s="17"/>
      <c r="R158" s="17"/>
    </row>
    <row r="159" spans="1:18" ht="15" x14ac:dyDescent="0.2">
      <c r="A159" s="16">
        <v>45689</v>
      </c>
      <c r="B159" s="10">
        <f>4.1243 * CHOOSE(CONTROL!$C$32, $C$9, 100%, $E$9)</f>
        <v>4.1242999999999999</v>
      </c>
      <c r="C159" s="10">
        <f>4.1243 * CHOOSE(CONTROL!$C$32, $C$9, 100%, $E$9)</f>
        <v>4.1242999999999999</v>
      </c>
      <c r="D159" s="10">
        <f>4.1253 * CHOOSE(CONTROL!$C$32, $C$9, 100%, $E$9)</f>
        <v>4.1253000000000002</v>
      </c>
      <c r="E159" s="9">
        <f>4.5102 * CHOOSE(CONTROL!$C$32, $C$9, 100%, $E$9)</f>
        <v>4.5102000000000002</v>
      </c>
      <c r="F159" s="9">
        <f>4.5102 * CHOOSE(CONTROL!$C$32, $C$9, 100%, $E$9)</f>
        <v>4.5102000000000002</v>
      </c>
      <c r="G159" s="9">
        <f>4.5134 * CHOOSE(CONTROL!$C$32, $C$9, 100%, $E$9)</f>
        <v>4.5133999999999999</v>
      </c>
      <c r="H159" s="9">
        <f>7.797 * CHOOSE(CONTROL!$C$32, $C$9, 100%, $E$9)</f>
        <v>7.7969999999999997</v>
      </c>
      <c r="I159" s="9">
        <f>7.8002 * CHOOSE(CONTROL!$C$32, $C$9, 100%, $E$9)</f>
        <v>7.8002000000000002</v>
      </c>
      <c r="J159" s="9">
        <f>7.797 * CHOOSE(CONTROL!$C$32, $C$9, 100%, $E$9)</f>
        <v>7.7969999999999997</v>
      </c>
      <c r="K159" s="9">
        <f>7.8002 * CHOOSE(CONTROL!$C$32, $C$9, 100%, $E$9)</f>
        <v>7.8002000000000002</v>
      </c>
      <c r="L159" s="9">
        <f>4.5102 * CHOOSE(CONTROL!$C$32, $C$9, 100%, $E$9)</f>
        <v>4.5102000000000002</v>
      </c>
      <c r="M159" s="9">
        <f>4.5134 * CHOOSE(CONTROL!$C$32, $C$9, 100%, $E$9)</f>
        <v>4.5133999999999999</v>
      </c>
      <c r="N159" s="9">
        <f>4.5102 * CHOOSE(CONTROL!$C$32, $C$9, 100%, $E$9)</f>
        <v>4.5102000000000002</v>
      </c>
      <c r="O159" s="9">
        <f>4.5134 * CHOOSE(CONTROL!$C$32, $C$9, 100%, $E$9)</f>
        <v>4.5133999999999999</v>
      </c>
      <c r="P159" s="17"/>
      <c r="Q159" s="17"/>
      <c r="R159" s="17"/>
    </row>
    <row r="160" spans="1:18" ht="15" x14ac:dyDescent="0.2">
      <c r="A160" s="16">
        <v>45717</v>
      </c>
      <c r="B160" s="10">
        <f>4.1213 * CHOOSE(CONTROL!$C$32, $C$9, 100%, $E$9)</f>
        <v>4.1212999999999997</v>
      </c>
      <c r="C160" s="10">
        <f>4.1213 * CHOOSE(CONTROL!$C$32, $C$9, 100%, $E$9)</f>
        <v>4.1212999999999997</v>
      </c>
      <c r="D160" s="10">
        <f>4.1222 * CHOOSE(CONTROL!$C$32, $C$9, 100%, $E$9)</f>
        <v>4.1222000000000003</v>
      </c>
      <c r="E160" s="9">
        <f>4.5624 * CHOOSE(CONTROL!$C$32, $C$9, 100%, $E$9)</f>
        <v>4.5624000000000002</v>
      </c>
      <c r="F160" s="9">
        <f>4.5624 * CHOOSE(CONTROL!$C$32, $C$9, 100%, $E$9)</f>
        <v>4.5624000000000002</v>
      </c>
      <c r="G160" s="9">
        <f>4.5657 * CHOOSE(CONTROL!$C$32, $C$9, 100%, $E$9)</f>
        <v>4.5656999999999996</v>
      </c>
      <c r="H160" s="9">
        <f>7.8132 * CHOOSE(CONTROL!$C$32, $C$9, 100%, $E$9)</f>
        <v>7.8132000000000001</v>
      </c>
      <c r="I160" s="9">
        <f>7.8165 * CHOOSE(CONTROL!$C$32, $C$9, 100%, $E$9)</f>
        <v>7.8164999999999996</v>
      </c>
      <c r="J160" s="9">
        <f>7.8132 * CHOOSE(CONTROL!$C$32, $C$9, 100%, $E$9)</f>
        <v>7.8132000000000001</v>
      </c>
      <c r="K160" s="9">
        <f>7.8165 * CHOOSE(CONTROL!$C$32, $C$9, 100%, $E$9)</f>
        <v>7.8164999999999996</v>
      </c>
      <c r="L160" s="9">
        <f>4.5624 * CHOOSE(CONTROL!$C$32, $C$9, 100%, $E$9)</f>
        <v>4.5624000000000002</v>
      </c>
      <c r="M160" s="9">
        <f>4.5657 * CHOOSE(CONTROL!$C$32, $C$9, 100%, $E$9)</f>
        <v>4.5656999999999996</v>
      </c>
      <c r="N160" s="9">
        <f>4.5624 * CHOOSE(CONTROL!$C$32, $C$9, 100%, $E$9)</f>
        <v>4.5624000000000002</v>
      </c>
      <c r="O160" s="9">
        <f>4.5657 * CHOOSE(CONTROL!$C$32, $C$9, 100%, $E$9)</f>
        <v>4.5656999999999996</v>
      </c>
      <c r="P160" s="17"/>
      <c r="Q160" s="17"/>
      <c r="R160" s="17"/>
    </row>
    <row r="161" spans="1:18" ht="15" x14ac:dyDescent="0.2">
      <c r="A161" s="16">
        <v>45748</v>
      </c>
      <c r="B161" s="10">
        <f>4.1192 * CHOOSE(CONTROL!$C$32, $C$9, 100%, $E$9)</f>
        <v>4.1192000000000002</v>
      </c>
      <c r="C161" s="10">
        <f>4.1192 * CHOOSE(CONTROL!$C$32, $C$9, 100%, $E$9)</f>
        <v>4.1192000000000002</v>
      </c>
      <c r="D161" s="10">
        <f>4.1202 * CHOOSE(CONTROL!$C$32, $C$9, 100%, $E$9)</f>
        <v>4.1201999999999996</v>
      </c>
      <c r="E161" s="9">
        <f>4.6165 * CHOOSE(CONTROL!$C$32, $C$9, 100%, $E$9)</f>
        <v>4.6165000000000003</v>
      </c>
      <c r="F161" s="9">
        <f>4.6165 * CHOOSE(CONTROL!$C$32, $C$9, 100%, $E$9)</f>
        <v>4.6165000000000003</v>
      </c>
      <c r="G161" s="9">
        <f>4.6198 * CHOOSE(CONTROL!$C$32, $C$9, 100%, $E$9)</f>
        <v>4.6197999999999997</v>
      </c>
      <c r="H161" s="9">
        <f>7.8295 * CHOOSE(CONTROL!$C$32, $C$9, 100%, $E$9)</f>
        <v>7.8295000000000003</v>
      </c>
      <c r="I161" s="9">
        <f>7.8327 * CHOOSE(CONTROL!$C$32, $C$9, 100%, $E$9)</f>
        <v>7.8327</v>
      </c>
      <c r="J161" s="9">
        <f>7.8295 * CHOOSE(CONTROL!$C$32, $C$9, 100%, $E$9)</f>
        <v>7.8295000000000003</v>
      </c>
      <c r="K161" s="9">
        <f>7.8327 * CHOOSE(CONTROL!$C$32, $C$9, 100%, $E$9)</f>
        <v>7.8327</v>
      </c>
      <c r="L161" s="9">
        <f>4.6165 * CHOOSE(CONTROL!$C$32, $C$9, 100%, $E$9)</f>
        <v>4.6165000000000003</v>
      </c>
      <c r="M161" s="9">
        <f>4.6198 * CHOOSE(CONTROL!$C$32, $C$9, 100%, $E$9)</f>
        <v>4.6197999999999997</v>
      </c>
      <c r="N161" s="9">
        <f>4.6165 * CHOOSE(CONTROL!$C$32, $C$9, 100%, $E$9)</f>
        <v>4.6165000000000003</v>
      </c>
      <c r="O161" s="9">
        <f>4.6198 * CHOOSE(CONTROL!$C$32, $C$9, 100%, $E$9)</f>
        <v>4.6197999999999997</v>
      </c>
      <c r="P161" s="17"/>
      <c r="Q161" s="17"/>
      <c r="R161" s="17"/>
    </row>
    <row r="162" spans="1:18" ht="15" x14ac:dyDescent="0.2">
      <c r="A162" s="16">
        <v>45778</v>
      </c>
      <c r="B162" s="10">
        <f>4.1192 * CHOOSE(CONTROL!$C$32, $C$9, 100%, $E$9)</f>
        <v>4.1192000000000002</v>
      </c>
      <c r="C162" s="10">
        <f>4.1192 * CHOOSE(CONTROL!$C$32, $C$9, 100%, $E$9)</f>
        <v>4.1192000000000002</v>
      </c>
      <c r="D162" s="10">
        <f>4.1205 * CHOOSE(CONTROL!$C$32, $C$9, 100%, $E$9)</f>
        <v>4.1204999999999998</v>
      </c>
      <c r="E162" s="9">
        <f>4.6384 * CHOOSE(CONTROL!$C$32, $C$9, 100%, $E$9)</f>
        <v>4.6383999999999999</v>
      </c>
      <c r="F162" s="9">
        <f>4.6384 * CHOOSE(CONTROL!$C$32, $C$9, 100%, $E$9)</f>
        <v>4.6383999999999999</v>
      </c>
      <c r="G162" s="9">
        <f>4.6426 * CHOOSE(CONTROL!$C$32, $C$9, 100%, $E$9)</f>
        <v>4.6425999999999998</v>
      </c>
      <c r="H162" s="9">
        <f>7.8458 * CHOOSE(CONTROL!$C$32, $C$9, 100%, $E$9)</f>
        <v>7.8457999999999997</v>
      </c>
      <c r="I162" s="9">
        <f>7.85 * CHOOSE(CONTROL!$C$32, $C$9, 100%, $E$9)</f>
        <v>7.85</v>
      </c>
      <c r="J162" s="9">
        <f>7.8458 * CHOOSE(CONTROL!$C$32, $C$9, 100%, $E$9)</f>
        <v>7.8457999999999997</v>
      </c>
      <c r="K162" s="9">
        <f>7.85 * CHOOSE(CONTROL!$C$32, $C$9, 100%, $E$9)</f>
        <v>7.85</v>
      </c>
      <c r="L162" s="9">
        <f>4.6384 * CHOOSE(CONTROL!$C$32, $C$9, 100%, $E$9)</f>
        <v>4.6383999999999999</v>
      </c>
      <c r="M162" s="9">
        <f>4.6426 * CHOOSE(CONTROL!$C$32, $C$9, 100%, $E$9)</f>
        <v>4.6425999999999998</v>
      </c>
      <c r="N162" s="9">
        <f>4.6384 * CHOOSE(CONTROL!$C$32, $C$9, 100%, $E$9)</f>
        <v>4.6383999999999999</v>
      </c>
      <c r="O162" s="9">
        <f>4.6426 * CHOOSE(CONTROL!$C$32, $C$9, 100%, $E$9)</f>
        <v>4.6425999999999998</v>
      </c>
      <c r="P162" s="17"/>
      <c r="Q162" s="17"/>
      <c r="R162" s="17"/>
    </row>
    <row r="163" spans="1:18" ht="15" x14ac:dyDescent="0.2">
      <c r="A163" s="16">
        <v>45809</v>
      </c>
      <c r="B163" s="10">
        <f>4.1253 * CHOOSE(CONTROL!$C$32, $C$9, 100%, $E$9)</f>
        <v>4.1253000000000002</v>
      </c>
      <c r="C163" s="10">
        <f>4.1253 * CHOOSE(CONTROL!$C$32, $C$9, 100%, $E$9)</f>
        <v>4.1253000000000002</v>
      </c>
      <c r="D163" s="10">
        <f>4.1265 * CHOOSE(CONTROL!$C$32, $C$9, 100%, $E$9)</f>
        <v>4.1265000000000001</v>
      </c>
      <c r="E163" s="9">
        <f>4.6208 * CHOOSE(CONTROL!$C$32, $C$9, 100%, $E$9)</f>
        <v>4.6208</v>
      </c>
      <c r="F163" s="9">
        <f>4.6208 * CHOOSE(CONTROL!$C$32, $C$9, 100%, $E$9)</f>
        <v>4.6208</v>
      </c>
      <c r="G163" s="9">
        <f>4.625 * CHOOSE(CONTROL!$C$32, $C$9, 100%, $E$9)</f>
        <v>4.625</v>
      </c>
      <c r="H163" s="9">
        <f>7.8622 * CHOOSE(CONTROL!$C$32, $C$9, 100%, $E$9)</f>
        <v>7.8621999999999996</v>
      </c>
      <c r="I163" s="9">
        <f>7.8664 * CHOOSE(CONTROL!$C$32, $C$9, 100%, $E$9)</f>
        <v>7.8663999999999996</v>
      </c>
      <c r="J163" s="9">
        <f>7.8622 * CHOOSE(CONTROL!$C$32, $C$9, 100%, $E$9)</f>
        <v>7.8621999999999996</v>
      </c>
      <c r="K163" s="9">
        <f>7.8664 * CHOOSE(CONTROL!$C$32, $C$9, 100%, $E$9)</f>
        <v>7.8663999999999996</v>
      </c>
      <c r="L163" s="9">
        <f>4.6208 * CHOOSE(CONTROL!$C$32, $C$9, 100%, $E$9)</f>
        <v>4.6208</v>
      </c>
      <c r="M163" s="9">
        <f>4.625 * CHOOSE(CONTROL!$C$32, $C$9, 100%, $E$9)</f>
        <v>4.625</v>
      </c>
      <c r="N163" s="9">
        <f>4.6208 * CHOOSE(CONTROL!$C$32, $C$9, 100%, $E$9)</f>
        <v>4.6208</v>
      </c>
      <c r="O163" s="9">
        <f>4.625 * CHOOSE(CONTROL!$C$32, $C$9, 100%, $E$9)</f>
        <v>4.625</v>
      </c>
      <c r="P163" s="17"/>
      <c r="Q163" s="17"/>
      <c r="R163" s="17"/>
    </row>
    <row r="164" spans="1:18" ht="15" x14ac:dyDescent="0.2">
      <c r="A164" s="16">
        <v>45839</v>
      </c>
      <c r="B164" s="10">
        <f>4.1941 * CHOOSE(CONTROL!$C$32, $C$9, 100%, $E$9)</f>
        <v>4.1940999999999997</v>
      </c>
      <c r="C164" s="10">
        <f>4.1941 * CHOOSE(CONTROL!$C$32, $C$9, 100%, $E$9)</f>
        <v>4.1940999999999997</v>
      </c>
      <c r="D164" s="10">
        <f>4.1953 * CHOOSE(CONTROL!$C$32, $C$9, 100%, $E$9)</f>
        <v>4.1952999999999996</v>
      </c>
      <c r="E164" s="9">
        <f>4.6523 * CHOOSE(CONTROL!$C$32, $C$9, 100%, $E$9)</f>
        <v>4.6523000000000003</v>
      </c>
      <c r="F164" s="9">
        <f>4.6523 * CHOOSE(CONTROL!$C$32, $C$9, 100%, $E$9)</f>
        <v>4.6523000000000003</v>
      </c>
      <c r="G164" s="9">
        <f>4.6565 * CHOOSE(CONTROL!$C$32, $C$9, 100%, $E$9)</f>
        <v>4.6565000000000003</v>
      </c>
      <c r="H164" s="9">
        <f>7.8786 * CHOOSE(CONTROL!$C$32, $C$9, 100%, $E$9)</f>
        <v>7.8785999999999996</v>
      </c>
      <c r="I164" s="9">
        <f>7.8828 * CHOOSE(CONTROL!$C$32, $C$9, 100%, $E$9)</f>
        <v>7.8827999999999996</v>
      </c>
      <c r="J164" s="9">
        <f>7.8786 * CHOOSE(CONTROL!$C$32, $C$9, 100%, $E$9)</f>
        <v>7.8785999999999996</v>
      </c>
      <c r="K164" s="9">
        <f>7.8828 * CHOOSE(CONTROL!$C$32, $C$9, 100%, $E$9)</f>
        <v>7.8827999999999996</v>
      </c>
      <c r="L164" s="9">
        <f>4.6523 * CHOOSE(CONTROL!$C$32, $C$9, 100%, $E$9)</f>
        <v>4.6523000000000003</v>
      </c>
      <c r="M164" s="9">
        <f>4.6565 * CHOOSE(CONTROL!$C$32, $C$9, 100%, $E$9)</f>
        <v>4.6565000000000003</v>
      </c>
      <c r="N164" s="9">
        <f>4.6523 * CHOOSE(CONTROL!$C$32, $C$9, 100%, $E$9)</f>
        <v>4.6523000000000003</v>
      </c>
      <c r="O164" s="9">
        <f>4.6565 * CHOOSE(CONTROL!$C$32, $C$9, 100%, $E$9)</f>
        <v>4.6565000000000003</v>
      </c>
      <c r="P164" s="17"/>
      <c r="Q164" s="17"/>
      <c r="R164" s="17"/>
    </row>
    <row r="165" spans="1:18" ht="15" x14ac:dyDescent="0.2">
      <c r="A165" s="16">
        <v>45870</v>
      </c>
      <c r="B165" s="10">
        <f>4.2008 * CHOOSE(CONTROL!$C$32, $C$9, 100%, $E$9)</f>
        <v>4.2008000000000001</v>
      </c>
      <c r="C165" s="10">
        <f>4.2008 * CHOOSE(CONTROL!$C$32, $C$9, 100%, $E$9)</f>
        <v>4.2008000000000001</v>
      </c>
      <c r="D165" s="10">
        <f>4.202 * CHOOSE(CONTROL!$C$32, $C$9, 100%, $E$9)</f>
        <v>4.202</v>
      </c>
      <c r="E165" s="9">
        <f>4.5913 * CHOOSE(CONTROL!$C$32, $C$9, 100%, $E$9)</f>
        <v>4.5913000000000004</v>
      </c>
      <c r="F165" s="9">
        <f>4.5913 * CHOOSE(CONTROL!$C$32, $C$9, 100%, $E$9)</f>
        <v>4.5913000000000004</v>
      </c>
      <c r="G165" s="9">
        <f>4.5955 * CHOOSE(CONTROL!$C$32, $C$9, 100%, $E$9)</f>
        <v>4.5955000000000004</v>
      </c>
      <c r="H165" s="9">
        <f>7.895 * CHOOSE(CONTROL!$C$32, $C$9, 100%, $E$9)</f>
        <v>7.8949999999999996</v>
      </c>
      <c r="I165" s="9">
        <f>7.8992 * CHOOSE(CONTROL!$C$32, $C$9, 100%, $E$9)</f>
        <v>7.8992000000000004</v>
      </c>
      <c r="J165" s="9">
        <f>7.895 * CHOOSE(CONTROL!$C$32, $C$9, 100%, $E$9)</f>
        <v>7.8949999999999996</v>
      </c>
      <c r="K165" s="9">
        <f>7.8992 * CHOOSE(CONTROL!$C$32, $C$9, 100%, $E$9)</f>
        <v>7.8992000000000004</v>
      </c>
      <c r="L165" s="9">
        <f>4.5913 * CHOOSE(CONTROL!$C$32, $C$9, 100%, $E$9)</f>
        <v>4.5913000000000004</v>
      </c>
      <c r="M165" s="9">
        <f>4.5955 * CHOOSE(CONTROL!$C$32, $C$9, 100%, $E$9)</f>
        <v>4.5955000000000004</v>
      </c>
      <c r="N165" s="9">
        <f>4.5913 * CHOOSE(CONTROL!$C$32, $C$9, 100%, $E$9)</f>
        <v>4.5913000000000004</v>
      </c>
      <c r="O165" s="9">
        <f>4.5955 * CHOOSE(CONTROL!$C$32, $C$9, 100%, $E$9)</f>
        <v>4.5955000000000004</v>
      </c>
      <c r="P165" s="17"/>
      <c r="Q165" s="17"/>
      <c r="R165" s="17"/>
    </row>
    <row r="166" spans="1:18" ht="15" x14ac:dyDescent="0.2">
      <c r="A166" s="16">
        <v>45901</v>
      </c>
      <c r="B166" s="10">
        <f>4.1977 * CHOOSE(CONTROL!$C$32, $C$9, 100%, $E$9)</f>
        <v>4.1977000000000002</v>
      </c>
      <c r="C166" s="10">
        <f>4.1977 * CHOOSE(CONTROL!$C$32, $C$9, 100%, $E$9)</f>
        <v>4.1977000000000002</v>
      </c>
      <c r="D166" s="10">
        <f>4.199 * CHOOSE(CONTROL!$C$32, $C$9, 100%, $E$9)</f>
        <v>4.1989999999999998</v>
      </c>
      <c r="E166" s="9">
        <f>4.5819 * CHOOSE(CONTROL!$C$32, $C$9, 100%, $E$9)</f>
        <v>4.5819000000000001</v>
      </c>
      <c r="F166" s="9">
        <f>4.5819 * CHOOSE(CONTROL!$C$32, $C$9, 100%, $E$9)</f>
        <v>4.5819000000000001</v>
      </c>
      <c r="G166" s="9">
        <f>4.5861 * CHOOSE(CONTROL!$C$32, $C$9, 100%, $E$9)</f>
        <v>4.5861000000000001</v>
      </c>
      <c r="H166" s="9">
        <f>7.9114 * CHOOSE(CONTROL!$C$32, $C$9, 100%, $E$9)</f>
        <v>7.9114000000000004</v>
      </c>
      <c r="I166" s="9">
        <f>7.9156 * CHOOSE(CONTROL!$C$32, $C$9, 100%, $E$9)</f>
        <v>7.9156000000000004</v>
      </c>
      <c r="J166" s="9">
        <f>7.9114 * CHOOSE(CONTROL!$C$32, $C$9, 100%, $E$9)</f>
        <v>7.9114000000000004</v>
      </c>
      <c r="K166" s="9">
        <f>7.9156 * CHOOSE(CONTROL!$C$32, $C$9, 100%, $E$9)</f>
        <v>7.9156000000000004</v>
      </c>
      <c r="L166" s="9">
        <f>4.5819 * CHOOSE(CONTROL!$C$32, $C$9, 100%, $E$9)</f>
        <v>4.5819000000000001</v>
      </c>
      <c r="M166" s="9">
        <f>4.5861 * CHOOSE(CONTROL!$C$32, $C$9, 100%, $E$9)</f>
        <v>4.5861000000000001</v>
      </c>
      <c r="N166" s="9">
        <f>4.5819 * CHOOSE(CONTROL!$C$32, $C$9, 100%, $E$9)</f>
        <v>4.5819000000000001</v>
      </c>
      <c r="O166" s="9">
        <f>4.5861 * CHOOSE(CONTROL!$C$32, $C$9, 100%, $E$9)</f>
        <v>4.5861000000000001</v>
      </c>
      <c r="P166" s="17"/>
      <c r="Q166" s="17"/>
      <c r="R166" s="17"/>
    </row>
    <row r="167" spans="1:18" ht="15" x14ac:dyDescent="0.2">
      <c r="A167" s="16">
        <v>45931</v>
      </c>
      <c r="B167" s="10">
        <f>4.1941 * CHOOSE(CONTROL!$C$32, $C$9, 100%, $E$9)</f>
        <v>4.1940999999999997</v>
      </c>
      <c r="C167" s="10">
        <f>4.1941 * CHOOSE(CONTROL!$C$32, $C$9, 100%, $E$9)</f>
        <v>4.1940999999999997</v>
      </c>
      <c r="D167" s="10">
        <f>4.195 * CHOOSE(CONTROL!$C$32, $C$9, 100%, $E$9)</f>
        <v>4.1950000000000003</v>
      </c>
      <c r="E167" s="9">
        <f>4.5977 * CHOOSE(CONTROL!$C$32, $C$9, 100%, $E$9)</f>
        <v>4.5976999999999997</v>
      </c>
      <c r="F167" s="9">
        <f>4.5977 * CHOOSE(CONTROL!$C$32, $C$9, 100%, $E$9)</f>
        <v>4.5976999999999997</v>
      </c>
      <c r="G167" s="9">
        <f>4.6009 * CHOOSE(CONTROL!$C$32, $C$9, 100%, $E$9)</f>
        <v>4.6009000000000002</v>
      </c>
      <c r="H167" s="9">
        <f>7.9279 * CHOOSE(CONTROL!$C$32, $C$9, 100%, $E$9)</f>
        <v>7.9279000000000002</v>
      </c>
      <c r="I167" s="9">
        <f>7.9311 * CHOOSE(CONTROL!$C$32, $C$9, 100%, $E$9)</f>
        <v>7.9310999999999998</v>
      </c>
      <c r="J167" s="9">
        <f>7.9279 * CHOOSE(CONTROL!$C$32, $C$9, 100%, $E$9)</f>
        <v>7.9279000000000002</v>
      </c>
      <c r="K167" s="9">
        <f>7.9311 * CHOOSE(CONTROL!$C$32, $C$9, 100%, $E$9)</f>
        <v>7.9310999999999998</v>
      </c>
      <c r="L167" s="9">
        <f>4.5977 * CHOOSE(CONTROL!$C$32, $C$9, 100%, $E$9)</f>
        <v>4.5976999999999997</v>
      </c>
      <c r="M167" s="9">
        <f>4.6009 * CHOOSE(CONTROL!$C$32, $C$9, 100%, $E$9)</f>
        <v>4.6009000000000002</v>
      </c>
      <c r="N167" s="9">
        <f>4.5977 * CHOOSE(CONTROL!$C$32, $C$9, 100%, $E$9)</f>
        <v>4.5976999999999997</v>
      </c>
      <c r="O167" s="9">
        <f>4.6009 * CHOOSE(CONTROL!$C$32, $C$9, 100%, $E$9)</f>
        <v>4.6009000000000002</v>
      </c>
      <c r="P167" s="17"/>
      <c r="Q167" s="17"/>
      <c r="R167" s="17"/>
    </row>
    <row r="168" spans="1:18" ht="15" x14ac:dyDescent="0.2">
      <c r="A168" s="16">
        <v>45962</v>
      </c>
      <c r="B168" s="10">
        <f>4.1971 * CHOOSE(CONTROL!$C$32, $C$9, 100%, $E$9)</f>
        <v>4.1970999999999998</v>
      </c>
      <c r="C168" s="10">
        <f>4.1971 * CHOOSE(CONTROL!$C$32, $C$9, 100%, $E$9)</f>
        <v>4.1970999999999998</v>
      </c>
      <c r="D168" s="10">
        <f>4.1981 * CHOOSE(CONTROL!$C$32, $C$9, 100%, $E$9)</f>
        <v>4.1981000000000002</v>
      </c>
      <c r="E168" s="9">
        <f>4.6144 * CHOOSE(CONTROL!$C$32, $C$9, 100%, $E$9)</f>
        <v>4.6143999999999998</v>
      </c>
      <c r="F168" s="9">
        <f>4.6144 * CHOOSE(CONTROL!$C$32, $C$9, 100%, $E$9)</f>
        <v>4.6143999999999998</v>
      </c>
      <c r="G168" s="9">
        <f>4.6176 * CHOOSE(CONTROL!$C$32, $C$9, 100%, $E$9)</f>
        <v>4.6176000000000004</v>
      </c>
      <c r="H168" s="9">
        <f>7.9444 * CHOOSE(CONTROL!$C$32, $C$9, 100%, $E$9)</f>
        <v>7.9443999999999999</v>
      </c>
      <c r="I168" s="9">
        <f>7.9476 * CHOOSE(CONTROL!$C$32, $C$9, 100%, $E$9)</f>
        <v>7.9476000000000004</v>
      </c>
      <c r="J168" s="9">
        <f>7.9444 * CHOOSE(CONTROL!$C$32, $C$9, 100%, $E$9)</f>
        <v>7.9443999999999999</v>
      </c>
      <c r="K168" s="9">
        <f>7.9476 * CHOOSE(CONTROL!$C$32, $C$9, 100%, $E$9)</f>
        <v>7.9476000000000004</v>
      </c>
      <c r="L168" s="9">
        <f>4.6144 * CHOOSE(CONTROL!$C$32, $C$9, 100%, $E$9)</f>
        <v>4.6143999999999998</v>
      </c>
      <c r="M168" s="9">
        <f>4.6176 * CHOOSE(CONTROL!$C$32, $C$9, 100%, $E$9)</f>
        <v>4.6176000000000004</v>
      </c>
      <c r="N168" s="9">
        <f>4.6144 * CHOOSE(CONTROL!$C$32, $C$9, 100%, $E$9)</f>
        <v>4.6143999999999998</v>
      </c>
      <c r="O168" s="9">
        <f>4.6176 * CHOOSE(CONTROL!$C$32, $C$9, 100%, $E$9)</f>
        <v>4.6176000000000004</v>
      </c>
    </row>
    <row r="169" spans="1:18" ht="15" x14ac:dyDescent="0.2">
      <c r="A169" s="16">
        <v>45992</v>
      </c>
      <c r="B169" s="10">
        <f>4.1971 * CHOOSE(CONTROL!$C$32, $C$9, 100%, $E$9)</f>
        <v>4.1970999999999998</v>
      </c>
      <c r="C169" s="10">
        <f>4.1971 * CHOOSE(CONTROL!$C$32, $C$9, 100%, $E$9)</f>
        <v>4.1970999999999998</v>
      </c>
      <c r="D169" s="10">
        <f>4.1981 * CHOOSE(CONTROL!$C$32, $C$9, 100%, $E$9)</f>
        <v>4.1981000000000002</v>
      </c>
      <c r="E169" s="9">
        <f>4.5779 * CHOOSE(CONTROL!$C$32, $C$9, 100%, $E$9)</f>
        <v>4.5778999999999996</v>
      </c>
      <c r="F169" s="9">
        <f>4.5779 * CHOOSE(CONTROL!$C$32, $C$9, 100%, $E$9)</f>
        <v>4.5778999999999996</v>
      </c>
      <c r="G169" s="9">
        <f>4.5812 * CHOOSE(CONTROL!$C$32, $C$9, 100%, $E$9)</f>
        <v>4.5811999999999999</v>
      </c>
      <c r="H169" s="9">
        <f>7.961 * CHOOSE(CONTROL!$C$32, $C$9, 100%, $E$9)</f>
        <v>7.9610000000000003</v>
      </c>
      <c r="I169" s="9">
        <f>7.9642 * CHOOSE(CONTROL!$C$32, $C$9, 100%, $E$9)</f>
        <v>7.9641999999999999</v>
      </c>
      <c r="J169" s="9">
        <f>7.961 * CHOOSE(CONTROL!$C$32, $C$9, 100%, $E$9)</f>
        <v>7.9610000000000003</v>
      </c>
      <c r="K169" s="9">
        <f>7.9642 * CHOOSE(CONTROL!$C$32, $C$9, 100%, $E$9)</f>
        <v>7.9641999999999999</v>
      </c>
      <c r="L169" s="9">
        <f>4.5779 * CHOOSE(CONTROL!$C$32, $C$9, 100%, $E$9)</f>
        <v>4.5778999999999996</v>
      </c>
      <c r="M169" s="9">
        <f>4.5812 * CHOOSE(CONTROL!$C$32, $C$9, 100%, $E$9)</f>
        <v>4.5811999999999999</v>
      </c>
      <c r="N169" s="9">
        <f>4.5779 * CHOOSE(CONTROL!$C$32, $C$9, 100%, $E$9)</f>
        <v>4.5778999999999996</v>
      </c>
      <c r="O169" s="9">
        <f>4.5812 * CHOOSE(CONTROL!$C$32, $C$9, 100%, $E$9)</f>
        <v>4.5811999999999999</v>
      </c>
    </row>
    <row r="170" spans="1:18" ht="15" x14ac:dyDescent="0.2">
      <c r="A170" s="16">
        <v>46023</v>
      </c>
      <c r="B170" s="10">
        <f>4.2282 * CHOOSE(CONTROL!$C$32, $C$9, 100%, $E$9)</f>
        <v>4.2282000000000002</v>
      </c>
      <c r="C170" s="10">
        <f>4.2282 * CHOOSE(CONTROL!$C$32, $C$9, 100%, $E$9)</f>
        <v>4.2282000000000002</v>
      </c>
      <c r="D170" s="10">
        <f>4.2292 * CHOOSE(CONTROL!$C$32, $C$9, 100%, $E$9)</f>
        <v>4.2291999999999996</v>
      </c>
      <c r="E170" s="9">
        <f>4.6388 * CHOOSE(CONTROL!$C$32, $C$9, 100%, $E$9)</f>
        <v>4.6387999999999998</v>
      </c>
      <c r="F170" s="9">
        <f>4.6388 * CHOOSE(CONTROL!$C$32, $C$9, 100%, $E$9)</f>
        <v>4.6387999999999998</v>
      </c>
      <c r="G170" s="9">
        <f>4.6421 * CHOOSE(CONTROL!$C$32, $C$9, 100%, $E$9)</f>
        <v>4.6421000000000001</v>
      </c>
      <c r="H170" s="9">
        <f>7.9776 * CHOOSE(CONTROL!$C$32, $C$9, 100%, $E$9)</f>
        <v>7.9775999999999998</v>
      </c>
      <c r="I170" s="9">
        <f>7.9808 * CHOOSE(CONTROL!$C$32, $C$9, 100%, $E$9)</f>
        <v>7.9808000000000003</v>
      </c>
      <c r="J170" s="9">
        <f>7.9776 * CHOOSE(CONTROL!$C$32, $C$9, 100%, $E$9)</f>
        <v>7.9775999999999998</v>
      </c>
      <c r="K170" s="9">
        <f>7.9808 * CHOOSE(CONTROL!$C$32, $C$9, 100%, $E$9)</f>
        <v>7.9808000000000003</v>
      </c>
      <c r="L170" s="9">
        <f>4.6388 * CHOOSE(CONTROL!$C$32, $C$9, 100%, $E$9)</f>
        <v>4.6387999999999998</v>
      </c>
      <c r="M170" s="9">
        <f>4.6421 * CHOOSE(CONTROL!$C$32, $C$9, 100%, $E$9)</f>
        <v>4.6421000000000001</v>
      </c>
      <c r="N170" s="9">
        <f>4.6388 * CHOOSE(CONTROL!$C$32, $C$9, 100%, $E$9)</f>
        <v>4.6387999999999998</v>
      </c>
      <c r="O170" s="9">
        <f>4.6421 * CHOOSE(CONTROL!$C$32, $C$9, 100%, $E$9)</f>
        <v>4.6421000000000001</v>
      </c>
    </row>
    <row r="171" spans="1:18" ht="15" x14ac:dyDescent="0.2">
      <c r="A171" s="16">
        <v>46054</v>
      </c>
      <c r="B171" s="10">
        <f>4.2252 * CHOOSE(CONTROL!$C$32, $C$9, 100%, $E$9)</f>
        <v>4.2252000000000001</v>
      </c>
      <c r="C171" s="10">
        <f>4.2252 * CHOOSE(CONTROL!$C$32, $C$9, 100%, $E$9)</f>
        <v>4.2252000000000001</v>
      </c>
      <c r="D171" s="10">
        <f>4.2261 * CHOOSE(CONTROL!$C$32, $C$9, 100%, $E$9)</f>
        <v>4.2260999999999997</v>
      </c>
      <c r="E171" s="9">
        <f>4.5657 * CHOOSE(CONTROL!$C$32, $C$9, 100%, $E$9)</f>
        <v>4.5656999999999996</v>
      </c>
      <c r="F171" s="9">
        <f>4.5657 * CHOOSE(CONTROL!$C$32, $C$9, 100%, $E$9)</f>
        <v>4.5656999999999996</v>
      </c>
      <c r="G171" s="9">
        <f>4.569 * CHOOSE(CONTROL!$C$32, $C$9, 100%, $E$9)</f>
        <v>4.569</v>
      </c>
      <c r="H171" s="9">
        <f>7.9942 * CHOOSE(CONTROL!$C$32, $C$9, 100%, $E$9)</f>
        <v>7.9942000000000002</v>
      </c>
      <c r="I171" s="9">
        <f>7.9974 * CHOOSE(CONTROL!$C$32, $C$9, 100%, $E$9)</f>
        <v>7.9973999999999998</v>
      </c>
      <c r="J171" s="9">
        <f>7.9942 * CHOOSE(CONTROL!$C$32, $C$9, 100%, $E$9)</f>
        <v>7.9942000000000002</v>
      </c>
      <c r="K171" s="9">
        <f>7.9974 * CHOOSE(CONTROL!$C$32, $C$9, 100%, $E$9)</f>
        <v>7.9973999999999998</v>
      </c>
      <c r="L171" s="9">
        <f>4.5657 * CHOOSE(CONTROL!$C$32, $C$9, 100%, $E$9)</f>
        <v>4.5656999999999996</v>
      </c>
      <c r="M171" s="9">
        <f>4.569 * CHOOSE(CONTROL!$C$32, $C$9, 100%, $E$9)</f>
        <v>4.569</v>
      </c>
      <c r="N171" s="9">
        <f>4.5657 * CHOOSE(CONTROL!$C$32, $C$9, 100%, $E$9)</f>
        <v>4.5656999999999996</v>
      </c>
      <c r="O171" s="9">
        <f>4.569 * CHOOSE(CONTROL!$C$32, $C$9, 100%, $E$9)</f>
        <v>4.569</v>
      </c>
    </row>
    <row r="172" spans="1:18" ht="15" x14ac:dyDescent="0.2">
      <c r="A172" s="16">
        <v>46082</v>
      </c>
      <c r="B172" s="10">
        <f>4.2221 * CHOOSE(CONTROL!$C$32, $C$9, 100%, $E$9)</f>
        <v>4.2221000000000002</v>
      </c>
      <c r="C172" s="10">
        <f>4.2221 * CHOOSE(CONTROL!$C$32, $C$9, 100%, $E$9)</f>
        <v>4.2221000000000002</v>
      </c>
      <c r="D172" s="10">
        <f>4.2231 * CHOOSE(CONTROL!$C$32, $C$9, 100%, $E$9)</f>
        <v>4.2230999999999996</v>
      </c>
      <c r="E172" s="9">
        <f>4.6196 * CHOOSE(CONTROL!$C$32, $C$9, 100%, $E$9)</f>
        <v>4.6196000000000002</v>
      </c>
      <c r="F172" s="9">
        <f>4.6196 * CHOOSE(CONTROL!$C$32, $C$9, 100%, $E$9)</f>
        <v>4.6196000000000002</v>
      </c>
      <c r="G172" s="9">
        <f>4.6228 * CHOOSE(CONTROL!$C$32, $C$9, 100%, $E$9)</f>
        <v>4.6227999999999998</v>
      </c>
      <c r="H172" s="9">
        <f>8.0108 * CHOOSE(CONTROL!$C$32, $C$9, 100%, $E$9)</f>
        <v>8.0107999999999997</v>
      </c>
      <c r="I172" s="9">
        <f>8.0141 * CHOOSE(CONTROL!$C$32, $C$9, 100%, $E$9)</f>
        <v>8.0140999999999991</v>
      </c>
      <c r="J172" s="9">
        <f>8.0108 * CHOOSE(CONTROL!$C$32, $C$9, 100%, $E$9)</f>
        <v>8.0107999999999997</v>
      </c>
      <c r="K172" s="9">
        <f>8.0141 * CHOOSE(CONTROL!$C$32, $C$9, 100%, $E$9)</f>
        <v>8.0140999999999991</v>
      </c>
      <c r="L172" s="9">
        <f>4.6196 * CHOOSE(CONTROL!$C$32, $C$9, 100%, $E$9)</f>
        <v>4.6196000000000002</v>
      </c>
      <c r="M172" s="9">
        <f>4.6228 * CHOOSE(CONTROL!$C$32, $C$9, 100%, $E$9)</f>
        <v>4.6227999999999998</v>
      </c>
      <c r="N172" s="9">
        <f>4.6196 * CHOOSE(CONTROL!$C$32, $C$9, 100%, $E$9)</f>
        <v>4.6196000000000002</v>
      </c>
      <c r="O172" s="9">
        <f>4.6228 * CHOOSE(CONTROL!$C$32, $C$9, 100%, $E$9)</f>
        <v>4.6227999999999998</v>
      </c>
    </row>
    <row r="173" spans="1:18" ht="15" x14ac:dyDescent="0.2">
      <c r="A173" s="16">
        <v>46113</v>
      </c>
      <c r="B173" s="10">
        <f>4.2201 * CHOOSE(CONTROL!$C$32, $C$9, 100%, $E$9)</f>
        <v>4.2201000000000004</v>
      </c>
      <c r="C173" s="10">
        <f>4.2201 * CHOOSE(CONTROL!$C$32, $C$9, 100%, $E$9)</f>
        <v>4.2201000000000004</v>
      </c>
      <c r="D173" s="10">
        <f>4.2211 * CHOOSE(CONTROL!$C$32, $C$9, 100%, $E$9)</f>
        <v>4.2210999999999999</v>
      </c>
      <c r="E173" s="9">
        <f>4.6754 * CHOOSE(CONTROL!$C$32, $C$9, 100%, $E$9)</f>
        <v>4.6753999999999998</v>
      </c>
      <c r="F173" s="9">
        <f>4.6754 * CHOOSE(CONTROL!$C$32, $C$9, 100%, $E$9)</f>
        <v>4.6753999999999998</v>
      </c>
      <c r="G173" s="9">
        <f>4.6787 * CHOOSE(CONTROL!$C$32, $C$9, 100%, $E$9)</f>
        <v>4.6787000000000001</v>
      </c>
      <c r="H173" s="9">
        <f>8.0275 * CHOOSE(CONTROL!$C$32, $C$9, 100%, $E$9)</f>
        <v>8.0274999999999999</v>
      </c>
      <c r="I173" s="9">
        <f>8.0307 * CHOOSE(CONTROL!$C$32, $C$9, 100%, $E$9)</f>
        <v>8.0306999999999995</v>
      </c>
      <c r="J173" s="9">
        <f>8.0275 * CHOOSE(CONTROL!$C$32, $C$9, 100%, $E$9)</f>
        <v>8.0274999999999999</v>
      </c>
      <c r="K173" s="9">
        <f>8.0307 * CHOOSE(CONTROL!$C$32, $C$9, 100%, $E$9)</f>
        <v>8.0306999999999995</v>
      </c>
      <c r="L173" s="9">
        <f>4.6754 * CHOOSE(CONTROL!$C$32, $C$9, 100%, $E$9)</f>
        <v>4.6753999999999998</v>
      </c>
      <c r="M173" s="9">
        <f>4.6787 * CHOOSE(CONTROL!$C$32, $C$9, 100%, $E$9)</f>
        <v>4.6787000000000001</v>
      </c>
      <c r="N173" s="9">
        <f>4.6754 * CHOOSE(CONTROL!$C$32, $C$9, 100%, $E$9)</f>
        <v>4.6753999999999998</v>
      </c>
      <c r="O173" s="9">
        <f>4.6787 * CHOOSE(CONTROL!$C$32, $C$9, 100%, $E$9)</f>
        <v>4.6787000000000001</v>
      </c>
    </row>
    <row r="174" spans="1:18" ht="15" x14ac:dyDescent="0.2">
      <c r="A174" s="16">
        <v>46143</v>
      </c>
      <c r="B174" s="10">
        <f>4.2201 * CHOOSE(CONTROL!$C$32, $C$9, 100%, $E$9)</f>
        <v>4.2201000000000004</v>
      </c>
      <c r="C174" s="10">
        <f>4.2201 * CHOOSE(CONTROL!$C$32, $C$9, 100%, $E$9)</f>
        <v>4.2201000000000004</v>
      </c>
      <c r="D174" s="10">
        <f>4.2214 * CHOOSE(CONTROL!$C$32, $C$9, 100%, $E$9)</f>
        <v>4.2214</v>
      </c>
      <c r="E174" s="9">
        <f>4.698 * CHOOSE(CONTROL!$C$32, $C$9, 100%, $E$9)</f>
        <v>4.6980000000000004</v>
      </c>
      <c r="F174" s="9">
        <f>4.698 * CHOOSE(CONTROL!$C$32, $C$9, 100%, $E$9)</f>
        <v>4.6980000000000004</v>
      </c>
      <c r="G174" s="9">
        <f>4.7022 * CHOOSE(CONTROL!$C$32, $C$9, 100%, $E$9)</f>
        <v>4.7022000000000004</v>
      </c>
      <c r="H174" s="9">
        <f>8.0442 * CHOOSE(CONTROL!$C$32, $C$9, 100%, $E$9)</f>
        <v>8.0442</v>
      </c>
      <c r="I174" s="9">
        <f>8.0484 * CHOOSE(CONTROL!$C$32, $C$9, 100%, $E$9)</f>
        <v>8.0484000000000009</v>
      </c>
      <c r="J174" s="9">
        <f>8.0442 * CHOOSE(CONTROL!$C$32, $C$9, 100%, $E$9)</f>
        <v>8.0442</v>
      </c>
      <c r="K174" s="9">
        <f>8.0484 * CHOOSE(CONTROL!$C$32, $C$9, 100%, $E$9)</f>
        <v>8.0484000000000009</v>
      </c>
      <c r="L174" s="9">
        <f>4.698 * CHOOSE(CONTROL!$C$32, $C$9, 100%, $E$9)</f>
        <v>4.6980000000000004</v>
      </c>
      <c r="M174" s="9">
        <f>4.7022 * CHOOSE(CONTROL!$C$32, $C$9, 100%, $E$9)</f>
        <v>4.7022000000000004</v>
      </c>
      <c r="N174" s="9">
        <f>4.698 * CHOOSE(CONTROL!$C$32, $C$9, 100%, $E$9)</f>
        <v>4.6980000000000004</v>
      </c>
      <c r="O174" s="9">
        <f>4.7022 * CHOOSE(CONTROL!$C$32, $C$9, 100%, $E$9)</f>
        <v>4.7022000000000004</v>
      </c>
    </row>
    <row r="175" spans="1:18" ht="15" x14ac:dyDescent="0.2">
      <c r="A175" s="16">
        <v>46174</v>
      </c>
      <c r="B175" s="10">
        <f>4.2262 * CHOOSE(CONTROL!$C$32, $C$9, 100%, $E$9)</f>
        <v>4.2262000000000004</v>
      </c>
      <c r="C175" s="10">
        <f>4.2262 * CHOOSE(CONTROL!$C$32, $C$9, 100%, $E$9)</f>
        <v>4.2262000000000004</v>
      </c>
      <c r="D175" s="10">
        <f>4.2275 * CHOOSE(CONTROL!$C$32, $C$9, 100%, $E$9)</f>
        <v>4.2275</v>
      </c>
      <c r="E175" s="9">
        <f>4.6797 * CHOOSE(CONTROL!$C$32, $C$9, 100%, $E$9)</f>
        <v>4.6797000000000004</v>
      </c>
      <c r="F175" s="9">
        <f>4.6797 * CHOOSE(CONTROL!$C$32, $C$9, 100%, $E$9)</f>
        <v>4.6797000000000004</v>
      </c>
      <c r="G175" s="9">
        <f>4.6839 * CHOOSE(CONTROL!$C$32, $C$9, 100%, $E$9)</f>
        <v>4.6839000000000004</v>
      </c>
      <c r="H175" s="9">
        <f>8.061 * CHOOSE(CONTROL!$C$32, $C$9, 100%, $E$9)</f>
        <v>8.0609999999999999</v>
      </c>
      <c r="I175" s="9">
        <f>8.0652 * CHOOSE(CONTROL!$C$32, $C$9, 100%, $E$9)</f>
        <v>8.0652000000000008</v>
      </c>
      <c r="J175" s="9">
        <f>8.061 * CHOOSE(CONTROL!$C$32, $C$9, 100%, $E$9)</f>
        <v>8.0609999999999999</v>
      </c>
      <c r="K175" s="9">
        <f>8.0652 * CHOOSE(CONTROL!$C$32, $C$9, 100%, $E$9)</f>
        <v>8.0652000000000008</v>
      </c>
      <c r="L175" s="9">
        <f>4.6797 * CHOOSE(CONTROL!$C$32, $C$9, 100%, $E$9)</f>
        <v>4.6797000000000004</v>
      </c>
      <c r="M175" s="9">
        <f>4.6839 * CHOOSE(CONTROL!$C$32, $C$9, 100%, $E$9)</f>
        <v>4.6839000000000004</v>
      </c>
      <c r="N175" s="9">
        <f>4.6797 * CHOOSE(CONTROL!$C$32, $C$9, 100%, $E$9)</f>
        <v>4.6797000000000004</v>
      </c>
      <c r="O175" s="9">
        <f>4.6839 * CHOOSE(CONTROL!$C$32, $C$9, 100%, $E$9)</f>
        <v>4.6839000000000004</v>
      </c>
    </row>
    <row r="176" spans="1:18" ht="15" x14ac:dyDescent="0.2">
      <c r="A176" s="16">
        <v>46204</v>
      </c>
      <c r="B176" s="10">
        <f>4.2803 * CHOOSE(CONTROL!$C$32, $C$9, 100%, $E$9)</f>
        <v>4.2803000000000004</v>
      </c>
      <c r="C176" s="10">
        <f>4.2803 * CHOOSE(CONTROL!$C$32, $C$9, 100%, $E$9)</f>
        <v>4.2803000000000004</v>
      </c>
      <c r="D176" s="10">
        <f>4.2815 * CHOOSE(CONTROL!$C$32, $C$9, 100%, $E$9)</f>
        <v>4.2815000000000003</v>
      </c>
      <c r="E176" s="9">
        <f>4.7488 * CHOOSE(CONTROL!$C$32, $C$9, 100%, $E$9)</f>
        <v>4.7488000000000001</v>
      </c>
      <c r="F176" s="9">
        <f>4.7488 * CHOOSE(CONTROL!$C$32, $C$9, 100%, $E$9)</f>
        <v>4.7488000000000001</v>
      </c>
      <c r="G176" s="9">
        <f>4.7531 * CHOOSE(CONTROL!$C$32, $C$9, 100%, $E$9)</f>
        <v>4.7530999999999999</v>
      </c>
      <c r="H176" s="9">
        <f>8.0778 * CHOOSE(CONTROL!$C$32, $C$9, 100%, $E$9)</f>
        <v>8.0777999999999999</v>
      </c>
      <c r="I176" s="9">
        <f>8.082 * CHOOSE(CONTROL!$C$32, $C$9, 100%, $E$9)</f>
        <v>8.0820000000000007</v>
      </c>
      <c r="J176" s="9">
        <f>8.0778 * CHOOSE(CONTROL!$C$32, $C$9, 100%, $E$9)</f>
        <v>8.0777999999999999</v>
      </c>
      <c r="K176" s="9">
        <f>8.082 * CHOOSE(CONTROL!$C$32, $C$9, 100%, $E$9)</f>
        <v>8.0820000000000007</v>
      </c>
      <c r="L176" s="9">
        <f>4.7488 * CHOOSE(CONTROL!$C$32, $C$9, 100%, $E$9)</f>
        <v>4.7488000000000001</v>
      </c>
      <c r="M176" s="9">
        <f>4.7531 * CHOOSE(CONTROL!$C$32, $C$9, 100%, $E$9)</f>
        <v>4.7530999999999999</v>
      </c>
      <c r="N176" s="9">
        <f>4.7488 * CHOOSE(CONTROL!$C$32, $C$9, 100%, $E$9)</f>
        <v>4.7488000000000001</v>
      </c>
      <c r="O176" s="9">
        <f>4.7531 * CHOOSE(CONTROL!$C$32, $C$9, 100%, $E$9)</f>
        <v>4.7530999999999999</v>
      </c>
    </row>
    <row r="177" spans="1:15" ht="15" x14ac:dyDescent="0.2">
      <c r="A177" s="16">
        <v>46235</v>
      </c>
      <c r="B177" s="10">
        <f>4.287 * CHOOSE(CONTROL!$C$32, $C$9, 100%, $E$9)</f>
        <v>4.2869999999999999</v>
      </c>
      <c r="C177" s="10">
        <f>4.287 * CHOOSE(CONTROL!$C$32, $C$9, 100%, $E$9)</f>
        <v>4.2869999999999999</v>
      </c>
      <c r="D177" s="10">
        <f>4.2882 * CHOOSE(CONTROL!$C$32, $C$9, 100%, $E$9)</f>
        <v>4.2881999999999998</v>
      </c>
      <c r="E177" s="9">
        <f>4.6859 * CHOOSE(CONTROL!$C$32, $C$9, 100%, $E$9)</f>
        <v>4.6859000000000002</v>
      </c>
      <c r="F177" s="9">
        <f>4.6859 * CHOOSE(CONTROL!$C$32, $C$9, 100%, $E$9)</f>
        <v>4.6859000000000002</v>
      </c>
      <c r="G177" s="9">
        <f>4.6901 * CHOOSE(CONTROL!$C$32, $C$9, 100%, $E$9)</f>
        <v>4.6901000000000002</v>
      </c>
      <c r="H177" s="9">
        <f>8.0946 * CHOOSE(CONTROL!$C$32, $C$9, 100%, $E$9)</f>
        <v>8.0945999999999998</v>
      </c>
      <c r="I177" s="9">
        <f>8.0988 * CHOOSE(CONTROL!$C$32, $C$9, 100%, $E$9)</f>
        <v>8.0988000000000007</v>
      </c>
      <c r="J177" s="9">
        <f>8.0946 * CHOOSE(CONTROL!$C$32, $C$9, 100%, $E$9)</f>
        <v>8.0945999999999998</v>
      </c>
      <c r="K177" s="9">
        <f>8.0988 * CHOOSE(CONTROL!$C$32, $C$9, 100%, $E$9)</f>
        <v>8.0988000000000007</v>
      </c>
      <c r="L177" s="9">
        <f>4.6859 * CHOOSE(CONTROL!$C$32, $C$9, 100%, $E$9)</f>
        <v>4.6859000000000002</v>
      </c>
      <c r="M177" s="9">
        <f>4.6901 * CHOOSE(CONTROL!$C$32, $C$9, 100%, $E$9)</f>
        <v>4.6901000000000002</v>
      </c>
      <c r="N177" s="9">
        <f>4.6859 * CHOOSE(CONTROL!$C$32, $C$9, 100%, $E$9)</f>
        <v>4.6859000000000002</v>
      </c>
      <c r="O177" s="9">
        <f>4.6901 * CHOOSE(CONTROL!$C$32, $C$9, 100%, $E$9)</f>
        <v>4.6901000000000002</v>
      </c>
    </row>
    <row r="178" spans="1:15" ht="15" x14ac:dyDescent="0.2">
      <c r="A178" s="16">
        <v>46266</v>
      </c>
      <c r="B178" s="10">
        <f>4.2839 * CHOOSE(CONTROL!$C$32, $C$9, 100%, $E$9)</f>
        <v>4.2839</v>
      </c>
      <c r="C178" s="10">
        <f>4.2839 * CHOOSE(CONTROL!$C$32, $C$9, 100%, $E$9)</f>
        <v>4.2839</v>
      </c>
      <c r="D178" s="10">
        <f>4.2852 * CHOOSE(CONTROL!$C$32, $C$9, 100%, $E$9)</f>
        <v>4.2851999999999997</v>
      </c>
      <c r="E178" s="9">
        <f>4.6763 * CHOOSE(CONTROL!$C$32, $C$9, 100%, $E$9)</f>
        <v>4.6763000000000003</v>
      </c>
      <c r="F178" s="9">
        <f>4.6763 * CHOOSE(CONTROL!$C$32, $C$9, 100%, $E$9)</f>
        <v>4.6763000000000003</v>
      </c>
      <c r="G178" s="9">
        <f>4.6805 * CHOOSE(CONTROL!$C$32, $C$9, 100%, $E$9)</f>
        <v>4.6805000000000003</v>
      </c>
      <c r="H178" s="9">
        <f>8.1115 * CHOOSE(CONTROL!$C$32, $C$9, 100%, $E$9)</f>
        <v>8.1114999999999995</v>
      </c>
      <c r="I178" s="9">
        <f>8.1157 * CHOOSE(CONTROL!$C$32, $C$9, 100%, $E$9)</f>
        <v>8.1157000000000004</v>
      </c>
      <c r="J178" s="9">
        <f>8.1115 * CHOOSE(CONTROL!$C$32, $C$9, 100%, $E$9)</f>
        <v>8.1114999999999995</v>
      </c>
      <c r="K178" s="9">
        <f>8.1157 * CHOOSE(CONTROL!$C$32, $C$9, 100%, $E$9)</f>
        <v>8.1157000000000004</v>
      </c>
      <c r="L178" s="9">
        <f>4.6763 * CHOOSE(CONTROL!$C$32, $C$9, 100%, $E$9)</f>
        <v>4.6763000000000003</v>
      </c>
      <c r="M178" s="9">
        <f>4.6805 * CHOOSE(CONTROL!$C$32, $C$9, 100%, $E$9)</f>
        <v>4.6805000000000003</v>
      </c>
      <c r="N178" s="9">
        <f>4.6763 * CHOOSE(CONTROL!$C$32, $C$9, 100%, $E$9)</f>
        <v>4.6763000000000003</v>
      </c>
      <c r="O178" s="9">
        <f>4.6805 * CHOOSE(CONTROL!$C$32, $C$9, 100%, $E$9)</f>
        <v>4.6805000000000003</v>
      </c>
    </row>
    <row r="179" spans="1:15" ht="15" x14ac:dyDescent="0.2">
      <c r="A179" s="16">
        <v>46296</v>
      </c>
      <c r="B179" s="10">
        <f>4.2807 * CHOOSE(CONTROL!$C$32, $C$9, 100%, $E$9)</f>
        <v>4.2807000000000004</v>
      </c>
      <c r="C179" s="10">
        <f>4.2807 * CHOOSE(CONTROL!$C$32, $C$9, 100%, $E$9)</f>
        <v>4.2807000000000004</v>
      </c>
      <c r="D179" s="10">
        <f>4.2816 * CHOOSE(CONTROL!$C$32, $C$9, 100%, $E$9)</f>
        <v>4.2816000000000001</v>
      </c>
      <c r="E179" s="9">
        <f>4.6929 * CHOOSE(CONTROL!$C$32, $C$9, 100%, $E$9)</f>
        <v>4.6928999999999998</v>
      </c>
      <c r="F179" s="9">
        <f>4.6929 * CHOOSE(CONTROL!$C$32, $C$9, 100%, $E$9)</f>
        <v>4.6928999999999998</v>
      </c>
      <c r="G179" s="9">
        <f>4.6961 * CHOOSE(CONTROL!$C$32, $C$9, 100%, $E$9)</f>
        <v>4.6961000000000004</v>
      </c>
      <c r="H179" s="9">
        <f>8.1284 * CHOOSE(CONTROL!$C$32, $C$9, 100%, $E$9)</f>
        <v>8.1283999999999992</v>
      </c>
      <c r="I179" s="9">
        <f>8.1316 * CHOOSE(CONTROL!$C$32, $C$9, 100%, $E$9)</f>
        <v>8.1316000000000006</v>
      </c>
      <c r="J179" s="9">
        <f>8.1284 * CHOOSE(CONTROL!$C$32, $C$9, 100%, $E$9)</f>
        <v>8.1283999999999992</v>
      </c>
      <c r="K179" s="9">
        <f>8.1316 * CHOOSE(CONTROL!$C$32, $C$9, 100%, $E$9)</f>
        <v>8.1316000000000006</v>
      </c>
      <c r="L179" s="9">
        <f>4.6929 * CHOOSE(CONTROL!$C$32, $C$9, 100%, $E$9)</f>
        <v>4.6928999999999998</v>
      </c>
      <c r="M179" s="9">
        <f>4.6961 * CHOOSE(CONTROL!$C$32, $C$9, 100%, $E$9)</f>
        <v>4.6961000000000004</v>
      </c>
      <c r="N179" s="9">
        <f>4.6929 * CHOOSE(CONTROL!$C$32, $C$9, 100%, $E$9)</f>
        <v>4.6928999999999998</v>
      </c>
      <c r="O179" s="9">
        <f>4.6961 * CHOOSE(CONTROL!$C$32, $C$9, 100%, $E$9)</f>
        <v>4.6961000000000004</v>
      </c>
    </row>
    <row r="180" spans="1:15" ht="15" x14ac:dyDescent="0.2">
      <c r="A180" s="16">
        <v>46327</v>
      </c>
      <c r="B180" s="10">
        <f>4.2837 * CHOOSE(CONTROL!$C$32, $C$9, 100%, $E$9)</f>
        <v>4.2836999999999996</v>
      </c>
      <c r="C180" s="10">
        <f>4.2837 * CHOOSE(CONTROL!$C$32, $C$9, 100%, $E$9)</f>
        <v>4.2836999999999996</v>
      </c>
      <c r="D180" s="10">
        <f>4.2846 * CHOOSE(CONTROL!$C$32, $C$9, 100%, $E$9)</f>
        <v>4.2846000000000002</v>
      </c>
      <c r="E180" s="9">
        <f>4.71 * CHOOSE(CONTROL!$C$32, $C$9, 100%, $E$9)</f>
        <v>4.71</v>
      </c>
      <c r="F180" s="9">
        <f>4.71 * CHOOSE(CONTROL!$C$32, $C$9, 100%, $E$9)</f>
        <v>4.71</v>
      </c>
      <c r="G180" s="9">
        <f>4.7133 * CHOOSE(CONTROL!$C$32, $C$9, 100%, $E$9)</f>
        <v>4.7133000000000003</v>
      </c>
      <c r="H180" s="9">
        <f>8.1453 * CHOOSE(CONTROL!$C$32, $C$9, 100%, $E$9)</f>
        <v>8.1453000000000007</v>
      </c>
      <c r="I180" s="9">
        <f>8.1485 * CHOOSE(CONTROL!$C$32, $C$9, 100%, $E$9)</f>
        <v>8.1485000000000003</v>
      </c>
      <c r="J180" s="9">
        <f>8.1453 * CHOOSE(CONTROL!$C$32, $C$9, 100%, $E$9)</f>
        <v>8.1453000000000007</v>
      </c>
      <c r="K180" s="9">
        <f>8.1485 * CHOOSE(CONTROL!$C$32, $C$9, 100%, $E$9)</f>
        <v>8.1485000000000003</v>
      </c>
      <c r="L180" s="9">
        <f>4.71 * CHOOSE(CONTROL!$C$32, $C$9, 100%, $E$9)</f>
        <v>4.71</v>
      </c>
      <c r="M180" s="9">
        <f>4.7133 * CHOOSE(CONTROL!$C$32, $C$9, 100%, $E$9)</f>
        <v>4.7133000000000003</v>
      </c>
      <c r="N180" s="9">
        <f>4.71 * CHOOSE(CONTROL!$C$32, $C$9, 100%, $E$9)</f>
        <v>4.71</v>
      </c>
      <c r="O180" s="9">
        <f>4.7133 * CHOOSE(CONTROL!$C$32, $C$9, 100%, $E$9)</f>
        <v>4.7133000000000003</v>
      </c>
    </row>
    <row r="181" spans="1:15" ht="15" x14ac:dyDescent="0.2">
      <c r="A181" s="16">
        <v>46357</v>
      </c>
      <c r="B181" s="10">
        <f>4.2837 * CHOOSE(CONTROL!$C$32, $C$9, 100%, $E$9)</f>
        <v>4.2836999999999996</v>
      </c>
      <c r="C181" s="10">
        <f>4.2837 * CHOOSE(CONTROL!$C$32, $C$9, 100%, $E$9)</f>
        <v>4.2836999999999996</v>
      </c>
      <c r="D181" s="10">
        <f>4.2846 * CHOOSE(CONTROL!$C$32, $C$9, 100%, $E$9)</f>
        <v>4.2846000000000002</v>
      </c>
      <c r="E181" s="9">
        <f>4.6725 * CHOOSE(CONTROL!$C$32, $C$9, 100%, $E$9)</f>
        <v>4.6725000000000003</v>
      </c>
      <c r="F181" s="9">
        <f>4.6725 * CHOOSE(CONTROL!$C$32, $C$9, 100%, $E$9)</f>
        <v>4.6725000000000003</v>
      </c>
      <c r="G181" s="9">
        <f>4.6757 * CHOOSE(CONTROL!$C$32, $C$9, 100%, $E$9)</f>
        <v>4.6757</v>
      </c>
      <c r="H181" s="9">
        <f>8.1623 * CHOOSE(CONTROL!$C$32, $C$9, 100%, $E$9)</f>
        <v>8.1623000000000001</v>
      </c>
      <c r="I181" s="9">
        <f>8.1655 * CHOOSE(CONTROL!$C$32, $C$9, 100%, $E$9)</f>
        <v>8.1654999999999998</v>
      </c>
      <c r="J181" s="9">
        <f>8.1623 * CHOOSE(CONTROL!$C$32, $C$9, 100%, $E$9)</f>
        <v>8.1623000000000001</v>
      </c>
      <c r="K181" s="9">
        <f>8.1655 * CHOOSE(CONTROL!$C$32, $C$9, 100%, $E$9)</f>
        <v>8.1654999999999998</v>
      </c>
      <c r="L181" s="9">
        <f>4.6725 * CHOOSE(CONTROL!$C$32, $C$9, 100%, $E$9)</f>
        <v>4.6725000000000003</v>
      </c>
      <c r="M181" s="9">
        <f>4.6757 * CHOOSE(CONTROL!$C$32, $C$9, 100%, $E$9)</f>
        <v>4.6757</v>
      </c>
      <c r="N181" s="9">
        <f>4.6725 * CHOOSE(CONTROL!$C$32, $C$9, 100%, $E$9)</f>
        <v>4.6725000000000003</v>
      </c>
      <c r="O181" s="9">
        <f>4.6757 * CHOOSE(CONTROL!$C$32, $C$9, 100%, $E$9)</f>
        <v>4.6757</v>
      </c>
    </row>
    <row r="182" spans="1:15" ht="15" x14ac:dyDescent="0.2">
      <c r="A182" s="16">
        <v>46388</v>
      </c>
      <c r="B182" s="10">
        <f>4.3234 * CHOOSE(CONTROL!$C$32, $C$9, 100%, $E$9)</f>
        <v>4.3234000000000004</v>
      </c>
      <c r="C182" s="10">
        <f>4.3234 * CHOOSE(CONTROL!$C$32, $C$9, 100%, $E$9)</f>
        <v>4.3234000000000004</v>
      </c>
      <c r="D182" s="10">
        <f>4.3244 * CHOOSE(CONTROL!$C$32, $C$9, 100%, $E$9)</f>
        <v>4.3243999999999998</v>
      </c>
      <c r="E182" s="9">
        <f>4.7226 * CHOOSE(CONTROL!$C$32, $C$9, 100%, $E$9)</f>
        <v>4.7225999999999999</v>
      </c>
      <c r="F182" s="9">
        <f>4.7226 * CHOOSE(CONTROL!$C$32, $C$9, 100%, $E$9)</f>
        <v>4.7225999999999999</v>
      </c>
      <c r="G182" s="9">
        <f>4.7258 * CHOOSE(CONTROL!$C$32, $C$9, 100%, $E$9)</f>
        <v>4.7257999999999996</v>
      </c>
      <c r="H182" s="9">
        <f>8.1793 * CHOOSE(CONTROL!$C$32, $C$9, 100%, $E$9)</f>
        <v>8.1792999999999996</v>
      </c>
      <c r="I182" s="9">
        <f>8.1825 * CHOOSE(CONTROL!$C$32, $C$9, 100%, $E$9)</f>
        <v>8.1824999999999992</v>
      </c>
      <c r="J182" s="9">
        <f>8.1793 * CHOOSE(CONTROL!$C$32, $C$9, 100%, $E$9)</f>
        <v>8.1792999999999996</v>
      </c>
      <c r="K182" s="9">
        <f>8.1825 * CHOOSE(CONTROL!$C$32, $C$9, 100%, $E$9)</f>
        <v>8.1824999999999992</v>
      </c>
      <c r="L182" s="9">
        <f>4.7226 * CHOOSE(CONTROL!$C$32, $C$9, 100%, $E$9)</f>
        <v>4.7225999999999999</v>
      </c>
      <c r="M182" s="9">
        <f>4.7258 * CHOOSE(CONTROL!$C$32, $C$9, 100%, $E$9)</f>
        <v>4.7257999999999996</v>
      </c>
      <c r="N182" s="9">
        <f>4.7226 * CHOOSE(CONTROL!$C$32, $C$9, 100%, $E$9)</f>
        <v>4.7225999999999999</v>
      </c>
      <c r="O182" s="9">
        <f>4.7258 * CHOOSE(CONTROL!$C$32, $C$9, 100%, $E$9)</f>
        <v>4.7257999999999996</v>
      </c>
    </row>
    <row r="183" spans="1:15" ht="15" x14ac:dyDescent="0.2">
      <c r="A183" s="16">
        <v>46419</v>
      </c>
      <c r="B183" s="10">
        <f>4.3204 * CHOOSE(CONTROL!$C$32, $C$9, 100%, $E$9)</f>
        <v>4.3204000000000002</v>
      </c>
      <c r="C183" s="10">
        <f>4.3204 * CHOOSE(CONTROL!$C$32, $C$9, 100%, $E$9)</f>
        <v>4.3204000000000002</v>
      </c>
      <c r="D183" s="10">
        <f>4.3213 * CHOOSE(CONTROL!$C$32, $C$9, 100%, $E$9)</f>
        <v>4.3212999999999999</v>
      </c>
      <c r="E183" s="9">
        <f>4.6472 * CHOOSE(CONTROL!$C$32, $C$9, 100%, $E$9)</f>
        <v>4.6471999999999998</v>
      </c>
      <c r="F183" s="9">
        <f>4.6472 * CHOOSE(CONTROL!$C$32, $C$9, 100%, $E$9)</f>
        <v>4.6471999999999998</v>
      </c>
      <c r="G183" s="9">
        <f>4.6504 * CHOOSE(CONTROL!$C$32, $C$9, 100%, $E$9)</f>
        <v>4.6504000000000003</v>
      </c>
      <c r="H183" s="9">
        <f>8.1963 * CHOOSE(CONTROL!$C$32, $C$9, 100%, $E$9)</f>
        <v>8.1963000000000008</v>
      </c>
      <c r="I183" s="9">
        <f>8.1996 * CHOOSE(CONTROL!$C$32, $C$9, 100%, $E$9)</f>
        <v>8.1996000000000002</v>
      </c>
      <c r="J183" s="9">
        <f>8.1963 * CHOOSE(CONTROL!$C$32, $C$9, 100%, $E$9)</f>
        <v>8.1963000000000008</v>
      </c>
      <c r="K183" s="9">
        <f>8.1996 * CHOOSE(CONTROL!$C$32, $C$9, 100%, $E$9)</f>
        <v>8.1996000000000002</v>
      </c>
      <c r="L183" s="9">
        <f>4.6472 * CHOOSE(CONTROL!$C$32, $C$9, 100%, $E$9)</f>
        <v>4.6471999999999998</v>
      </c>
      <c r="M183" s="9">
        <f>4.6504 * CHOOSE(CONTROL!$C$32, $C$9, 100%, $E$9)</f>
        <v>4.6504000000000003</v>
      </c>
      <c r="N183" s="9">
        <f>4.6472 * CHOOSE(CONTROL!$C$32, $C$9, 100%, $E$9)</f>
        <v>4.6471999999999998</v>
      </c>
      <c r="O183" s="9">
        <f>4.6504 * CHOOSE(CONTROL!$C$32, $C$9, 100%, $E$9)</f>
        <v>4.6504000000000003</v>
      </c>
    </row>
    <row r="184" spans="1:15" ht="15" x14ac:dyDescent="0.2">
      <c r="A184" s="16">
        <v>46447</v>
      </c>
      <c r="B184" s="10">
        <f>4.3173 * CHOOSE(CONTROL!$C$32, $C$9, 100%, $E$9)</f>
        <v>4.3173000000000004</v>
      </c>
      <c r="C184" s="10">
        <f>4.3173 * CHOOSE(CONTROL!$C$32, $C$9, 100%, $E$9)</f>
        <v>4.3173000000000004</v>
      </c>
      <c r="D184" s="10">
        <f>4.3183 * CHOOSE(CONTROL!$C$32, $C$9, 100%, $E$9)</f>
        <v>4.3182999999999998</v>
      </c>
      <c r="E184" s="9">
        <f>4.7028 * CHOOSE(CONTROL!$C$32, $C$9, 100%, $E$9)</f>
        <v>4.7027999999999999</v>
      </c>
      <c r="F184" s="9">
        <f>4.7028 * CHOOSE(CONTROL!$C$32, $C$9, 100%, $E$9)</f>
        <v>4.7027999999999999</v>
      </c>
      <c r="G184" s="9">
        <f>4.7061 * CHOOSE(CONTROL!$C$32, $C$9, 100%, $E$9)</f>
        <v>4.7061000000000002</v>
      </c>
      <c r="H184" s="9">
        <f>8.2134 * CHOOSE(CONTROL!$C$32, $C$9, 100%, $E$9)</f>
        <v>8.2134</v>
      </c>
      <c r="I184" s="9">
        <f>8.2166 * CHOOSE(CONTROL!$C$32, $C$9, 100%, $E$9)</f>
        <v>8.2165999999999997</v>
      </c>
      <c r="J184" s="9">
        <f>8.2134 * CHOOSE(CONTROL!$C$32, $C$9, 100%, $E$9)</f>
        <v>8.2134</v>
      </c>
      <c r="K184" s="9">
        <f>8.2166 * CHOOSE(CONTROL!$C$32, $C$9, 100%, $E$9)</f>
        <v>8.2165999999999997</v>
      </c>
      <c r="L184" s="9">
        <f>4.7028 * CHOOSE(CONTROL!$C$32, $C$9, 100%, $E$9)</f>
        <v>4.7027999999999999</v>
      </c>
      <c r="M184" s="9">
        <f>4.7061 * CHOOSE(CONTROL!$C$32, $C$9, 100%, $E$9)</f>
        <v>4.7061000000000002</v>
      </c>
      <c r="N184" s="9">
        <f>4.7028 * CHOOSE(CONTROL!$C$32, $C$9, 100%, $E$9)</f>
        <v>4.7027999999999999</v>
      </c>
      <c r="O184" s="9">
        <f>4.7061 * CHOOSE(CONTROL!$C$32, $C$9, 100%, $E$9)</f>
        <v>4.7061000000000002</v>
      </c>
    </row>
    <row r="185" spans="1:15" ht="15" x14ac:dyDescent="0.2">
      <c r="A185" s="16">
        <v>46478</v>
      </c>
      <c r="B185" s="10">
        <f>4.3155 * CHOOSE(CONTROL!$C$32, $C$9, 100%, $E$9)</f>
        <v>4.3155000000000001</v>
      </c>
      <c r="C185" s="10">
        <f>4.3155 * CHOOSE(CONTROL!$C$32, $C$9, 100%, $E$9)</f>
        <v>4.3155000000000001</v>
      </c>
      <c r="D185" s="10">
        <f>4.3164 * CHOOSE(CONTROL!$C$32, $C$9, 100%, $E$9)</f>
        <v>4.3163999999999998</v>
      </c>
      <c r="E185" s="9">
        <f>4.7607 * CHOOSE(CONTROL!$C$32, $C$9, 100%, $E$9)</f>
        <v>4.7606999999999999</v>
      </c>
      <c r="F185" s="9">
        <f>4.7607 * CHOOSE(CONTROL!$C$32, $C$9, 100%, $E$9)</f>
        <v>4.7606999999999999</v>
      </c>
      <c r="G185" s="9">
        <f>4.7639 * CHOOSE(CONTROL!$C$32, $C$9, 100%, $E$9)</f>
        <v>4.7638999999999996</v>
      </c>
      <c r="H185" s="9">
        <f>8.2305 * CHOOSE(CONTROL!$C$32, $C$9, 100%, $E$9)</f>
        <v>8.2304999999999993</v>
      </c>
      <c r="I185" s="9">
        <f>8.2337 * CHOOSE(CONTROL!$C$32, $C$9, 100%, $E$9)</f>
        <v>8.2337000000000007</v>
      </c>
      <c r="J185" s="9">
        <f>8.2305 * CHOOSE(CONTROL!$C$32, $C$9, 100%, $E$9)</f>
        <v>8.2304999999999993</v>
      </c>
      <c r="K185" s="9">
        <f>8.2337 * CHOOSE(CONTROL!$C$32, $C$9, 100%, $E$9)</f>
        <v>8.2337000000000007</v>
      </c>
      <c r="L185" s="9">
        <f>4.7607 * CHOOSE(CONTROL!$C$32, $C$9, 100%, $E$9)</f>
        <v>4.7606999999999999</v>
      </c>
      <c r="M185" s="9">
        <f>4.7639 * CHOOSE(CONTROL!$C$32, $C$9, 100%, $E$9)</f>
        <v>4.7638999999999996</v>
      </c>
      <c r="N185" s="9">
        <f>4.7607 * CHOOSE(CONTROL!$C$32, $C$9, 100%, $E$9)</f>
        <v>4.7606999999999999</v>
      </c>
      <c r="O185" s="9">
        <f>4.7639 * CHOOSE(CONTROL!$C$32, $C$9, 100%, $E$9)</f>
        <v>4.7638999999999996</v>
      </c>
    </row>
    <row r="186" spans="1:15" ht="15" x14ac:dyDescent="0.2">
      <c r="A186" s="16">
        <v>46508</v>
      </c>
      <c r="B186" s="10">
        <f>4.3155 * CHOOSE(CONTROL!$C$32, $C$9, 100%, $E$9)</f>
        <v>4.3155000000000001</v>
      </c>
      <c r="C186" s="10">
        <f>4.3155 * CHOOSE(CONTROL!$C$32, $C$9, 100%, $E$9)</f>
        <v>4.3155000000000001</v>
      </c>
      <c r="D186" s="10">
        <f>4.3167 * CHOOSE(CONTROL!$C$32, $C$9, 100%, $E$9)</f>
        <v>4.3167</v>
      </c>
      <c r="E186" s="9">
        <f>4.7839 * CHOOSE(CONTROL!$C$32, $C$9, 100%, $E$9)</f>
        <v>4.7839</v>
      </c>
      <c r="F186" s="9">
        <f>4.7839 * CHOOSE(CONTROL!$C$32, $C$9, 100%, $E$9)</f>
        <v>4.7839</v>
      </c>
      <c r="G186" s="9">
        <f>4.7881 * CHOOSE(CONTROL!$C$32, $C$9, 100%, $E$9)</f>
        <v>4.7881</v>
      </c>
      <c r="H186" s="9">
        <f>8.2477 * CHOOSE(CONTROL!$C$32, $C$9, 100%, $E$9)</f>
        <v>8.2477</v>
      </c>
      <c r="I186" s="9">
        <f>8.2519 * CHOOSE(CONTROL!$C$32, $C$9, 100%, $E$9)</f>
        <v>8.2518999999999991</v>
      </c>
      <c r="J186" s="9">
        <f>8.2477 * CHOOSE(CONTROL!$C$32, $C$9, 100%, $E$9)</f>
        <v>8.2477</v>
      </c>
      <c r="K186" s="9">
        <f>8.2519 * CHOOSE(CONTROL!$C$32, $C$9, 100%, $E$9)</f>
        <v>8.2518999999999991</v>
      </c>
      <c r="L186" s="9">
        <f>4.7839 * CHOOSE(CONTROL!$C$32, $C$9, 100%, $E$9)</f>
        <v>4.7839</v>
      </c>
      <c r="M186" s="9">
        <f>4.7881 * CHOOSE(CONTROL!$C$32, $C$9, 100%, $E$9)</f>
        <v>4.7881</v>
      </c>
      <c r="N186" s="9">
        <f>4.7839 * CHOOSE(CONTROL!$C$32, $C$9, 100%, $E$9)</f>
        <v>4.7839</v>
      </c>
      <c r="O186" s="9">
        <f>4.7881 * CHOOSE(CONTROL!$C$32, $C$9, 100%, $E$9)</f>
        <v>4.7881</v>
      </c>
    </row>
    <row r="187" spans="1:15" ht="15" x14ac:dyDescent="0.2">
      <c r="A187" s="16">
        <v>46539</v>
      </c>
      <c r="B187" s="10">
        <f>4.3215 * CHOOSE(CONTROL!$C$32, $C$9, 100%, $E$9)</f>
        <v>4.3215000000000003</v>
      </c>
      <c r="C187" s="10">
        <f>4.3215 * CHOOSE(CONTROL!$C$32, $C$9, 100%, $E$9)</f>
        <v>4.3215000000000003</v>
      </c>
      <c r="D187" s="10">
        <f>4.3228 * CHOOSE(CONTROL!$C$32, $C$9, 100%, $E$9)</f>
        <v>4.3228</v>
      </c>
      <c r="E187" s="9">
        <f>4.7649 * CHOOSE(CONTROL!$C$32, $C$9, 100%, $E$9)</f>
        <v>4.7648999999999999</v>
      </c>
      <c r="F187" s="9">
        <f>4.7649 * CHOOSE(CONTROL!$C$32, $C$9, 100%, $E$9)</f>
        <v>4.7648999999999999</v>
      </c>
      <c r="G187" s="9">
        <f>4.7691 * CHOOSE(CONTROL!$C$32, $C$9, 100%, $E$9)</f>
        <v>4.7690999999999999</v>
      </c>
      <c r="H187" s="9">
        <f>8.2649 * CHOOSE(CONTROL!$C$32, $C$9, 100%, $E$9)</f>
        <v>8.2649000000000008</v>
      </c>
      <c r="I187" s="9">
        <f>8.2691 * CHOOSE(CONTROL!$C$32, $C$9, 100%, $E$9)</f>
        <v>8.2690999999999999</v>
      </c>
      <c r="J187" s="9">
        <f>8.2649 * CHOOSE(CONTROL!$C$32, $C$9, 100%, $E$9)</f>
        <v>8.2649000000000008</v>
      </c>
      <c r="K187" s="9">
        <f>8.2691 * CHOOSE(CONTROL!$C$32, $C$9, 100%, $E$9)</f>
        <v>8.2690999999999999</v>
      </c>
      <c r="L187" s="9">
        <f>4.7649 * CHOOSE(CONTROL!$C$32, $C$9, 100%, $E$9)</f>
        <v>4.7648999999999999</v>
      </c>
      <c r="M187" s="9">
        <f>4.7691 * CHOOSE(CONTROL!$C$32, $C$9, 100%, $E$9)</f>
        <v>4.7690999999999999</v>
      </c>
      <c r="N187" s="9">
        <f>4.7649 * CHOOSE(CONTROL!$C$32, $C$9, 100%, $E$9)</f>
        <v>4.7648999999999999</v>
      </c>
      <c r="O187" s="9">
        <f>4.7691 * CHOOSE(CONTROL!$C$32, $C$9, 100%, $E$9)</f>
        <v>4.7690999999999999</v>
      </c>
    </row>
    <row r="188" spans="1:15" ht="15" x14ac:dyDescent="0.2">
      <c r="A188" s="16">
        <v>46569</v>
      </c>
      <c r="B188" s="10">
        <f>4.3946 * CHOOSE(CONTROL!$C$32, $C$9, 100%, $E$9)</f>
        <v>4.3945999999999996</v>
      </c>
      <c r="C188" s="10">
        <f>4.3946 * CHOOSE(CONTROL!$C$32, $C$9, 100%, $E$9)</f>
        <v>4.3945999999999996</v>
      </c>
      <c r="D188" s="10">
        <f>4.3959 * CHOOSE(CONTROL!$C$32, $C$9, 100%, $E$9)</f>
        <v>4.3959000000000001</v>
      </c>
      <c r="E188" s="9">
        <f>4.801 * CHOOSE(CONTROL!$C$32, $C$9, 100%, $E$9)</f>
        <v>4.8010000000000002</v>
      </c>
      <c r="F188" s="9">
        <f>4.801 * CHOOSE(CONTROL!$C$32, $C$9, 100%, $E$9)</f>
        <v>4.8010000000000002</v>
      </c>
      <c r="G188" s="9">
        <f>4.8052 * CHOOSE(CONTROL!$C$32, $C$9, 100%, $E$9)</f>
        <v>4.8052000000000001</v>
      </c>
      <c r="H188" s="9">
        <f>8.2821 * CHOOSE(CONTROL!$C$32, $C$9, 100%, $E$9)</f>
        <v>8.2820999999999998</v>
      </c>
      <c r="I188" s="9">
        <f>8.2863 * CHOOSE(CONTROL!$C$32, $C$9, 100%, $E$9)</f>
        <v>8.2863000000000007</v>
      </c>
      <c r="J188" s="9">
        <f>8.2821 * CHOOSE(CONTROL!$C$32, $C$9, 100%, $E$9)</f>
        <v>8.2820999999999998</v>
      </c>
      <c r="K188" s="9">
        <f>8.2863 * CHOOSE(CONTROL!$C$32, $C$9, 100%, $E$9)</f>
        <v>8.2863000000000007</v>
      </c>
      <c r="L188" s="9">
        <f>4.801 * CHOOSE(CONTROL!$C$32, $C$9, 100%, $E$9)</f>
        <v>4.8010000000000002</v>
      </c>
      <c r="M188" s="9">
        <f>4.8052 * CHOOSE(CONTROL!$C$32, $C$9, 100%, $E$9)</f>
        <v>4.8052000000000001</v>
      </c>
      <c r="N188" s="9">
        <f>4.801 * CHOOSE(CONTROL!$C$32, $C$9, 100%, $E$9)</f>
        <v>4.8010000000000002</v>
      </c>
      <c r="O188" s="9">
        <f>4.8052 * CHOOSE(CONTROL!$C$32, $C$9, 100%, $E$9)</f>
        <v>4.8052000000000001</v>
      </c>
    </row>
    <row r="189" spans="1:15" ht="15" x14ac:dyDescent="0.2">
      <c r="A189" s="16">
        <v>46600</v>
      </c>
      <c r="B189" s="10">
        <f>4.4013 * CHOOSE(CONTROL!$C$32, $C$9, 100%, $E$9)</f>
        <v>4.4013</v>
      </c>
      <c r="C189" s="10">
        <f>4.4013 * CHOOSE(CONTROL!$C$32, $C$9, 100%, $E$9)</f>
        <v>4.4013</v>
      </c>
      <c r="D189" s="10">
        <f>4.4026 * CHOOSE(CONTROL!$C$32, $C$9, 100%, $E$9)</f>
        <v>4.4025999999999996</v>
      </c>
      <c r="E189" s="9">
        <f>4.7358 * CHOOSE(CONTROL!$C$32, $C$9, 100%, $E$9)</f>
        <v>4.7358000000000002</v>
      </c>
      <c r="F189" s="9">
        <f>4.7358 * CHOOSE(CONTROL!$C$32, $C$9, 100%, $E$9)</f>
        <v>4.7358000000000002</v>
      </c>
      <c r="G189" s="9">
        <f>4.74 * CHOOSE(CONTROL!$C$32, $C$9, 100%, $E$9)</f>
        <v>4.74</v>
      </c>
      <c r="H189" s="9">
        <f>8.2993 * CHOOSE(CONTROL!$C$32, $C$9, 100%, $E$9)</f>
        <v>8.2993000000000006</v>
      </c>
      <c r="I189" s="9">
        <f>8.3035 * CHOOSE(CONTROL!$C$32, $C$9, 100%, $E$9)</f>
        <v>8.3034999999999997</v>
      </c>
      <c r="J189" s="9">
        <f>8.2993 * CHOOSE(CONTROL!$C$32, $C$9, 100%, $E$9)</f>
        <v>8.2993000000000006</v>
      </c>
      <c r="K189" s="9">
        <f>8.3035 * CHOOSE(CONTROL!$C$32, $C$9, 100%, $E$9)</f>
        <v>8.3034999999999997</v>
      </c>
      <c r="L189" s="9">
        <f>4.7358 * CHOOSE(CONTROL!$C$32, $C$9, 100%, $E$9)</f>
        <v>4.7358000000000002</v>
      </c>
      <c r="M189" s="9">
        <f>4.74 * CHOOSE(CONTROL!$C$32, $C$9, 100%, $E$9)</f>
        <v>4.74</v>
      </c>
      <c r="N189" s="9">
        <f>4.7358 * CHOOSE(CONTROL!$C$32, $C$9, 100%, $E$9)</f>
        <v>4.7358000000000002</v>
      </c>
      <c r="O189" s="9">
        <f>4.74 * CHOOSE(CONTROL!$C$32, $C$9, 100%, $E$9)</f>
        <v>4.74</v>
      </c>
    </row>
    <row r="190" spans="1:15" ht="15" x14ac:dyDescent="0.2">
      <c r="A190" s="16">
        <v>46631</v>
      </c>
      <c r="B190" s="10">
        <f>4.3983 * CHOOSE(CONTROL!$C$32, $C$9, 100%, $E$9)</f>
        <v>4.3982999999999999</v>
      </c>
      <c r="C190" s="10">
        <f>4.3983 * CHOOSE(CONTROL!$C$32, $C$9, 100%, $E$9)</f>
        <v>4.3982999999999999</v>
      </c>
      <c r="D190" s="10">
        <f>4.3995 * CHOOSE(CONTROL!$C$32, $C$9, 100%, $E$9)</f>
        <v>4.3994999999999997</v>
      </c>
      <c r="E190" s="9">
        <f>4.726 * CHOOSE(CONTROL!$C$32, $C$9, 100%, $E$9)</f>
        <v>4.726</v>
      </c>
      <c r="F190" s="9">
        <f>4.726 * CHOOSE(CONTROL!$C$32, $C$9, 100%, $E$9)</f>
        <v>4.726</v>
      </c>
      <c r="G190" s="9">
        <f>4.7302 * CHOOSE(CONTROL!$C$32, $C$9, 100%, $E$9)</f>
        <v>4.7302</v>
      </c>
      <c r="H190" s="9">
        <f>8.3166 * CHOOSE(CONTROL!$C$32, $C$9, 100%, $E$9)</f>
        <v>8.3165999999999993</v>
      </c>
      <c r="I190" s="9">
        <f>8.3208 * CHOOSE(CONTROL!$C$32, $C$9, 100%, $E$9)</f>
        <v>8.3208000000000002</v>
      </c>
      <c r="J190" s="9">
        <f>8.3166 * CHOOSE(CONTROL!$C$32, $C$9, 100%, $E$9)</f>
        <v>8.3165999999999993</v>
      </c>
      <c r="K190" s="9">
        <f>8.3208 * CHOOSE(CONTROL!$C$32, $C$9, 100%, $E$9)</f>
        <v>8.3208000000000002</v>
      </c>
      <c r="L190" s="9">
        <f>4.726 * CHOOSE(CONTROL!$C$32, $C$9, 100%, $E$9)</f>
        <v>4.726</v>
      </c>
      <c r="M190" s="9">
        <f>4.7302 * CHOOSE(CONTROL!$C$32, $C$9, 100%, $E$9)</f>
        <v>4.7302</v>
      </c>
      <c r="N190" s="9">
        <f>4.726 * CHOOSE(CONTROL!$C$32, $C$9, 100%, $E$9)</f>
        <v>4.726</v>
      </c>
      <c r="O190" s="9">
        <f>4.7302 * CHOOSE(CONTROL!$C$32, $C$9, 100%, $E$9)</f>
        <v>4.7302</v>
      </c>
    </row>
    <row r="191" spans="1:15" ht="15" x14ac:dyDescent="0.2">
      <c r="A191" s="16">
        <v>46661</v>
      </c>
      <c r="B191" s="10">
        <f>4.3954 * CHOOSE(CONTROL!$C$32, $C$9, 100%, $E$9)</f>
        <v>4.3954000000000004</v>
      </c>
      <c r="C191" s="10">
        <f>4.3954 * CHOOSE(CONTROL!$C$32, $C$9, 100%, $E$9)</f>
        <v>4.3954000000000004</v>
      </c>
      <c r="D191" s="10">
        <f>4.3964 * CHOOSE(CONTROL!$C$32, $C$9, 100%, $E$9)</f>
        <v>4.3963999999999999</v>
      </c>
      <c r="E191" s="9">
        <f>4.7436 * CHOOSE(CONTROL!$C$32, $C$9, 100%, $E$9)</f>
        <v>4.7435999999999998</v>
      </c>
      <c r="F191" s="9">
        <f>4.7436 * CHOOSE(CONTROL!$C$32, $C$9, 100%, $E$9)</f>
        <v>4.7435999999999998</v>
      </c>
      <c r="G191" s="9">
        <f>4.7468 * CHOOSE(CONTROL!$C$32, $C$9, 100%, $E$9)</f>
        <v>4.7468000000000004</v>
      </c>
      <c r="H191" s="9">
        <f>8.3339 * CHOOSE(CONTROL!$C$32, $C$9, 100%, $E$9)</f>
        <v>8.3338999999999999</v>
      </c>
      <c r="I191" s="9">
        <f>8.3372 * CHOOSE(CONTROL!$C$32, $C$9, 100%, $E$9)</f>
        <v>8.3371999999999993</v>
      </c>
      <c r="J191" s="9">
        <f>8.3339 * CHOOSE(CONTROL!$C$32, $C$9, 100%, $E$9)</f>
        <v>8.3338999999999999</v>
      </c>
      <c r="K191" s="9">
        <f>8.3372 * CHOOSE(CONTROL!$C$32, $C$9, 100%, $E$9)</f>
        <v>8.3371999999999993</v>
      </c>
      <c r="L191" s="9">
        <f>4.7436 * CHOOSE(CONTROL!$C$32, $C$9, 100%, $E$9)</f>
        <v>4.7435999999999998</v>
      </c>
      <c r="M191" s="9">
        <f>4.7468 * CHOOSE(CONTROL!$C$32, $C$9, 100%, $E$9)</f>
        <v>4.7468000000000004</v>
      </c>
      <c r="N191" s="9">
        <f>4.7436 * CHOOSE(CONTROL!$C$32, $C$9, 100%, $E$9)</f>
        <v>4.7435999999999998</v>
      </c>
      <c r="O191" s="9">
        <f>4.7468 * CHOOSE(CONTROL!$C$32, $C$9, 100%, $E$9)</f>
        <v>4.7468000000000004</v>
      </c>
    </row>
    <row r="192" spans="1:15" ht="15" x14ac:dyDescent="0.2">
      <c r="A192" s="16">
        <v>46692</v>
      </c>
      <c r="B192" s="10">
        <f>4.3985 * CHOOSE(CONTROL!$C$32, $C$9, 100%, $E$9)</f>
        <v>4.3985000000000003</v>
      </c>
      <c r="C192" s="10">
        <f>4.3985 * CHOOSE(CONTROL!$C$32, $C$9, 100%, $E$9)</f>
        <v>4.3985000000000003</v>
      </c>
      <c r="D192" s="10">
        <f>4.3994 * CHOOSE(CONTROL!$C$32, $C$9, 100%, $E$9)</f>
        <v>4.3994</v>
      </c>
      <c r="E192" s="9">
        <f>4.7612 * CHOOSE(CONTROL!$C$32, $C$9, 100%, $E$9)</f>
        <v>4.7611999999999997</v>
      </c>
      <c r="F192" s="9">
        <f>4.7612 * CHOOSE(CONTROL!$C$32, $C$9, 100%, $E$9)</f>
        <v>4.7611999999999997</v>
      </c>
      <c r="G192" s="9">
        <f>4.7644 * CHOOSE(CONTROL!$C$32, $C$9, 100%, $E$9)</f>
        <v>4.7644000000000002</v>
      </c>
      <c r="H192" s="9">
        <f>8.3513 * CHOOSE(CONTROL!$C$32, $C$9, 100%, $E$9)</f>
        <v>8.3513000000000002</v>
      </c>
      <c r="I192" s="9">
        <f>8.3545 * CHOOSE(CONTROL!$C$32, $C$9, 100%, $E$9)</f>
        <v>8.3544999999999998</v>
      </c>
      <c r="J192" s="9">
        <f>8.3513 * CHOOSE(CONTROL!$C$32, $C$9, 100%, $E$9)</f>
        <v>8.3513000000000002</v>
      </c>
      <c r="K192" s="9">
        <f>8.3545 * CHOOSE(CONTROL!$C$32, $C$9, 100%, $E$9)</f>
        <v>8.3544999999999998</v>
      </c>
      <c r="L192" s="9">
        <f>4.7612 * CHOOSE(CONTROL!$C$32, $C$9, 100%, $E$9)</f>
        <v>4.7611999999999997</v>
      </c>
      <c r="M192" s="9">
        <f>4.7644 * CHOOSE(CONTROL!$C$32, $C$9, 100%, $E$9)</f>
        <v>4.7644000000000002</v>
      </c>
      <c r="N192" s="9">
        <f>4.7612 * CHOOSE(CONTROL!$C$32, $C$9, 100%, $E$9)</f>
        <v>4.7611999999999997</v>
      </c>
      <c r="O192" s="9">
        <f>4.7644 * CHOOSE(CONTROL!$C$32, $C$9, 100%, $E$9)</f>
        <v>4.7644000000000002</v>
      </c>
    </row>
    <row r="193" spans="1:15" ht="15" x14ac:dyDescent="0.2">
      <c r="A193" s="16">
        <v>46722</v>
      </c>
      <c r="B193" s="10">
        <f>4.3985 * CHOOSE(CONTROL!$C$32, $C$9, 100%, $E$9)</f>
        <v>4.3985000000000003</v>
      </c>
      <c r="C193" s="10">
        <f>4.3985 * CHOOSE(CONTROL!$C$32, $C$9, 100%, $E$9)</f>
        <v>4.3985000000000003</v>
      </c>
      <c r="D193" s="10">
        <f>4.3994 * CHOOSE(CONTROL!$C$32, $C$9, 100%, $E$9)</f>
        <v>4.3994</v>
      </c>
      <c r="E193" s="9">
        <f>4.7224 * CHOOSE(CONTROL!$C$32, $C$9, 100%, $E$9)</f>
        <v>4.7224000000000004</v>
      </c>
      <c r="F193" s="9">
        <f>4.7224 * CHOOSE(CONTROL!$C$32, $C$9, 100%, $E$9)</f>
        <v>4.7224000000000004</v>
      </c>
      <c r="G193" s="9">
        <f>4.7257 * CHOOSE(CONTROL!$C$32, $C$9, 100%, $E$9)</f>
        <v>4.7256999999999998</v>
      </c>
      <c r="H193" s="9">
        <f>8.3687 * CHOOSE(CONTROL!$C$32, $C$9, 100%, $E$9)</f>
        <v>8.3687000000000005</v>
      </c>
      <c r="I193" s="9">
        <f>8.3719 * CHOOSE(CONTROL!$C$32, $C$9, 100%, $E$9)</f>
        <v>8.3719000000000001</v>
      </c>
      <c r="J193" s="9">
        <f>8.3687 * CHOOSE(CONTROL!$C$32, $C$9, 100%, $E$9)</f>
        <v>8.3687000000000005</v>
      </c>
      <c r="K193" s="9">
        <f>8.3719 * CHOOSE(CONTROL!$C$32, $C$9, 100%, $E$9)</f>
        <v>8.3719000000000001</v>
      </c>
      <c r="L193" s="9">
        <f>4.7224 * CHOOSE(CONTROL!$C$32, $C$9, 100%, $E$9)</f>
        <v>4.7224000000000004</v>
      </c>
      <c r="M193" s="9">
        <f>4.7257 * CHOOSE(CONTROL!$C$32, $C$9, 100%, $E$9)</f>
        <v>4.7256999999999998</v>
      </c>
      <c r="N193" s="9">
        <f>4.7224 * CHOOSE(CONTROL!$C$32, $C$9, 100%, $E$9)</f>
        <v>4.7224000000000004</v>
      </c>
      <c r="O193" s="9">
        <f>4.7257 * CHOOSE(CONTROL!$C$32, $C$9, 100%, $E$9)</f>
        <v>4.7256999999999998</v>
      </c>
    </row>
    <row r="194" spans="1:15" ht="15" x14ac:dyDescent="0.2">
      <c r="A194" s="16">
        <v>46753</v>
      </c>
      <c r="B194" s="10">
        <f>4.4321 * CHOOSE(CONTROL!$C$32, $C$9, 100%, $E$9)</f>
        <v>4.4321000000000002</v>
      </c>
      <c r="C194" s="10">
        <f>4.4321 * CHOOSE(CONTROL!$C$32, $C$9, 100%, $E$9)</f>
        <v>4.4321000000000002</v>
      </c>
      <c r="D194" s="10">
        <f>4.4331 * CHOOSE(CONTROL!$C$32, $C$9, 100%, $E$9)</f>
        <v>4.4330999999999996</v>
      </c>
      <c r="E194" s="9">
        <f>4.7788 * CHOOSE(CONTROL!$C$32, $C$9, 100%, $E$9)</f>
        <v>4.7788000000000004</v>
      </c>
      <c r="F194" s="9">
        <f>4.7788 * CHOOSE(CONTROL!$C$32, $C$9, 100%, $E$9)</f>
        <v>4.7788000000000004</v>
      </c>
      <c r="G194" s="9">
        <f>4.782 * CHOOSE(CONTROL!$C$32, $C$9, 100%, $E$9)</f>
        <v>4.782</v>
      </c>
      <c r="H194" s="9">
        <f>8.3861 * CHOOSE(CONTROL!$C$32, $C$9, 100%, $E$9)</f>
        <v>8.3861000000000008</v>
      </c>
      <c r="I194" s="9">
        <f>8.3894 * CHOOSE(CONTROL!$C$32, $C$9, 100%, $E$9)</f>
        <v>8.3894000000000002</v>
      </c>
      <c r="J194" s="9">
        <f>8.3861 * CHOOSE(CONTROL!$C$32, $C$9, 100%, $E$9)</f>
        <v>8.3861000000000008</v>
      </c>
      <c r="K194" s="9">
        <f>8.3894 * CHOOSE(CONTROL!$C$32, $C$9, 100%, $E$9)</f>
        <v>8.3894000000000002</v>
      </c>
      <c r="L194" s="9">
        <f>4.7788 * CHOOSE(CONTROL!$C$32, $C$9, 100%, $E$9)</f>
        <v>4.7788000000000004</v>
      </c>
      <c r="M194" s="9">
        <f>4.782 * CHOOSE(CONTROL!$C$32, $C$9, 100%, $E$9)</f>
        <v>4.782</v>
      </c>
      <c r="N194" s="9">
        <f>4.7788 * CHOOSE(CONTROL!$C$32, $C$9, 100%, $E$9)</f>
        <v>4.7788000000000004</v>
      </c>
      <c r="O194" s="9">
        <f>4.782 * CHOOSE(CONTROL!$C$32, $C$9, 100%, $E$9)</f>
        <v>4.782</v>
      </c>
    </row>
    <row r="195" spans="1:15" ht="15" x14ac:dyDescent="0.2">
      <c r="A195" s="16">
        <v>46784</v>
      </c>
      <c r="B195" s="10">
        <f>4.4291 * CHOOSE(CONTROL!$C$32, $C$9, 100%, $E$9)</f>
        <v>4.4291</v>
      </c>
      <c r="C195" s="10">
        <f>4.4291 * CHOOSE(CONTROL!$C$32, $C$9, 100%, $E$9)</f>
        <v>4.4291</v>
      </c>
      <c r="D195" s="10">
        <f>4.43 * CHOOSE(CONTROL!$C$32, $C$9, 100%, $E$9)</f>
        <v>4.43</v>
      </c>
      <c r="E195" s="9">
        <f>4.7013 * CHOOSE(CONTROL!$C$32, $C$9, 100%, $E$9)</f>
        <v>4.7012999999999998</v>
      </c>
      <c r="F195" s="9">
        <f>4.7013 * CHOOSE(CONTROL!$C$32, $C$9, 100%, $E$9)</f>
        <v>4.7012999999999998</v>
      </c>
      <c r="G195" s="9">
        <f>4.7045 * CHOOSE(CONTROL!$C$32, $C$9, 100%, $E$9)</f>
        <v>4.7045000000000003</v>
      </c>
      <c r="H195" s="9">
        <f>8.4036 * CHOOSE(CONTROL!$C$32, $C$9, 100%, $E$9)</f>
        <v>8.4036000000000008</v>
      </c>
      <c r="I195" s="9">
        <f>8.4068 * CHOOSE(CONTROL!$C$32, $C$9, 100%, $E$9)</f>
        <v>8.4068000000000005</v>
      </c>
      <c r="J195" s="9">
        <f>8.4036 * CHOOSE(CONTROL!$C$32, $C$9, 100%, $E$9)</f>
        <v>8.4036000000000008</v>
      </c>
      <c r="K195" s="9">
        <f>8.4068 * CHOOSE(CONTROL!$C$32, $C$9, 100%, $E$9)</f>
        <v>8.4068000000000005</v>
      </c>
      <c r="L195" s="9">
        <f>4.7013 * CHOOSE(CONTROL!$C$32, $C$9, 100%, $E$9)</f>
        <v>4.7012999999999998</v>
      </c>
      <c r="M195" s="9">
        <f>4.7045 * CHOOSE(CONTROL!$C$32, $C$9, 100%, $E$9)</f>
        <v>4.7045000000000003</v>
      </c>
      <c r="N195" s="9">
        <f>4.7013 * CHOOSE(CONTROL!$C$32, $C$9, 100%, $E$9)</f>
        <v>4.7012999999999998</v>
      </c>
      <c r="O195" s="9">
        <f>4.7045 * CHOOSE(CONTROL!$C$32, $C$9, 100%, $E$9)</f>
        <v>4.7045000000000003</v>
      </c>
    </row>
    <row r="196" spans="1:15" ht="15" x14ac:dyDescent="0.2">
      <c r="A196" s="16">
        <v>46813</v>
      </c>
      <c r="B196" s="10">
        <f>4.426 * CHOOSE(CONTROL!$C$32, $C$9, 100%, $E$9)</f>
        <v>4.4260000000000002</v>
      </c>
      <c r="C196" s="10">
        <f>4.426 * CHOOSE(CONTROL!$C$32, $C$9, 100%, $E$9)</f>
        <v>4.4260000000000002</v>
      </c>
      <c r="D196" s="10">
        <f>4.427 * CHOOSE(CONTROL!$C$32, $C$9, 100%, $E$9)</f>
        <v>4.4269999999999996</v>
      </c>
      <c r="E196" s="9">
        <f>4.7586 * CHOOSE(CONTROL!$C$32, $C$9, 100%, $E$9)</f>
        <v>4.7586000000000004</v>
      </c>
      <c r="F196" s="9">
        <f>4.7586 * CHOOSE(CONTROL!$C$32, $C$9, 100%, $E$9)</f>
        <v>4.7586000000000004</v>
      </c>
      <c r="G196" s="9">
        <f>4.7618 * CHOOSE(CONTROL!$C$32, $C$9, 100%, $E$9)</f>
        <v>4.7618</v>
      </c>
      <c r="H196" s="9">
        <f>8.4211 * CHOOSE(CONTROL!$C$32, $C$9, 100%, $E$9)</f>
        <v>8.4210999999999991</v>
      </c>
      <c r="I196" s="9">
        <f>8.4243 * CHOOSE(CONTROL!$C$32, $C$9, 100%, $E$9)</f>
        <v>8.4243000000000006</v>
      </c>
      <c r="J196" s="9">
        <f>8.4211 * CHOOSE(CONTROL!$C$32, $C$9, 100%, $E$9)</f>
        <v>8.4210999999999991</v>
      </c>
      <c r="K196" s="9">
        <f>8.4243 * CHOOSE(CONTROL!$C$32, $C$9, 100%, $E$9)</f>
        <v>8.4243000000000006</v>
      </c>
      <c r="L196" s="9">
        <f>4.7586 * CHOOSE(CONTROL!$C$32, $C$9, 100%, $E$9)</f>
        <v>4.7586000000000004</v>
      </c>
      <c r="M196" s="9">
        <f>4.7618 * CHOOSE(CONTROL!$C$32, $C$9, 100%, $E$9)</f>
        <v>4.7618</v>
      </c>
      <c r="N196" s="9">
        <f>4.7586 * CHOOSE(CONTROL!$C$32, $C$9, 100%, $E$9)</f>
        <v>4.7586000000000004</v>
      </c>
      <c r="O196" s="9">
        <f>4.7618 * CHOOSE(CONTROL!$C$32, $C$9, 100%, $E$9)</f>
        <v>4.7618</v>
      </c>
    </row>
    <row r="197" spans="1:15" ht="15" x14ac:dyDescent="0.2">
      <c r="A197" s="16">
        <v>46844</v>
      </c>
      <c r="B197" s="10">
        <f>4.4243 * CHOOSE(CONTROL!$C$32, $C$9, 100%, $E$9)</f>
        <v>4.4242999999999997</v>
      </c>
      <c r="C197" s="10">
        <f>4.4243 * CHOOSE(CONTROL!$C$32, $C$9, 100%, $E$9)</f>
        <v>4.4242999999999997</v>
      </c>
      <c r="D197" s="10">
        <f>4.4252 * CHOOSE(CONTROL!$C$32, $C$9, 100%, $E$9)</f>
        <v>4.4252000000000002</v>
      </c>
      <c r="E197" s="9">
        <f>4.8182 * CHOOSE(CONTROL!$C$32, $C$9, 100%, $E$9)</f>
        <v>4.8182</v>
      </c>
      <c r="F197" s="9">
        <f>4.8182 * CHOOSE(CONTROL!$C$32, $C$9, 100%, $E$9)</f>
        <v>4.8182</v>
      </c>
      <c r="G197" s="9">
        <f>4.8214 * CHOOSE(CONTROL!$C$32, $C$9, 100%, $E$9)</f>
        <v>4.8213999999999997</v>
      </c>
      <c r="H197" s="9">
        <f>8.4387 * CHOOSE(CONTROL!$C$32, $C$9, 100%, $E$9)</f>
        <v>8.4387000000000008</v>
      </c>
      <c r="I197" s="9">
        <f>8.4419 * CHOOSE(CONTROL!$C$32, $C$9, 100%, $E$9)</f>
        <v>8.4419000000000004</v>
      </c>
      <c r="J197" s="9">
        <f>8.4387 * CHOOSE(CONTROL!$C$32, $C$9, 100%, $E$9)</f>
        <v>8.4387000000000008</v>
      </c>
      <c r="K197" s="9">
        <f>8.4419 * CHOOSE(CONTROL!$C$32, $C$9, 100%, $E$9)</f>
        <v>8.4419000000000004</v>
      </c>
      <c r="L197" s="9">
        <f>4.8182 * CHOOSE(CONTROL!$C$32, $C$9, 100%, $E$9)</f>
        <v>4.8182</v>
      </c>
      <c r="M197" s="9">
        <f>4.8214 * CHOOSE(CONTROL!$C$32, $C$9, 100%, $E$9)</f>
        <v>4.8213999999999997</v>
      </c>
      <c r="N197" s="9">
        <f>4.8182 * CHOOSE(CONTROL!$C$32, $C$9, 100%, $E$9)</f>
        <v>4.8182</v>
      </c>
      <c r="O197" s="9">
        <f>4.8214 * CHOOSE(CONTROL!$C$32, $C$9, 100%, $E$9)</f>
        <v>4.8213999999999997</v>
      </c>
    </row>
    <row r="198" spans="1:15" ht="15" x14ac:dyDescent="0.2">
      <c r="A198" s="16">
        <v>46874</v>
      </c>
      <c r="B198" s="10">
        <f>4.4243 * CHOOSE(CONTROL!$C$32, $C$9, 100%, $E$9)</f>
        <v>4.4242999999999997</v>
      </c>
      <c r="C198" s="10">
        <f>4.4243 * CHOOSE(CONTROL!$C$32, $C$9, 100%, $E$9)</f>
        <v>4.4242999999999997</v>
      </c>
      <c r="D198" s="10">
        <f>4.4255 * CHOOSE(CONTROL!$C$32, $C$9, 100%, $E$9)</f>
        <v>4.4255000000000004</v>
      </c>
      <c r="E198" s="9">
        <f>4.8421 * CHOOSE(CONTROL!$C$32, $C$9, 100%, $E$9)</f>
        <v>4.8421000000000003</v>
      </c>
      <c r="F198" s="9">
        <f>4.8421 * CHOOSE(CONTROL!$C$32, $C$9, 100%, $E$9)</f>
        <v>4.8421000000000003</v>
      </c>
      <c r="G198" s="9">
        <f>4.8463 * CHOOSE(CONTROL!$C$32, $C$9, 100%, $E$9)</f>
        <v>4.8463000000000003</v>
      </c>
      <c r="H198" s="9">
        <f>8.4562 * CHOOSE(CONTROL!$C$32, $C$9, 100%, $E$9)</f>
        <v>8.4562000000000008</v>
      </c>
      <c r="I198" s="9">
        <f>8.4604 * CHOOSE(CONTROL!$C$32, $C$9, 100%, $E$9)</f>
        <v>8.4603999999999999</v>
      </c>
      <c r="J198" s="9">
        <f>8.4562 * CHOOSE(CONTROL!$C$32, $C$9, 100%, $E$9)</f>
        <v>8.4562000000000008</v>
      </c>
      <c r="K198" s="9">
        <f>8.4604 * CHOOSE(CONTROL!$C$32, $C$9, 100%, $E$9)</f>
        <v>8.4603999999999999</v>
      </c>
      <c r="L198" s="9">
        <f>4.8421 * CHOOSE(CONTROL!$C$32, $C$9, 100%, $E$9)</f>
        <v>4.8421000000000003</v>
      </c>
      <c r="M198" s="9">
        <f>4.8463 * CHOOSE(CONTROL!$C$32, $C$9, 100%, $E$9)</f>
        <v>4.8463000000000003</v>
      </c>
      <c r="N198" s="9">
        <f>4.8421 * CHOOSE(CONTROL!$C$32, $C$9, 100%, $E$9)</f>
        <v>4.8421000000000003</v>
      </c>
      <c r="O198" s="9">
        <f>4.8463 * CHOOSE(CONTROL!$C$32, $C$9, 100%, $E$9)</f>
        <v>4.8463000000000003</v>
      </c>
    </row>
    <row r="199" spans="1:15" ht="15" x14ac:dyDescent="0.2">
      <c r="A199" s="16">
        <v>46905</v>
      </c>
      <c r="B199" s="10">
        <f>4.4303 * CHOOSE(CONTROL!$C$32, $C$9, 100%, $E$9)</f>
        <v>4.4302999999999999</v>
      </c>
      <c r="C199" s="10">
        <f>4.4303 * CHOOSE(CONTROL!$C$32, $C$9, 100%, $E$9)</f>
        <v>4.4302999999999999</v>
      </c>
      <c r="D199" s="10">
        <f>4.4316 * CHOOSE(CONTROL!$C$32, $C$9, 100%, $E$9)</f>
        <v>4.4316000000000004</v>
      </c>
      <c r="E199" s="9">
        <f>4.8224 * CHOOSE(CONTROL!$C$32, $C$9, 100%, $E$9)</f>
        <v>4.8224</v>
      </c>
      <c r="F199" s="9">
        <f>4.8224 * CHOOSE(CONTROL!$C$32, $C$9, 100%, $E$9)</f>
        <v>4.8224</v>
      </c>
      <c r="G199" s="9">
        <f>4.8266 * CHOOSE(CONTROL!$C$32, $C$9, 100%, $E$9)</f>
        <v>4.8266</v>
      </c>
      <c r="H199" s="9">
        <f>8.4739 * CHOOSE(CONTROL!$C$32, $C$9, 100%, $E$9)</f>
        <v>8.4739000000000004</v>
      </c>
      <c r="I199" s="9">
        <f>8.4781 * CHOOSE(CONTROL!$C$32, $C$9, 100%, $E$9)</f>
        <v>8.4780999999999995</v>
      </c>
      <c r="J199" s="9">
        <f>8.4739 * CHOOSE(CONTROL!$C$32, $C$9, 100%, $E$9)</f>
        <v>8.4739000000000004</v>
      </c>
      <c r="K199" s="9">
        <f>8.4781 * CHOOSE(CONTROL!$C$32, $C$9, 100%, $E$9)</f>
        <v>8.4780999999999995</v>
      </c>
      <c r="L199" s="9">
        <f>4.8224 * CHOOSE(CONTROL!$C$32, $C$9, 100%, $E$9)</f>
        <v>4.8224</v>
      </c>
      <c r="M199" s="9">
        <f>4.8266 * CHOOSE(CONTROL!$C$32, $C$9, 100%, $E$9)</f>
        <v>4.8266</v>
      </c>
      <c r="N199" s="9">
        <f>4.8224 * CHOOSE(CONTROL!$C$32, $C$9, 100%, $E$9)</f>
        <v>4.8224</v>
      </c>
      <c r="O199" s="9">
        <f>4.8266 * CHOOSE(CONTROL!$C$32, $C$9, 100%, $E$9)</f>
        <v>4.8266</v>
      </c>
    </row>
    <row r="200" spans="1:15" ht="15" x14ac:dyDescent="0.2">
      <c r="A200" s="16">
        <v>46935</v>
      </c>
      <c r="B200" s="10">
        <f>4.4901 * CHOOSE(CONTROL!$C$32, $C$9, 100%, $E$9)</f>
        <v>4.4901</v>
      </c>
      <c r="C200" s="10">
        <f>4.4901 * CHOOSE(CONTROL!$C$32, $C$9, 100%, $E$9)</f>
        <v>4.4901</v>
      </c>
      <c r="D200" s="10">
        <f>4.4914 * CHOOSE(CONTROL!$C$32, $C$9, 100%, $E$9)</f>
        <v>4.4913999999999996</v>
      </c>
      <c r="E200" s="9">
        <f>4.8783 * CHOOSE(CONTROL!$C$32, $C$9, 100%, $E$9)</f>
        <v>4.8783000000000003</v>
      </c>
      <c r="F200" s="9">
        <f>4.8783 * CHOOSE(CONTROL!$C$32, $C$9, 100%, $E$9)</f>
        <v>4.8783000000000003</v>
      </c>
      <c r="G200" s="9">
        <f>4.8825 * CHOOSE(CONTROL!$C$32, $C$9, 100%, $E$9)</f>
        <v>4.8825000000000003</v>
      </c>
      <c r="H200" s="9">
        <f>8.4915 * CHOOSE(CONTROL!$C$32, $C$9, 100%, $E$9)</f>
        <v>8.4915000000000003</v>
      </c>
      <c r="I200" s="9">
        <f>8.4957 * CHOOSE(CONTROL!$C$32, $C$9, 100%, $E$9)</f>
        <v>8.4956999999999994</v>
      </c>
      <c r="J200" s="9">
        <f>8.4915 * CHOOSE(CONTROL!$C$32, $C$9, 100%, $E$9)</f>
        <v>8.4915000000000003</v>
      </c>
      <c r="K200" s="9">
        <f>8.4957 * CHOOSE(CONTROL!$C$32, $C$9, 100%, $E$9)</f>
        <v>8.4956999999999994</v>
      </c>
      <c r="L200" s="9">
        <f>4.8783 * CHOOSE(CONTROL!$C$32, $C$9, 100%, $E$9)</f>
        <v>4.8783000000000003</v>
      </c>
      <c r="M200" s="9">
        <f>4.8825 * CHOOSE(CONTROL!$C$32, $C$9, 100%, $E$9)</f>
        <v>4.8825000000000003</v>
      </c>
      <c r="N200" s="9">
        <f>4.8783 * CHOOSE(CONTROL!$C$32, $C$9, 100%, $E$9)</f>
        <v>4.8783000000000003</v>
      </c>
      <c r="O200" s="9">
        <f>4.8825 * CHOOSE(CONTROL!$C$32, $C$9, 100%, $E$9)</f>
        <v>4.8825000000000003</v>
      </c>
    </row>
    <row r="201" spans="1:15" ht="15" x14ac:dyDescent="0.2">
      <c r="A201" s="16">
        <v>46966</v>
      </c>
      <c r="B201" s="10">
        <f>4.4968 * CHOOSE(CONTROL!$C$32, $C$9, 100%, $E$9)</f>
        <v>4.4968000000000004</v>
      </c>
      <c r="C201" s="10">
        <f>4.4968 * CHOOSE(CONTROL!$C$32, $C$9, 100%, $E$9)</f>
        <v>4.4968000000000004</v>
      </c>
      <c r="D201" s="10">
        <f>4.498 * CHOOSE(CONTROL!$C$32, $C$9, 100%, $E$9)</f>
        <v>4.4980000000000002</v>
      </c>
      <c r="E201" s="9">
        <f>4.8111 * CHOOSE(CONTROL!$C$32, $C$9, 100%, $E$9)</f>
        <v>4.8110999999999997</v>
      </c>
      <c r="F201" s="9">
        <f>4.8111 * CHOOSE(CONTROL!$C$32, $C$9, 100%, $E$9)</f>
        <v>4.8110999999999997</v>
      </c>
      <c r="G201" s="9">
        <f>4.8153 * CHOOSE(CONTROL!$C$32, $C$9, 100%, $E$9)</f>
        <v>4.8152999999999997</v>
      </c>
      <c r="H201" s="9">
        <f>8.5092 * CHOOSE(CONTROL!$C$32, $C$9, 100%, $E$9)</f>
        <v>8.5091999999999999</v>
      </c>
      <c r="I201" s="9">
        <f>8.5134 * CHOOSE(CONTROL!$C$32, $C$9, 100%, $E$9)</f>
        <v>8.5134000000000007</v>
      </c>
      <c r="J201" s="9">
        <f>8.5092 * CHOOSE(CONTROL!$C$32, $C$9, 100%, $E$9)</f>
        <v>8.5091999999999999</v>
      </c>
      <c r="K201" s="9">
        <f>8.5134 * CHOOSE(CONTROL!$C$32, $C$9, 100%, $E$9)</f>
        <v>8.5134000000000007</v>
      </c>
      <c r="L201" s="9">
        <f>4.8111 * CHOOSE(CONTROL!$C$32, $C$9, 100%, $E$9)</f>
        <v>4.8110999999999997</v>
      </c>
      <c r="M201" s="9">
        <f>4.8153 * CHOOSE(CONTROL!$C$32, $C$9, 100%, $E$9)</f>
        <v>4.8152999999999997</v>
      </c>
      <c r="N201" s="9">
        <f>4.8111 * CHOOSE(CONTROL!$C$32, $C$9, 100%, $E$9)</f>
        <v>4.8110999999999997</v>
      </c>
      <c r="O201" s="9">
        <f>4.8153 * CHOOSE(CONTROL!$C$32, $C$9, 100%, $E$9)</f>
        <v>4.8152999999999997</v>
      </c>
    </row>
    <row r="202" spans="1:15" ht="15" x14ac:dyDescent="0.2">
      <c r="A202" s="16">
        <v>46997</v>
      </c>
      <c r="B202" s="10">
        <f>4.4938 * CHOOSE(CONTROL!$C$32, $C$9, 100%, $E$9)</f>
        <v>4.4938000000000002</v>
      </c>
      <c r="C202" s="10">
        <f>4.4938 * CHOOSE(CONTROL!$C$32, $C$9, 100%, $E$9)</f>
        <v>4.4938000000000002</v>
      </c>
      <c r="D202" s="10">
        <f>4.495 * CHOOSE(CONTROL!$C$32, $C$9, 100%, $E$9)</f>
        <v>4.4950000000000001</v>
      </c>
      <c r="E202" s="9">
        <f>4.801 * CHOOSE(CONTROL!$C$32, $C$9, 100%, $E$9)</f>
        <v>4.8010000000000002</v>
      </c>
      <c r="F202" s="9">
        <f>4.801 * CHOOSE(CONTROL!$C$32, $C$9, 100%, $E$9)</f>
        <v>4.8010000000000002</v>
      </c>
      <c r="G202" s="9">
        <f>4.8052 * CHOOSE(CONTROL!$C$32, $C$9, 100%, $E$9)</f>
        <v>4.8052000000000001</v>
      </c>
      <c r="H202" s="9">
        <f>8.5269 * CHOOSE(CONTROL!$C$32, $C$9, 100%, $E$9)</f>
        <v>8.5268999999999995</v>
      </c>
      <c r="I202" s="9">
        <f>8.5311 * CHOOSE(CONTROL!$C$32, $C$9, 100%, $E$9)</f>
        <v>8.5311000000000003</v>
      </c>
      <c r="J202" s="9">
        <f>8.5269 * CHOOSE(CONTROL!$C$32, $C$9, 100%, $E$9)</f>
        <v>8.5268999999999995</v>
      </c>
      <c r="K202" s="9">
        <f>8.5311 * CHOOSE(CONTROL!$C$32, $C$9, 100%, $E$9)</f>
        <v>8.5311000000000003</v>
      </c>
      <c r="L202" s="9">
        <f>4.801 * CHOOSE(CONTROL!$C$32, $C$9, 100%, $E$9)</f>
        <v>4.8010000000000002</v>
      </c>
      <c r="M202" s="9">
        <f>4.8052 * CHOOSE(CONTROL!$C$32, $C$9, 100%, $E$9)</f>
        <v>4.8052000000000001</v>
      </c>
      <c r="N202" s="9">
        <f>4.801 * CHOOSE(CONTROL!$C$32, $C$9, 100%, $E$9)</f>
        <v>4.8010000000000002</v>
      </c>
      <c r="O202" s="9">
        <f>4.8052 * CHOOSE(CONTROL!$C$32, $C$9, 100%, $E$9)</f>
        <v>4.8052000000000001</v>
      </c>
    </row>
    <row r="203" spans="1:15" ht="15" x14ac:dyDescent="0.2">
      <c r="A203" s="16">
        <v>47027</v>
      </c>
      <c r="B203" s="10">
        <f>4.4912 * CHOOSE(CONTROL!$C$32, $C$9, 100%, $E$9)</f>
        <v>4.4912000000000001</v>
      </c>
      <c r="C203" s="10">
        <f>4.4912 * CHOOSE(CONTROL!$C$32, $C$9, 100%, $E$9)</f>
        <v>4.4912000000000001</v>
      </c>
      <c r="D203" s="10">
        <f>4.4922 * CHOOSE(CONTROL!$C$32, $C$9, 100%, $E$9)</f>
        <v>4.4922000000000004</v>
      </c>
      <c r="E203" s="9">
        <f>4.8195 * CHOOSE(CONTROL!$C$32, $C$9, 100%, $E$9)</f>
        <v>4.8194999999999997</v>
      </c>
      <c r="F203" s="9">
        <f>4.8195 * CHOOSE(CONTROL!$C$32, $C$9, 100%, $E$9)</f>
        <v>4.8194999999999997</v>
      </c>
      <c r="G203" s="9">
        <f>4.8228 * CHOOSE(CONTROL!$C$32, $C$9, 100%, $E$9)</f>
        <v>4.8228</v>
      </c>
      <c r="H203" s="9">
        <f>8.5447 * CHOOSE(CONTROL!$C$32, $C$9, 100%, $E$9)</f>
        <v>8.5447000000000006</v>
      </c>
      <c r="I203" s="9">
        <f>8.5479 * CHOOSE(CONTROL!$C$32, $C$9, 100%, $E$9)</f>
        <v>8.5479000000000003</v>
      </c>
      <c r="J203" s="9">
        <f>8.5447 * CHOOSE(CONTROL!$C$32, $C$9, 100%, $E$9)</f>
        <v>8.5447000000000006</v>
      </c>
      <c r="K203" s="9">
        <f>8.5479 * CHOOSE(CONTROL!$C$32, $C$9, 100%, $E$9)</f>
        <v>8.5479000000000003</v>
      </c>
      <c r="L203" s="9">
        <f>4.8195 * CHOOSE(CONTROL!$C$32, $C$9, 100%, $E$9)</f>
        <v>4.8194999999999997</v>
      </c>
      <c r="M203" s="9">
        <f>4.8228 * CHOOSE(CONTROL!$C$32, $C$9, 100%, $E$9)</f>
        <v>4.8228</v>
      </c>
      <c r="N203" s="9">
        <f>4.8195 * CHOOSE(CONTROL!$C$32, $C$9, 100%, $E$9)</f>
        <v>4.8194999999999997</v>
      </c>
      <c r="O203" s="9">
        <f>4.8228 * CHOOSE(CONTROL!$C$32, $C$9, 100%, $E$9)</f>
        <v>4.8228</v>
      </c>
    </row>
    <row r="204" spans="1:15" ht="15" x14ac:dyDescent="0.2">
      <c r="A204" s="16">
        <v>47058</v>
      </c>
      <c r="B204" s="10">
        <f>4.4943 * CHOOSE(CONTROL!$C$32, $C$9, 100%, $E$9)</f>
        <v>4.4943</v>
      </c>
      <c r="C204" s="10">
        <f>4.4943 * CHOOSE(CONTROL!$C$32, $C$9, 100%, $E$9)</f>
        <v>4.4943</v>
      </c>
      <c r="D204" s="10">
        <f>4.4952 * CHOOSE(CONTROL!$C$32, $C$9, 100%, $E$9)</f>
        <v>4.4951999999999996</v>
      </c>
      <c r="E204" s="9">
        <f>4.8376 * CHOOSE(CONTROL!$C$32, $C$9, 100%, $E$9)</f>
        <v>4.8376000000000001</v>
      </c>
      <c r="F204" s="9">
        <f>4.8376 * CHOOSE(CONTROL!$C$32, $C$9, 100%, $E$9)</f>
        <v>4.8376000000000001</v>
      </c>
      <c r="G204" s="9">
        <f>4.8408 * CHOOSE(CONTROL!$C$32, $C$9, 100%, $E$9)</f>
        <v>4.8407999999999998</v>
      </c>
      <c r="H204" s="9">
        <f>8.5625 * CHOOSE(CONTROL!$C$32, $C$9, 100%, $E$9)</f>
        <v>8.5625</v>
      </c>
      <c r="I204" s="9">
        <f>8.5657 * CHOOSE(CONTROL!$C$32, $C$9, 100%, $E$9)</f>
        <v>8.5656999999999996</v>
      </c>
      <c r="J204" s="9">
        <f>8.5625 * CHOOSE(CONTROL!$C$32, $C$9, 100%, $E$9)</f>
        <v>8.5625</v>
      </c>
      <c r="K204" s="9">
        <f>8.5657 * CHOOSE(CONTROL!$C$32, $C$9, 100%, $E$9)</f>
        <v>8.5656999999999996</v>
      </c>
      <c r="L204" s="9">
        <f>4.8376 * CHOOSE(CONTROL!$C$32, $C$9, 100%, $E$9)</f>
        <v>4.8376000000000001</v>
      </c>
      <c r="M204" s="9">
        <f>4.8408 * CHOOSE(CONTROL!$C$32, $C$9, 100%, $E$9)</f>
        <v>4.8407999999999998</v>
      </c>
      <c r="N204" s="9">
        <f>4.8376 * CHOOSE(CONTROL!$C$32, $C$9, 100%, $E$9)</f>
        <v>4.8376000000000001</v>
      </c>
      <c r="O204" s="9">
        <f>4.8408 * CHOOSE(CONTROL!$C$32, $C$9, 100%, $E$9)</f>
        <v>4.8407999999999998</v>
      </c>
    </row>
    <row r="205" spans="1:15" ht="15" x14ac:dyDescent="0.2">
      <c r="A205" s="16">
        <v>47088</v>
      </c>
      <c r="B205" s="10">
        <f>4.4943 * CHOOSE(CONTROL!$C$32, $C$9, 100%, $E$9)</f>
        <v>4.4943</v>
      </c>
      <c r="C205" s="10">
        <f>4.4943 * CHOOSE(CONTROL!$C$32, $C$9, 100%, $E$9)</f>
        <v>4.4943</v>
      </c>
      <c r="D205" s="10">
        <f>4.4952 * CHOOSE(CONTROL!$C$32, $C$9, 100%, $E$9)</f>
        <v>4.4951999999999996</v>
      </c>
      <c r="E205" s="9">
        <f>4.7977 * CHOOSE(CONTROL!$C$32, $C$9, 100%, $E$9)</f>
        <v>4.7976999999999999</v>
      </c>
      <c r="F205" s="9">
        <f>4.7977 * CHOOSE(CONTROL!$C$32, $C$9, 100%, $E$9)</f>
        <v>4.7976999999999999</v>
      </c>
      <c r="G205" s="9">
        <f>4.801 * CHOOSE(CONTROL!$C$32, $C$9, 100%, $E$9)</f>
        <v>4.8010000000000002</v>
      </c>
      <c r="H205" s="9">
        <f>8.5803 * CHOOSE(CONTROL!$C$32, $C$9, 100%, $E$9)</f>
        <v>8.5802999999999994</v>
      </c>
      <c r="I205" s="9">
        <f>8.5836 * CHOOSE(CONTROL!$C$32, $C$9, 100%, $E$9)</f>
        <v>8.5836000000000006</v>
      </c>
      <c r="J205" s="9">
        <f>8.5803 * CHOOSE(CONTROL!$C$32, $C$9, 100%, $E$9)</f>
        <v>8.5802999999999994</v>
      </c>
      <c r="K205" s="9">
        <f>8.5836 * CHOOSE(CONTROL!$C$32, $C$9, 100%, $E$9)</f>
        <v>8.5836000000000006</v>
      </c>
      <c r="L205" s="9">
        <f>4.7977 * CHOOSE(CONTROL!$C$32, $C$9, 100%, $E$9)</f>
        <v>4.7976999999999999</v>
      </c>
      <c r="M205" s="9">
        <f>4.801 * CHOOSE(CONTROL!$C$32, $C$9, 100%, $E$9)</f>
        <v>4.8010000000000002</v>
      </c>
      <c r="N205" s="9">
        <f>4.7977 * CHOOSE(CONTROL!$C$32, $C$9, 100%, $E$9)</f>
        <v>4.7976999999999999</v>
      </c>
      <c r="O205" s="9">
        <f>4.801 * CHOOSE(CONTROL!$C$32, $C$9, 100%, $E$9)</f>
        <v>4.8010000000000002</v>
      </c>
    </row>
    <row r="206" spans="1:15" ht="15" x14ac:dyDescent="0.2">
      <c r="A206" s="16">
        <v>47119</v>
      </c>
      <c r="B206" s="10">
        <f>4.5398 * CHOOSE(CONTROL!$C$32, $C$9, 100%, $E$9)</f>
        <v>4.5397999999999996</v>
      </c>
      <c r="C206" s="10">
        <f>4.5398 * CHOOSE(CONTROL!$C$32, $C$9, 100%, $E$9)</f>
        <v>4.5397999999999996</v>
      </c>
      <c r="D206" s="10">
        <f>4.5408 * CHOOSE(CONTROL!$C$32, $C$9, 100%, $E$9)</f>
        <v>4.5407999999999999</v>
      </c>
      <c r="E206" s="9">
        <f>4.8591 * CHOOSE(CONTROL!$C$32, $C$9, 100%, $E$9)</f>
        <v>4.8590999999999998</v>
      </c>
      <c r="F206" s="9">
        <f>4.8591 * CHOOSE(CONTROL!$C$32, $C$9, 100%, $E$9)</f>
        <v>4.8590999999999998</v>
      </c>
      <c r="G206" s="9">
        <f>4.8623 * CHOOSE(CONTROL!$C$32, $C$9, 100%, $E$9)</f>
        <v>4.8623000000000003</v>
      </c>
      <c r="H206" s="9">
        <f>8.5982 * CHOOSE(CONTROL!$C$32, $C$9, 100%, $E$9)</f>
        <v>8.5982000000000003</v>
      </c>
      <c r="I206" s="9">
        <f>8.6014 * CHOOSE(CONTROL!$C$32, $C$9, 100%, $E$9)</f>
        <v>8.6013999999999999</v>
      </c>
      <c r="J206" s="9">
        <f>8.5982 * CHOOSE(CONTROL!$C$32, $C$9, 100%, $E$9)</f>
        <v>8.5982000000000003</v>
      </c>
      <c r="K206" s="9">
        <f>8.6014 * CHOOSE(CONTROL!$C$32, $C$9, 100%, $E$9)</f>
        <v>8.6013999999999999</v>
      </c>
      <c r="L206" s="9">
        <f>4.8591 * CHOOSE(CONTROL!$C$32, $C$9, 100%, $E$9)</f>
        <v>4.8590999999999998</v>
      </c>
      <c r="M206" s="9">
        <f>4.8623 * CHOOSE(CONTROL!$C$32, $C$9, 100%, $E$9)</f>
        <v>4.8623000000000003</v>
      </c>
      <c r="N206" s="9">
        <f>4.8591 * CHOOSE(CONTROL!$C$32, $C$9, 100%, $E$9)</f>
        <v>4.8590999999999998</v>
      </c>
      <c r="O206" s="9">
        <f>4.8623 * CHOOSE(CONTROL!$C$32, $C$9, 100%, $E$9)</f>
        <v>4.8623000000000003</v>
      </c>
    </row>
    <row r="207" spans="1:15" ht="15" x14ac:dyDescent="0.2">
      <c r="A207" s="16">
        <v>47150</v>
      </c>
      <c r="B207" s="10">
        <f>4.5368 * CHOOSE(CONTROL!$C$32, $C$9, 100%, $E$9)</f>
        <v>4.5368000000000004</v>
      </c>
      <c r="C207" s="10">
        <f>4.5368 * CHOOSE(CONTROL!$C$32, $C$9, 100%, $E$9)</f>
        <v>4.5368000000000004</v>
      </c>
      <c r="D207" s="10">
        <f>4.5377 * CHOOSE(CONTROL!$C$32, $C$9, 100%, $E$9)</f>
        <v>4.5377000000000001</v>
      </c>
      <c r="E207" s="9">
        <f>4.779 * CHOOSE(CONTROL!$C$32, $C$9, 100%, $E$9)</f>
        <v>4.7789999999999999</v>
      </c>
      <c r="F207" s="9">
        <f>4.779 * CHOOSE(CONTROL!$C$32, $C$9, 100%, $E$9)</f>
        <v>4.7789999999999999</v>
      </c>
      <c r="G207" s="9">
        <f>4.7823 * CHOOSE(CONTROL!$C$32, $C$9, 100%, $E$9)</f>
        <v>4.7823000000000002</v>
      </c>
      <c r="H207" s="9">
        <f>8.6161 * CHOOSE(CONTROL!$C$32, $C$9, 100%, $E$9)</f>
        <v>8.6160999999999994</v>
      </c>
      <c r="I207" s="9">
        <f>8.6193 * CHOOSE(CONTROL!$C$32, $C$9, 100%, $E$9)</f>
        <v>8.6193000000000008</v>
      </c>
      <c r="J207" s="9">
        <f>8.6161 * CHOOSE(CONTROL!$C$32, $C$9, 100%, $E$9)</f>
        <v>8.6160999999999994</v>
      </c>
      <c r="K207" s="9">
        <f>8.6193 * CHOOSE(CONTROL!$C$32, $C$9, 100%, $E$9)</f>
        <v>8.6193000000000008</v>
      </c>
      <c r="L207" s="9">
        <f>4.779 * CHOOSE(CONTROL!$C$32, $C$9, 100%, $E$9)</f>
        <v>4.7789999999999999</v>
      </c>
      <c r="M207" s="9">
        <f>4.7823 * CHOOSE(CONTROL!$C$32, $C$9, 100%, $E$9)</f>
        <v>4.7823000000000002</v>
      </c>
      <c r="N207" s="9">
        <f>4.779 * CHOOSE(CONTROL!$C$32, $C$9, 100%, $E$9)</f>
        <v>4.7789999999999999</v>
      </c>
      <c r="O207" s="9">
        <f>4.7823 * CHOOSE(CONTROL!$C$32, $C$9, 100%, $E$9)</f>
        <v>4.7823000000000002</v>
      </c>
    </row>
    <row r="208" spans="1:15" ht="15" x14ac:dyDescent="0.2">
      <c r="A208" s="16">
        <v>47178</v>
      </c>
      <c r="B208" s="10">
        <f>4.5337 * CHOOSE(CONTROL!$C$32, $C$9, 100%, $E$9)</f>
        <v>4.5336999999999996</v>
      </c>
      <c r="C208" s="10">
        <f>4.5337 * CHOOSE(CONTROL!$C$32, $C$9, 100%, $E$9)</f>
        <v>4.5336999999999996</v>
      </c>
      <c r="D208" s="10">
        <f>4.5347 * CHOOSE(CONTROL!$C$32, $C$9, 100%, $E$9)</f>
        <v>4.5347</v>
      </c>
      <c r="E208" s="9">
        <f>4.8384 * CHOOSE(CONTROL!$C$32, $C$9, 100%, $E$9)</f>
        <v>4.8384</v>
      </c>
      <c r="F208" s="9">
        <f>4.8384 * CHOOSE(CONTROL!$C$32, $C$9, 100%, $E$9)</f>
        <v>4.8384</v>
      </c>
      <c r="G208" s="9">
        <f>4.8416 * CHOOSE(CONTROL!$C$32, $C$9, 100%, $E$9)</f>
        <v>4.8415999999999997</v>
      </c>
      <c r="H208" s="9">
        <f>8.6341 * CHOOSE(CONTROL!$C$32, $C$9, 100%, $E$9)</f>
        <v>8.6341000000000001</v>
      </c>
      <c r="I208" s="9">
        <f>8.6373 * CHOOSE(CONTROL!$C$32, $C$9, 100%, $E$9)</f>
        <v>8.6372999999999998</v>
      </c>
      <c r="J208" s="9">
        <f>8.6341 * CHOOSE(CONTROL!$C$32, $C$9, 100%, $E$9)</f>
        <v>8.6341000000000001</v>
      </c>
      <c r="K208" s="9">
        <f>8.6373 * CHOOSE(CONTROL!$C$32, $C$9, 100%, $E$9)</f>
        <v>8.6372999999999998</v>
      </c>
      <c r="L208" s="9">
        <f>4.8384 * CHOOSE(CONTROL!$C$32, $C$9, 100%, $E$9)</f>
        <v>4.8384</v>
      </c>
      <c r="M208" s="9">
        <f>4.8416 * CHOOSE(CONTROL!$C$32, $C$9, 100%, $E$9)</f>
        <v>4.8415999999999997</v>
      </c>
      <c r="N208" s="9">
        <f>4.8384 * CHOOSE(CONTROL!$C$32, $C$9, 100%, $E$9)</f>
        <v>4.8384</v>
      </c>
      <c r="O208" s="9">
        <f>4.8416 * CHOOSE(CONTROL!$C$32, $C$9, 100%, $E$9)</f>
        <v>4.8415999999999997</v>
      </c>
    </row>
    <row r="209" spans="1:15" ht="15" x14ac:dyDescent="0.2">
      <c r="A209" s="16">
        <v>47209</v>
      </c>
      <c r="B209" s="10">
        <f>4.5321 * CHOOSE(CONTROL!$C$32, $C$9, 100%, $E$9)</f>
        <v>4.5320999999999998</v>
      </c>
      <c r="C209" s="10">
        <f>4.5321 * CHOOSE(CONTROL!$C$32, $C$9, 100%, $E$9)</f>
        <v>4.5320999999999998</v>
      </c>
      <c r="D209" s="10">
        <f>4.533 * CHOOSE(CONTROL!$C$32, $C$9, 100%, $E$9)</f>
        <v>4.5330000000000004</v>
      </c>
      <c r="E209" s="9">
        <f>4.9001 * CHOOSE(CONTROL!$C$32, $C$9, 100%, $E$9)</f>
        <v>4.9001000000000001</v>
      </c>
      <c r="F209" s="9">
        <f>4.9001 * CHOOSE(CONTROL!$C$32, $C$9, 100%, $E$9)</f>
        <v>4.9001000000000001</v>
      </c>
      <c r="G209" s="9">
        <f>4.9034 * CHOOSE(CONTROL!$C$32, $C$9, 100%, $E$9)</f>
        <v>4.9034000000000004</v>
      </c>
      <c r="H209" s="9">
        <f>8.6521 * CHOOSE(CONTROL!$C$32, $C$9, 100%, $E$9)</f>
        <v>8.6521000000000008</v>
      </c>
      <c r="I209" s="9">
        <f>8.6553 * CHOOSE(CONTROL!$C$32, $C$9, 100%, $E$9)</f>
        <v>8.6553000000000004</v>
      </c>
      <c r="J209" s="9">
        <f>8.6521 * CHOOSE(CONTROL!$C$32, $C$9, 100%, $E$9)</f>
        <v>8.6521000000000008</v>
      </c>
      <c r="K209" s="9">
        <f>8.6553 * CHOOSE(CONTROL!$C$32, $C$9, 100%, $E$9)</f>
        <v>8.6553000000000004</v>
      </c>
      <c r="L209" s="9">
        <f>4.9001 * CHOOSE(CONTROL!$C$32, $C$9, 100%, $E$9)</f>
        <v>4.9001000000000001</v>
      </c>
      <c r="M209" s="9">
        <f>4.9034 * CHOOSE(CONTROL!$C$32, $C$9, 100%, $E$9)</f>
        <v>4.9034000000000004</v>
      </c>
      <c r="N209" s="9">
        <f>4.9001 * CHOOSE(CONTROL!$C$32, $C$9, 100%, $E$9)</f>
        <v>4.9001000000000001</v>
      </c>
      <c r="O209" s="9">
        <f>4.9034 * CHOOSE(CONTROL!$C$32, $C$9, 100%, $E$9)</f>
        <v>4.9034000000000004</v>
      </c>
    </row>
    <row r="210" spans="1:15" ht="15" x14ac:dyDescent="0.2">
      <c r="A210" s="16">
        <v>47239</v>
      </c>
      <c r="B210" s="10">
        <f>4.5321 * CHOOSE(CONTROL!$C$32, $C$9, 100%, $E$9)</f>
        <v>4.5320999999999998</v>
      </c>
      <c r="C210" s="10">
        <f>4.5321 * CHOOSE(CONTROL!$C$32, $C$9, 100%, $E$9)</f>
        <v>4.5320999999999998</v>
      </c>
      <c r="D210" s="10">
        <f>4.5333 * CHOOSE(CONTROL!$C$32, $C$9, 100%, $E$9)</f>
        <v>4.5332999999999997</v>
      </c>
      <c r="E210" s="9">
        <f>4.9249 * CHOOSE(CONTROL!$C$32, $C$9, 100%, $E$9)</f>
        <v>4.9249000000000001</v>
      </c>
      <c r="F210" s="9">
        <f>4.9249 * CHOOSE(CONTROL!$C$32, $C$9, 100%, $E$9)</f>
        <v>4.9249000000000001</v>
      </c>
      <c r="G210" s="9">
        <f>4.9291 * CHOOSE(CONTROL!$C$32, $C$9, 100%, $E$9)</f>
        <v>4.9291</v>
      </c>
      <c r="H210" s="9">
        <f>8.6701 * CHOOSE(CONTROL!$C$32, $C$9, 100%, $E$9)</f>
        <v>8.6700999999999997</v>
      </c>
      <c r="I210" s="9">
        <f>8.6743 * CHOOSE(CONTROL!$C$32, $C$9, 100%, $E$9)</f>
        <v>8.6743000000000006</v>
      </c>
      <c r="J210" s="9">
        <f>8.6701 * CHOOSE(CONTROL!$C$32, $C$9, 100%, $E$9)</f>
        <v>8.6700999999999997</v>
      </c>
      <c r="K210" s="9">
        <f>8.6743 * CHOOSE(CONTROL!$C$32, $C$9, 100%, $E$9)</f>
        <v>8.6743000000000006</v>
      </c>
      <c r="L210" s="9">
        <f>4.9249 * CHOOSE(CONTROL!$C$32, $C$9, 100%, $E$9)</f>
        <v>4.9249000000000001</v>
      </c>
      <c r="M210" s="9">
        <f>4.9291 * CHOOSE(CONTROL!$C$32, $C$9, 100%, $E$9)</f>
        <v>4.9291</v>
      </c>
      <c r="N210" s="9">
        <f>4.9249 * CHOOSE(CONTROL!$C$32, $C$9, 100%, $E$9)</f>
        <v>4.9249000000000001</v>
      </c>
      <c r="O210" s="9">
        <f>4.9291 * CHOOSE(CONTROL!$C$32, $C$9, 100%, $E$9)</f>
        <v>4.9291</v>
      </c>
    </row>
    <row r="211" spans="1:15" ht="15" x14ac:dyDescent="0.2">
      <c r="A211" s="16">
        <v>47270</v>
      </c>
      <c r="B211" s="10">
        <f>4.5381 * CHOOSE(CONTROL!$C$32, $C$9, 100%, $E$9)</f>
        <v>4.5381</v>
      </c>
      <c r="C211" s="10">
        <f>4.5381 * CHOOSE(CONTROL!$C$32, $C$9, 100%, $E$9)</f>
        <v>4.5381</v>
      </c>
      <c r="D211" s="10">
        <f>4.5394 * CHOOSE(CONTROL!$C$32, $C$9, 100%, $E$9)</f>
        <v>4.5393999999999997</v>
      </c>
      <c r="E211" s="9">
        <f>4.9044 * CHOOSE(CONTROL!$C$32, $C$9, 100%, $E$9)</f>
        <v>4.9043999999999999</v>
      </c>
      <c r="F211" s="9">
        <f>4.9044 * CHOOSE(CONTROL!$C$32, $C$9, 100%, $E$9)</f>
        <v>4.9043999999999999</v>
      </c>
      <c r="G211" s="9">
        <f>4.9086 * CHOOSE(CONTROL!$C$32, $C$9, 100%, $E$9)</f>
        <v>4.9085999999999999</v>
      </c>
      <c r="H211" s="9">
        <f>8.6881 * CHOOSE(CONTROL!$C$32, $C$9, 100%, $E$9)</f>
        <v>8.6881000000000004</v>
      </c>
      <c r="I211" s="9">
        <f>8.6923 * CHOOSE(CONTROL!$C$32, $C$9, 100%, $E$9)</f>
        <v>8.6922999999999995</v>
      </c>
      <c r="J211" s="9">
        <f>8.6881 * CHOOSE(CONTROL!$C$32, $C$9, 100%, $E$9)</f>
        <v>8.6881000000000004</v>
      </c>
      <c r="K211" s="9">
        <f>8.6923 * CHOOSE(CONTROL!$C$32, $C$9, 100%, $E$9)</f>
        <v>8.6922999999999995</v>
      </c>
      <c r="L211" s="9">
        <f>4.9044 * CHOOSE(CONTROL!$C$32, $C$9, 100%, $E$9)</f>
        <v>4.9043999999999999</v>
      </c>
      <c r="M211" s="9">
        <f>4.9086 * CHOOSE(CONTROL!$C$32, $C$9, 100%, $E$9)</f>
        <v>4.9085999999999999</v>
      </c>
      <c r="N211" s="9">
        <f>4.9044 * CHOOSE(CONTROL!$C$32, $C$9, 100%, $E$9)</f>
        <v>4.9043999999999999</v>
      </c>
      <c r="O211" s="9">
        <f>4.9086 * CHOOSE(CONTROL!$C$32, $C$9, 100%, $E$9)</f>
        <v>4.9085999999999999</v>
      </c>
    </row>
    <row r="212" spans="1:15" ht="15" x14ac:dyDescent="0.2">
      <c r="A212" s="16">
        <v>47300</v>
      </c>
      <c r="B212" s="10">
        <f>4.6224 * CHOOSE(CONTROL!$C$32, $C$9, 100%, $E$9)</f>
        <v>4.6223999999999998</v>
      </c>
      <c r="C212" s="10">
        <f>4.6224 * CHOOSE(CONTROL!$C$32, $C$9, 100%, $E$9)</f>
        <v>4.6223999999999998</v>
      </c>
      <c r="D212" s="10">
        <f>4.6237 * CHOOSE(CONTROL!$C$32, $C$9, 100%, $E$9)</f>
        <v>4.6237000000000004</v>
      </c>
      <c r="E212" s="9">
        <f>4.9592 * CHOOSE(CONTROL!$C$32, $C$9, 100%, $E$9)</f>
        <v>4.9592000000000001</v>
      </c>
      <c r="F212" s="9">
        <f>4.9592 * CHOOSE(CONTROL!$C$32, $C$9, 100%, $E$9)</f>
        <v>4.9592000000000001</v>
      </c>
      <c r="G212" s="9">
        <f>4.9634 * CHOOSE(CONTROL!$C$32, $C$9, 100%, $E$9)</f>
        <v>4.9634</v>
      </c>
      <c r="H212" s="9">
        <f>8.7062 * CHOOSE(CONTROL!$C$32, $C$9, 100%, $E$9)</f>
        <v>8.7062000000000008</v>
      </c>
      <c r="I212" s="9">
        <f>8.7104 * CHOOSE(CONTROL!$C$32, $C$9, 100%, $E$9)</f>
        <v>8.7103999999999999</v>
      </c>
      <c r="J212" s="9">
        <f>8.7062 * CHOOSE(CONTROL!$C$32, $C$9, 100%, $E$9)</f>
        <v>8.7062000000000008</v>
      </c>
      <c r="K212" s="9">
        <f>8.7104 * CHOOSE(CONTROL!$C$32, $C$9, 100%, $E$9)</f>
        <v>8.7103999999999999</v>
      </c>
      <c r="L212" s="9">
        <f>4.9592 * CHOOSE(CONTROL!$C$32, $C$9, 100%, $E$9)</f>
        <v>4.9592000000000001</v>
      </c>
      <c r="M212" s="9">
        <f>4.9634 * CHOOSE(CONTROL!$C$32, $C$9, 100%, $E$9)</f>
        <v>4.9634</v>
      </c>
      <c r="N212" s="9">
        <f>4.9592 * CHOOSE(CONTROL!$C$32, $C$9, 100%, $E$9)</f>
        <v>4.9592000000000001</v>
      </c>
      <c r="O212" s="9">
        <f>4.9634 * CHOOSE(CONTROL!$C$32, $C$9, 100%, $E$9)</f>
        <v>4.9634</v>
      </c>
    </row>
    <row r="213" spans="1:15" ht="15" x14ac:dyDescent="0.2">
      <c r="A213" s="16">
        <v>47331</v>
      </c>
      <c r="B213" s="10">
        <f>4.6291 * CHOOSE(CONTROL!$C$32, $C$9, 100%, $E$9)</f>
        <v>4.6291000000000002</v>
      </c>
      <c r="C213" s="10">
        <f>4.6291 * CHOOSE(CONTROL!$C$32, $C$9, 100%, $E$9)</f>
        <v>4.6291000000000002</v>
      </c>
      <c r="D213" s="10">
        <f>4.6304 * CHOOSE(CONTROL!$C$32, $C$9, 100%, $E$9)</f>
        <v>4.6303999999999998</v>
      </c>
      <c r="E213" s="9">
        <f>4.8896 * CHOOSE(CONTROL!$C$32, $C$9, 100%, $E$9)</f>
        <v>4.8895999999999997</v>
      </c>
      <c r="F213" s="9">
        <f>4.8896 * CHOOSE(CONTROL!$C$32, $C$9, 100%, $E$9)</f>
        <v>4.8895999999999997</v>
      </c>
      <c r="G213" s="9">
        <f>4.8938 * CHOOSE(CONTROL!$C$32, $C$9, 100%, $E$9)</f>
        <v>4.8937999999999997</v>
      </c>
      <c r="H213" s="9">
        <f>8.7244 * CHOOSE(CONTROL!$C$32, $C$9, 100%, $E$9)</f>
        <v>8.7243999999999993</v>
      </c>
      <c r="I213" s="9">
        <f>8.7286 * CHOOSE(CONTROL!$C$32, $C$9, 100%, $E$9)</f>
        <v>8.7286000000000001</v>
      </c>
      <c r="J213" s="9">
        <f>8.7244 * CHOOSE(CONTROL!$C$32, $C$9, 100%, $E$9)</f>
        <v>8.7243999999999993</v>
      </c>
      <c r="K213" s="9">
        <f>8.7286 * CHOOSE(CONTROL!$C$32, $C$9, 100%, $E$9)</f>
        <v>8.7286000000000001</v>
      </c>
      <c r="L213" s="9">
        <f>4.8896 * CHOOSE(CONTROL!$C$32, $C$9, 100%, $E$9)</f>
        <v>4.8895999999999997</v>
      </c>
      <c r="M213" s="9">
        <f>4.8938 * CHOOSE(CONTROL!$C$32, $C$9, 100%, $E$9)</f>
        <v>4.8937999999999997</v>
      </c>
      <c r="N213" s="9">
        <f>4.8896 * CHOOSE(CONTROL!$C$32, $C$9, 100%, $E$9)</f>
        <v>4.8895999999999997</v>
      </c>
      <c r="O213" s="9">
        <f>4.8938 * CHOOSE(CONTROL!$C$32, $C$9, 100%, $E$9)</f>
        <v>4.8937999999999997</v>
      </c>
    </row>
    <row r="214" spans="1:15" ht="15" x14ac:dyDescent="0.2">
      <c r="A214" s="16">
        <v>47362</v>
      </c>
      <c r="B214" s="10">
        <f>4.6261 * CHOOSE(CONTROL!$C$32, $C$9, 100%, $E$9)</f>
        <v>4.6261000000000001</v>
      </c>
      <c r="C214" s="10">
        <f>4.6261 * CHOOSE(CONTROL!$C$32, $C$9, 100%, $E$9)</f>
        <v>4.6261000000000001</v>
      </c>
      <c r="D214" s="10">
        <f>4.6273 * CHOOSE(CONTROL!$C$32, $C$9, 100%, $E$9)</f>
        <v>4.6273</v>
      </c>
      <c r="E214" s="9">
        <f>4.8792 * CHOOSE(CONTROL!$C$32, $C$9, 100%, $E$9)</f>
        <v>4.8792</v>
      </c>
      <c r="F214" s="9">
        <f>4.8792 * CHOOSE(CONTROL!$C$32, $C$9, 100%, $E$9)</f>
        <v>4.8792</v>
      </c>
      <c r="G214" s="9">
        <f>4.8834 * CHOOSE(CONTROL!$C$32, $C$9, 100%, $E$9)</f>
        <v>4.8834</v>
      </c>
      <c r="H214" s="9">
        <f>8.7426 * CHOOSE(CONTROL!$C$32, $C$9, 100%, $E$9)</f>
        <v>8.7425999999999995</v>
      </c>
      <c r="I214" s="9">
        <f>8.7468 * CHOOSE(CONTROL!$C$32, $C$9, 100%, $E$9)</f>
        <v>8.7468000000000004</v>
      </c>
      <c r="J214" s="9">
        <f>8.7426 * CHOOSE(CONTROL!$C$32, $C$9, 100%, $E$9)</f>
        <v>8.7425999999999995</v>
      </c>
      <c r="K214" s="9">
        <f>8.7468 * CHOOSE(CONTROL!$C$32, $C$9, 100%, $E$9)</f>
        <v>8.7468000000000004</v>
      </c>
      <c r="L214" s="9">
        <f>4.8792 * CHOOSE(CONTROL!$C$32, $C$9, 100%, $E$9)</f>
        <v>4.8792</v>
      </c>
      <c r="M214" s="9">
        <f>4.8834 * CHOOSE(CONTROL!$C$32, $C$9, 100%, $E$9)</f>
        <v>4.8834</v>
      </c>
      <c r="N214" s="9">
        <f>4.8792 * CHOOSE(CONTROL!$C$32, $C$9, 100%, $E$9)</f>
        <v>4.8792</v>
      </c>
      <c r="O214" s="9">
        <f>4.8834 * CHOOSE(CONTROL!$C$32, $C$9, 100%, $E$9)</f>
        <v>4.8834</v>
      </c>
    </row>
    <row r="215" spans="1:15" ht="15" x14ac:dyDescent="0.2">
      <c r="A215" s="16">
        <v>47392</v>
      </c>
      <c r="B215" s="10">
        <f>4.6241 * CHOOSE(CONTROL!$C$32, $C$9, 100%, $E$9)</f>
        <v>4.6241000000000003</v>
      </c>
      <c r="C215" s="10">
        <f>4.6241 * CHOOSE(CONTROL!$C$32, $C$9, 100%, $E$9)</f>
        <v>4.6241000000000003</v>
      </c>
      <c r="D215" s="10">
        <f>4.625 * CHOOSE(CONTROL!$C$32, $C$9, 100%, $E$9)</f>
        <v>4.625</v>
      </c>
      <c r="E215" s="9">
        <f>4.8988 * CHOOSE(CONTROL!$C$32, $C$9, 100%, $E$9)</f>
        <v>4.8987999999999996</v>
      </c>
      <c r="F215" s="9">
        <f>4.8988 * CHOOSE(CONTROL!$C$32, $C$9, 100%, $E$9)</f>
        <v>4.8987999999999996</v>
      </c>
      <c r="G215" s="9">
        <f>4.902 * CHOOSE(CONTROL!$C$32, $C$9, 100%, $E$9)</f>
        <v>4.9020000000000001</v>
      </c>
      <c r="H215" s="9">
        <f>8.7608 * CHOOSE(CONTROL!$C$32, $C$9, 100%, $E$9)</f>
        <v>8.7607999999999997</v>
      </c>
      <c r="I215" s="9">
        <f>8.764 * CHOOSE(CONTROL!$C$32, $C$9, 100%, $E$9)</f>
        <v>8.7639999999999993</v>
      </c>
      <c r="J215" s="9">
        <f>8.7608 * CHOOSE(CONTROL!$C$32, $C$9, 100%, $E$9)</f>
        <v>8.7607999999999997</v>
      </c>
      <c r="K215" s="9">
        <f>8.764 * CHOOSE(CONTROL!$C$32, $C$9, 100%, $E$9)</f>
        <v>8.7639999999999993</v>
      </c>
      <c r="L215" s="9">
        <f>4.8988 * CHOOSE(CONTROL!$C$32, $C$9, 100%, $E$9)</f>
        <v>4.8987999999999996</v>
      </c>
      <c r="M215" s="9">
        <f>4.902 * CHOOSE(CONTROL!$C$32, $C$9, 100%, $E$9)</f>
        <v>4.9020000000000001</v>
      </c>
      <c r="N215" s="9">
        <f>4.8988 * CHOOSE(CONTROL!$C$32, $C$9, 100%, $E$9)</f>
        <v>4.8987999999999996</v>
      </c>
      <c r="O215" s="9">
        <f>4.902 * CHOOSE(CONTROL!$C$32, $C$9, 100%, $E$9)</f>
        <v>4.9020000000000001</v>
      </c>
    </row>
    <row r="216" spans="1:15" ht="15" x14ac:dyDescent="0.2">
      <c r="A216" s="16">
        <v>47423</v>
      </c>
      <c r="B216" s="10">
        <f>4.6271 * CHOOSE(CONTROL!$C$32, $C$9, 100%, $E$9)</f>
        <v>4.6271000000000004</v>
      </c>
      <c r="C216" s="10">
        <f>4.6271 * CHOOSE(CONTROL!$C$32, $C$9, 100%, $E$9)</f>
        <v>4.6271000000000004</v>
      </c>
      <c r="D216" s="10">
        <f>4.6281 * CHOOSE(CONTROL!$C$32, $C$9, 100%, $E$9)</f>
        <v>4.6280999999999999</v>
      </c>
      <c r="E216" s="9">
        <f>4.9174 * CHOOSE(CONTROL!$C$32, $C$9, 100%, $E$9)</f>
        <v>4.9173999999999998</v>
      </c>
      <c r="F216" s="9">
        <f>4.9174 * CHOOSE(CONTROL!$C$32, $C$9, 100%, $E$9)</f>
        <v>4.9173999999999998</v>
      </c>
      <c r="G216" s="9">
        <f>4.9207 * CHOOSE(CONTROL!$C$32, $C$9, 100%, $E$9)</f>
        <v>4.9207000000000001</v>
      </c>
      <c r="H216" s="9">
        <f>8.779 * CHOOSE(CONTROL!$C$32, $C$9, 100%, $E$9)</f>
        <v>8.7789999999999999</v>
      </c>
      <c r="I216" s="9">
        <f>8.7823 * CHOOSE(CONTROL!$C$32, $C$9, 100%, $E$9)</f>
        <v>8.7822999999999993</v>
      </c>
      <c r="J216" s="9">
        <f>8.779 * CHOOSE(CONTROL!$C$32, $C$9, 100%, $E$9)</f>
        <v>8.7789999999999999</v>
      </c>
      <c r="K216" s="9">
        <f>8.7823 * CHOOSE(CONTROL!$C$32, $C$9, 100%, $E$9)</f>
        <v>8.7822999999999993</v>
      </c>
      <c r="L216" s="9">
        <f>4.9174 * CHOOSE(CONTROL!$C$32, $C$9, 100%, $E$9)</f>
        <v>4.9173999999999998</v>
      </c>
      <c r="M216" s="9">
        <f>4.9207 * CHOOSE(CONTROL!$C$32, $C$9, 100%, $E$9)</f>
        <v>4.9207000000000001</v>
      </c>
      <c r="N216" s="9">
        <f>4.9174 * CHOOSE(CONTROL!$C$32, $C$9, 100%, $E$9)</f>
        <v>4.9173999999999998</v>
      </c>
      <c r="O216" s="9">
        <f>4.9207 * CHOOSE(CONTROL!$C$32, $C$9, 100%, $E$9)</f>
        <v>4.9207000000000001</v>
      </c>
    </row>
    <row r="217" spans="1:15" ht="15" x14ac:dyDescent="0.2">
      <c r="A217" s="16">
        <v>47453</v>
      </c>
      <c r="B217" s="10">
        <f>4.6271 * CHOOSE(CONTROL!$C$32, $C$9, 100%, $E$9)</f>
        <v>4.6271000000000004</v>
      </c>
      <c r="C217" s="10">
        <f>4.6271 * CHOOSE(CONTROL!$C$32, $C$9, 100%, $E$9)</f>
        <v>4.6271000000000004</v>
      </c>
      <c r="D217" s="10">
        <f>4.6281 * CHOOSE(CONTROL!$C$32, $C$9, 100%, $E$9)</f>
        <v>4.6280999999999999</v>
      </c>
      <c r="E217" s="9">
        <f>4.8762 * CHOOSE(CONTROL!$C$32, $C$9, 100%, $E$9)</f>
        <v>4.8761999999999999</v>
      </c>
      <c r="F217" s="9">
        <f>4.8762 * CHOOSE(CONTROL!$C$32, $C$9, 100%, $E$9)</f>
        <v>4.8761999999999999</v>
      </c>
      <c r="G217" s="9">
        <f>4.8794 * CHOOSE(CONTROL!$C$32, $C$9, 100%, $E$9)</f>
        <v>4.8794000000000004</v>
      </c>
      <c r="H217" s="9">
        <f>8.7973 * CHOOSE(CONTROL!$C$32, $C$9, 100%, $E$9)</f>
        <v>8.7972999999999999</v>
      </c>
      <c r="I217" s="9">
        <f>8.8005 * CHOOSE(CONTROL!$C$32, $C$9, 100%, $E$9)</f>
        <v>8.8004999999999995</v>
      </c>
      <c r="J217" s="9">
        <f>8.7973 * CHOOSE(CONTROL!$C$32, $C$9, 100%, $E$9)</f>
        <v>8.7972999999999999</v>
      </c>
      <c r="K217" s="9">
        <f>8.8005 * CHOOSE(CONTROL!$C$32, $C$9, 100%, $E$9)</f>
        <v>8.8004999999999995</v>
      </c>
      <c r="L217" s="9">
        <f>4.8762 * CHOOSE(CONTROL!$C$32, $C$9, 100%, $E$9)</f>
        <v>4.8761999999999999</v>
      </c>
      <c r="M217" s="9">
        <f>4.8794 * CHOOSE(CONTROL!$C$32, $C$9, 100%, $E$9)</f>
        <v>4.8794000000000004</v>
      </c>
      <c r="N217" s="9">
        <f>4.8762 * CHOOSE(CONTROL!$C$32, $C$9, 100%, $E$9)</f>
        <v>4.8761999999999999</v>
      </c>
      <c r="O217" s="9">
        <f>4.8794 * CHOOSE(CONTROL!$C$32, $C$9, 100%, $E$9)</f>
        <v>4.8794000000000004</v>
      </c>
    </row>
    <row r="218" spans="1:15" ht="15" x14ac:dyDescent="0.2">
      <c r="A218" s="16">
        <v>47484</v>
      </c>
      <c r="B218" s="10">
        <f>4.6574 * CHOOSE(CONTROL!$C$32, $C$9, 100%, $E$9)</f>
        <v>4.6574</v>
      </c>
      <c r="C218" s="10">
        <f>4.6574 * CHOOSE(CONTROL!$C$32, $C$9, 100%, $E$9)</f>
        <v>4.6574</v>
      </c>
      <c r="D218" s="10">
        <f>4.6583 * CHOOSE(CONTROL!$C$32, $C$9, 100%, $E$9)</f>
        <v>4.6582999999999997</v>
      </c>
      <c r="E218" s="9">
        <f>4.9309 * CHOOSE(CONTROL!$C$32, $C$9, 100%, $E$9)</f>
        <v>4.9309000000000003</v>
      </c>
      <c r="F218" s="9">
        <f>4.9309 * CHOOSE(CONTROL!$C$32, $C$9, 100%, $E$9)</f>
        <v>4.9309000000000003</v>
      </c>
      <c r="G218" s="9">
        <f>4.9342 * CHOOSE(CONTROL!$C$32, $C$9, 100%, $E$9)</f>
        <v>4.9341999999999997</v>
      </c>
      <c r="H218" s="9">
        <f>8.8156 * CHOOSE(CONTROL!$C$32, $C$9, 100%, $E$9)</f>
        <v>8.8155999999999999</v>
      </c>
      <c r="I218" s="9">
        <f>8.8189 * CHOOSE(CONTROL!$C$32, $C$9, 100%, $E$9)</f>
        <v>8.8188999999999993</v>
      </c>
      <c r="J218" s="9">
        <f>8.8156 * CHOOSE(CONTROL!$C$32, $C$9, 100%, $E$9)</f>
        <v>8.8155999999999999</v>
      </c>
      <c r="K218" s="9">
        <f>8.8189 * CHOOSE(CONTROL!$C$32, $C$9, 100%, $E$9)</f>
        <v>8.8188999999999993</v>
      </c>
      <c r="L218" s="9">
        <f>4.9309 * CHOOSE(CONTROL!$C$32, $C$9, 100%, $E$9)</f>
        <v>4.9309000000000003</v>
      </c>
      <c r="M218" s="9">
        <f>4.9342 * CHOOSE(CONTROL!$C$32, $C$9, 100%, $E$9)</f>
        <v>4.9341999999999997</v>
      </c>
      <c r="N218" s="9">
        <f>4.9309 * CHOOSE(CONTROL!$C$32, $C$9, 100%, $E$9)</f>
        <v>4.9309000000000003</v>
      </c>
      <c r="O218" s="9">
        <f>4.9342 * CHOOSE(CONTROL!$C$32, $C$9, 100%, $E$9)</f>
        <v>4.9341999999999997</v>
      </c>
    </row>
    <row r="219" spans="1:15" ht="15" x14ac:dyDescent="0.2">
      <c r="A219" s="16">
        <v>47515</v>
      </c>
      <c r="B219" s="10">
        <f>4.6543 * CHOOSE(CONTROL!$C$32, $C$9, 100%, $E$9)</f>
        <v>4.6543000000000001</v>
      </c>
      <c r="C219" s="10">
        <f>4.6543 * CHOOSE(CONTROL!$C$32, $C$9, 100%, $E$9)</f>
        <v>4.6543000000000001</v>
      </c>
      <c r="D219" s="10">
        <f>4.6553 * CHOOSE(CONTROL!$C$32, $C$9, 100%, $E$9)</f>
        <v>4.6553000000000004</v>
      </c>
      <c r="E219" s="9">
        <f>4.8488 * CHOOSE(CONTROL!$C$32, $C$9, 100%, $E$9)</f>
        <v>4.8487999999999998</v>
      </c>
      <c r="F219" s="9">
        <f>4.8488 * CHOOSE(CONTROL!$C$32, $C$9, 100%, $E$9)</f>
        <v>4.8487999999999998</v>
      </c>
      <c r="G219" s="9">
        <f>4.8521 * CHOOSE(CONTROL!$C$32, $C$9, 100%, $E$9)</f>
        <v>4.8521000000000001</v>
      </c>
      <c r="H219" s="9">
        <f>8.834 * CHOOSE(CONTROL!$C$32, $C$9, 100%, $E$9)</f>
        <v>8.8339999999999996</v>
      </c>
      <c r="I219" s="9">
        <f>8.8372 * CHOOSE(CONTROL!$C$32, $C$9, 100%, $E$9)</f>
        <v>8.8371999999999993</v>
      </c>
      <c r="J219" s="9">
        <f>8.834 * CHOOSE(CONTROL!$C$32, $C$9, 100%, $E$9)</f>
        <v>8.8339999999999996</v>
      </c>
      <c r="K219" s="9">
        <f>8.8372 * CHOOSE(CONTROL!$C$32, $C$9, 100%, $E$9)</f>
        <v>8.8371999999999993</v>
      </c>
      <c r="L219" s="9">
        <f>4.8488 * CHOOSE(CONTROL!$C$32, $C$9, 100%, $E$9)</f>
        <v>4.8487999999999998</v>
      </c>
      <c r="M219" s="9">
        <f>4.8521 * CHOOSE(CONTROL!$C$32, $C$9, 100%, $E$9)</f>
        <v>4.8521000000000001</v>
      </c>
      <c r="N219" s="9">
        <f>4.8488 * CHOOSE(CONTROL!$C$32, $C$9, 100%, $E$9)</f>
        <v>4.8487999999999998</v>
      </c>
      <c r="O219" s="9">
        <f>4.8521 * CHOOSE(CONTROL!$C$32, $C$9, 100%, $E$9)</f>
        <v>4.8521000000000001</v>
      </c>
    </row>
    <row r="220" spans="1:15" ht="15" x14ac:dyDescent="0.2">
      <c r="A220" s="16">
        <v>47543</v>
      </c>
      <c r="B220" s="10">
        <f>4.6513 * CHOOSE(CONTROL!$C$32, $C$9, 100%, $E$9)</f>
        <v>4.6513</v>
      </c>
      <c r="C220" s="10">
        <f>4.6513 * CHOOSE(CONTROL!$C$32, $C$9, 100%, $E$9)</f>
        <v>4.6513</v>
      </c>
      <c r="D220" s="10">
        <f>4.6522 * CHOOSE(CONTROL!$C$32, $C$9, 100%, $E$9)</f>
        <v>4.6521999999999997</v>
      </c>
      <c r="E220" s="9">
        <f>4.9098 * CHOOSE(CONTROL!$C$32, $C$9, 100%, $E$9)</f>
        <v>4.9097999999999997</v>
      </c>
      <c r="F220" s="9">
        <f>4.9098 * CHOOSE(CONTROL!$C$32, $C$9, 100%, $E$9)</f>
        <v>4.9097999999999997</v>
      </c>
      <c r="G220" s="9">
        <f>4.913 * CHOOSE(CONTROL!$C$32, $C$9, 100%, $E$9)</f>
        <v>4.9130000000000003</v>
      </c>
      <c r="H220" s="9">
        <f>8.8524 * CHOOSE(CONTROL!$C$32, $C$9, 100%, $E$9)</f>
        <v>8.8523999999999994</v>
      </c>
      <c r="I220" s="9">
        <f>8.8556 * CHOOSE(CONTROL!$C$32, $C$9, 100%, $E$9)</f>
        <v>8.8556000000000008</v>
      </c>
      <c r="J220" s="9">
        <f>8.8524 * CHOOSE(CONTROL!$C$32, $C$9, 100%, $E$9)</f>
        <v>8.8523999999999994</v>
      </c>
      <c r="K220" s="9">
        <f>8.8556 * CHOOSE(CONTROL!$C$32, $C$9, 100%, $E$9)</f>
        <v>8.8556000000000008</v>
      </c>
      <c r="L220" s="9">
        <f>4.9098 * CHOOSE(CONTROL!$C$32, $C$9, 100%, $E$9)</f>
        <v>4.9097999999999997</v>
      </c>
      <c r="M220" s="9">
        <f>4.913 * CHOOSE(CONTROL!$C$32, $C$9, 100%, $E$9)</f>
        <v>4.9130000000000003</v>
      </c>
      <c r="N220" s="9">
        <f>4.9098 * CHOOSE(CONTROL!$C$32, $C$9, 100%, $E$9)</f>
        <v>4.9097999999999997</v>
      </c>
      <c r="O220" s="9">
        <f>4.913 * CHOOSE(CONTROL!$C$32, $C$9, 100%, $E$9)</f>
        <v>4.9130000000000003</v>
      </c>
    </row>
    <row r="221" spans="1:15" ht="15" x14ac:dyDescent="0.2">
      <c r="A221" s="16">
        <v>47574</v>
      </c>
      <c r="B221" s="10">
        <f>4.6497 * CHOOSE(CONTROL!$C$32, $C$9, 100%, $E$9)</f>
        <v>4.6497000000000002</v>
      </c>
      <c r="C221" s="10">
        <f>4.6497 * CHOOSE(CONTROL!$C$32, $C$9, 100%, $E$9)</f>
        <v>4.6497000000000002</v>
      </c>
      <c r="D221" s="10">
        <f>4.6507 * CHOOSE(CONTROL!$C$32, $C$9, 100%, $E$9)</f>
        <v>4.6506999999999996</v>
      </c>
      <c r="E221" s="9">
        <f>4.9732 * CHOOSE(CONTROL!$C$32, $C$9, 100%, $E$9)</f>
        <v>4.9732000000000003</v>
      </c>
      <c r="F221" s="9">
        <f>4.9732 * CHOOSE(CONTROL!$C$32, $C$9, 100%, $E$9)</f>
        <v>4.9732000000000003</v>
      </c>
      <c r="G221" s="9">
        <f>4.9765 * CHOOSE(CONTROL!$C$32, $C$9, 100%, $E$9)</f>
        <v>4.9764999999999997</v>
      </c>
      <c r="H221" s="9">
        <f>8.8709 * CHOOSE(CONTROL!$C$32, $C$9, 100%, $E$9)</f>
        <v>8.8709000000000007</v>
      </c>
      <c r="I221" s="9">
        <f>8.8741 * CHOOSE(CONTROL!$C$32, $C$9, 100%, $E$9)</f>
        <v>8.8741000000000003</v>
      </c>
      <c r="J221" s="9">
        <f>8.8709 * CHOOSE(CONTROL!$C$32, $C$9, 100%, $E$9)</f>
        <v>8.8709000000000007</v>
      </c>
      <c r="K221" s="9">
        <f>8.8741 * CHOOSE(CONTROL!$C$32, $C$9, 100%, $E$9)</f>
        <v>8.8741000000000003</v>
      </c>
      <c r="L221" s="9">
        <f>4.9732 * CHOOSE(CONTROL!$C$32, $C$9, 100%, $E$9)</f>
        <v>4.9732000000000003</v>
      </c>
      <c r="M221" s="9">
        <f>4.9765 * CHOOSE(CONTROL!$C$32, $C$9, 100%, $E$9)</f>
        <v>4.9764999999999997</v>
      </c>
      <c r="N221" s="9">
        <f>4.9732 * CHOOSE(CONTROL!$C$32, $C$9, 100%, $E$9)</f>
        <v>4.9732000000000003</v>
      </c>
      <c r="O221" s="9">
        <f>4.9765 * CHOOSE(CONTROL!$C$32, $C$9, 100%, $E$9)</f>
        <v>4.9764999999999997</v>
      </c>
    </row>
    <row r="222" spans="1:15" ht="15" x14ac:dyDescent="0.2">
      <c r="A222" s="16">
        <v>47604</v>
      </c>
      <c r="B222" s="10">
        <f>4.6497 * CHOOSE(CONTROL!$C$32, $C$9, 100%, $E$9)</f>
        <v>4.6497000000000002</v>
      </c>
      <c r="C222" s="10">
        <f>4.6497 * CHOOSE(CONTROL!$C$32, $C$9, 100%, $E$9)</f>
        <v>4.6497000000000002</v>
      </c>
      <c r="D222" s="10">
        <f>4.651 * CHOOSE(CONTROL!$C$32, $C$9, 100%, $E$9)</f>
        <v>4.6509999999999998</v>
      </c>
      <c r="E222" s="9">
        <f>4.9986 * CHOOSE(CONTROL!$C$32, $C$9, 100%, $E$9)</f>
        <v>4.9985999999999997</v>
      </c>
      <c r="F222" s="9">
        <f>4.9986 * CHOOSE(CONTROL!$C$32, $C$9, 100%, $E$9)</f>
        <v>4.9985999999999997</v>
      </c>
      <c r="G222" s="9">
        <f>5.0028 * CHOOSE(CONTROL!$C$32, $C$9, 100%, $E$9)</f>
        <v>5.0027999999999997</v>
      </c>
      <c r="H222" s="9">
        <f>8.8893 * CHOOSE(CONTROL!$C$32, $C$9, 100%, $E$9)</f>
        <v>8.8893000000000004</v>
      </c>
      <c r="I222" s="9">
        <f>8.8935 * CHOOSE(CONTROL!$C$32, $C$9, 100%, $E$9)</f>
        <v>8.8934999999999995</v>
      </c>
      <c r="J222" s="9">
        <f>8.8893 * CHOOSE(CONTROL!$C$32, $C$9, 100%, $E$9)</f>
        <v>8.8893000000000004</v>
      </c>
      <c r="K222" s="9">
        <f>8.8935 * CHOOSE(CONTROL!$C$32, $C$9, 100%, $E$9)</f>
        <v>8.8934999999999995</v>
      </c>
      <c r="L222" s="9">
        <f>4.9986 * CHOOSE(CONTROL!$C$32, $C$9, 100%, $E$9)</f>
        <v>4.9985999999999997</v>
      </c>
      <c r="M222" s="9">
        <f>5.0028 * CHOOSE(CONTROL!$C$32, $C$9, 100%, $E$9)</f>
        <v>5.0027999999999997</v>
      </c>
      <c r="N222" s="9">
        <f>4.9986 * CHOOSE(CONTROL!$C$32, $C$9, 100%, $E$9)</f>
        <v>4.9985999999999997</v>
      </c>
      <c r="O222" s="9">
        <f>5.0028 * CHOOSE(CONTROL!$C$32, $C$9, 100%, $E$9)</f>
        <v>5.0027999999999997</v>
      </c>
    </row>
    <row r="223" spans="1:15" ht="15" x14ac:dyDescent="0.2">
      <c r="A223" s="16">
        <v>47635</v>
      </c>
      <c r="B223" s="10">
        <f>4.6558 * CHOOSE(CONTROL!$C$32, $C$9, 100%, $E$9)</f>
        <v>4.6558000000000002</v>
      </c>
      <c r="C223" s="10">
        <f>4.6558 * CHOOSE(CONTROL!$C$32, $C$9, 100%, $E$9)</f>
        <v>4.6558000000000002</v>
      </c>
      <c r="D223" s="10">
        <f>4.6571 * CHOOSE(CONTROL!$C$32, $C$9, 100%, $E$9)</f>
        <v>4.6570999999999998</v>
      </c>
      <c r="E223" s="9">
        <f>4.9775 * CHOOSE(CONTROL!$C$32, $C$9, 100%, $E$9)</f>
        <v>4.9775</v>
      </c>
      <c r="F223" s="9">
        <f>4.9775 * CHOOSE(CONTROL!$C$32, $C$9, 100%, $E$9)</f>
        <v>4.9775</v>
      </c>
      <c r="G223" s="9">
        <f>4.9817 * CHOOSE(CONTROL!$C$32, $C$9, 100%, $E$9)</f>
        <v>4.9817</v>
      </c>
      <c r="H223" s="9">
        <f>8.9079 * CHOOSE(CONTROL!$C$32, $C$9, 100%, $E$9)</f>
        <v>8.9078999999999997</v>
      </c>
      <c r="I223" s="9">
        <f>8.9121 * CHOOSE(CONTROL!$C$32, $C$9, 100%, $E$9)</f>
        <v>8.9121000000000006</v>
      </c>
      <c r="J223" s="9">
        <f>8.9079 * CHOOSE(CONTROL!$C$32, $C$9, 100%, $E$9)</f>
        <v>8.9078999999999997</v>
      </c>
      <c r="K223" s="9">
        <f>8.9121 * CHOOSE(CONTROL!$C$32, $C$9, 100%, $E$9)</f>
        <v>8.9121000000000006</v>
      </c>
      <c r="L223" s="9">
        <f>4.9775 * CHOOSE(CONTROL!$C$32, $C$9, 100%, $E$9)</f>
        <v>4.9775</v>
      </c>
      <c r="M223" s="9">
        <f>4.9817 * CHOOSE(CONTROL!$C$32, $C$9, 100%, $E$9)</f>
        <v>4.9817</v>
      </c>
      <c r="N223" s="9">
        <f>4.9775 * CHOOSE(CONTROL!$C$32, $C$9, 100%, $E$9)</f>
        <v>4.9775</v>
      </c>
      <c r="O223" s="9">
        <f>4.9817 * CHOOSE(CONTROL!$C$32, $C$9, 100%, $E$9)</f>
        <v>4.9817</v>
      </c>
    </row>
    <row r="224" spans="1:15" ht="15" x14ac:dyDescent="0.2">
      <c r="A224" s="16">
        <v>47665</v>
      </c>
      <c r="B224" s="10">
        <f>4.708 * CHOOSE(CONTROL!$C$32, $C$9, 100%, $E$9)</f>
        <v>4.7080000000000002</v>
      </c>
      <c r="C224" s="10">
        <f>4.708 * CHOOSE(CONTROL!$C$32, $C$9, 100%, $E$9)</f>
        <v>4.7080000000000002</v>
      </c>
      <c r="D224" s="10">
        <f>4.7092 * CHOOSE(CONTROL!$C$32, $C$9, 100%, $E$9)</f>
        <v>4.7092000000000001</v>
      </c>
      <c r="E224" s="9">
        <f>5.0294 * CHOOSE(CONTROL!$C$32, $C$9, 100%, $E$9)</f>
        <v>5.0293999999999999</v>
      </c>
      <c r="F224" s="9">
        <f>5.0294 * CHOOSE(CONTROL!$C$32, $C$9, 100%, $E$9)</f>
        <v>5.0293999999999999</v>
      </c>
      <c r="G224" s="9">
        <f>5.0336 * CHOOSE(CONTROL!$C$32, $C$9, 100%, $E$9)</f>
        <v>5.0335999999999999</v>
      </c>
      <c r="H224" s="9">
        <f>8.9264 * CHOOSE(CONTROL!$C$32, $C$9, 100%, $E$9)</f>
        <v>8.9263999999999992</v>
      </c>
      <c r="I224" s="9">
        <f>8.9306 * CHOOSE(CONTROL!$C$32, $C$9, 100%, $E$9)</f>
        <v>8.9306000000000001</v>
      </c>
      <c r="J224" s="9">
        <f>8.9264 * CHOOSE(CONTROL!$C$32, $C$9, 100%, $E$9)</f>
        <v>8.9263999999999992</v>
      </c>
      <c r="K224" s="9">
        <f>8.9306 * CHOOSE(CONTROL!$C$32, $C$9, 100%, $E$9)</f>
        <v>8.9306000000000001</v>
      </c>
      <c r="L224" s="9">
        <f>5.0294 * CHOOSE(CONTROL!$C$32, $C$9, 100%, $E$9)</f>
        <v>5.0293999999999999</v>
      </c>
      <c r="M224" s="9">
        <f>5.0336 * CHOOSE(CONTROL!$C$32, $C$9, 100%, $E$9)</f>
        <v>5.0335999999999999</v>
      </c>
      <c r="N224" s="9">
        <f>5.0294 * CHOOSE(CONTROL!$C$32, $C$9, 100%, $E$9)</f>
        <v>5.0293999999999999</v>
      </c>
      <c r="O224" s="9">
        <f>5.0336 * CHOOSE(CONTROL!$C$32, $C$9, 100%, $E$9)</f>
        <v>5.0335999999999999</v>
      </c>
    </row>
    <row r="225" spans="1:15" ht="15" x14ac:dyDescent="0.2">
      <c r="A225" s="16">
        <v>47696</v>
      </c>
      <c r="B225" s="10">
        <f>4.7147 * CHOOSE(CONTROL!$C$32, $C$9, 100%, $E$9)</f>
        <v>4.7146999999999997</v>
      </c>
      <c r="C225" s="10">
        <f>4.7147 * CHOOSE(CONTROL!$C$32, $C$9, 100%, $E$9)</f>
        <v>4.7146999999999997</v>
      </c>
      <c r="D225" s="10">
        <f>4.7159 * CHOOSE(CONTROL!$C$32, $C$9, 100%, $E$9)</f>
        <v>4.7159000000000004</v>
      </c>
      <c r="E225" s="9">
        <f>4.9579 * CHOOSE(CONTROL!$C$32, $C$9, 100%, $E$9)</f>
        <v>4.9579000000000004</v>
      </c>
      <c r="F225" s="9">
        <f>4.9579 * CHOOSE(CONTROL!$C$32, $C$9, 100%, $E$9)</f>
        <v>4.9579000000000004</v>
      </c>
      <c r="G225" s="9">
        <f>4.9621 * CHOOSE(CONTROL!$C$32, $C$9, 100%, $E$9)</f>
        <v>4.9621000000000004</v>
      </c>
      <c r="H225" s="9">
        <f>8.945 * CHOOSE(CONTROL!$C$32, $C$9, 100%, $E$9)</f>
        <v>8.9450000000000003</v>
      </c>
      <c r="I225" s="9">
        <f>8.9492 * CHOOSE(CONTROL!$C$32, $C$9, 100%, $E$9)</f>
        <v>8.9491999999999994</v>
      </c>
      <c r="J225" s="9">
        <f>8.945 * CHOOSE(CONTROL!$C$32, $C$9, 100%, $E$9)</f>
        <v>8.9450000000000003</v>
      </c>
      <c r="K225" s="9">
        <f>8.9492 * CHOOSE(CONTROL!$C$32, $C$9, 100%, $E$9)</f>
        <v>8.9491999999999994</v>
      </c>
      <c r="L225" s="9">
        <f>4.9579 * CHOOSE(CONTROL!$C$32, $C$9, 100%, $E$9)</f>
        <v>4.9579000000000004</v>
      </c>
      <c r="M225" s="9">
        <f>4.9621 * CHOOSE(CONTROL!$C$32, $C$9, 100%, $E$9)</f>
        <v>4.9621000000000004</v>
      </c>
      <c r="N225" s="9">
        <f>4.9579 * CHOOSE(CONTROL!$C$32, $C$9, 100%, $E$9)</f>
        <v>4.9579000000000004</v>
      </c>
      <c r="O225" s="9">
        <f>4.9621 * CHOOSE(CONTROL!$C$32, $C$9, 100%, $E$9)</f>
        <v>4.9621000000000004</v>
      </c>
    </row>
    <row r="226" spans="1:15" ht="15" x14ac:dyDescent="0.2">
      <c r="A226" s="16">
        <v>47727</v>
      </c>
      <c r="B226" s="10">
        <f>4.7116 * CHOOSE(CONTROL!$C$32, $C$9, 100%, $E$9)</f>
        <v>4.7115999999999998</v>
      </c>
      <c r="C226" s="10">
        <f>4.7116 * CHOOSE(CONTROL!$C$32, $C$9, 100%, $E$9)</f>
        <v>4.7115999999999998</v>
      </c>
      <c r="D226" s="10">
        <f>4.7129 * CHOOSE(CONTROL!$C$32, $C$9, 100%, $E$9)</f>
        <v>4.7129000000000003</v>
      </c>
      <c r="E226" s="9">
        <f>4.9473 * CHOOSE(CONTROL!$C$32, $C$9, 100%, $E$9)</f>
        <v>4.9473000000000003</v>
      </c>
      <c r="F226" s="9">
        <f>4.9473 * CHOOSE(CONTROL!$C$32, $C$9, 100%, $E$9)</f>
        <v>4.9473000000000003</v>
      </c>
      <c r="G226" s="9">
        <f>4.9515 * CHOOSE(CONTROL!$C$32, $C$9, 100%, $E$9)</f>
        <v>4.9515000000000002</v>
      </c>
      <c r="H226" s="9">
        <f>8.9636 * CHOOSE(CONTROL!$C$32, $C$9, 100%, $E$9)</f>
        <v>8.9635999999999996</v>
      </c>
      <c r="I226" s="9">
        <f>8.9678 * CHOOSE(CONTROL!$C$32, $C$9, 100%, $E$9)</f>
        <v>8.9678000000000004</v>
      </c>
      <c r="J226" s="9">
        <f>8.9636 * CHOOSE(CONTROL!$C$32, $C$9, 100%, $E$9)</f>
        <v>8.9635999999999996</v>
      </c>
      <c r="K226" s="9">
        <f>8.9678 * CHOOSE(CONTROL!$C$32, $C$9, 100%, $E$9)</f>
        <v>8.9678000000000004</v>
      </c>
      <c r="L226" s="9">
        <f>4.9473 * CHOOSE(CONTROL!$C$32, $C$9, 100%, $E$9)</f>
        <v>4.9473000000000003</v>
      </c>
      <c r="M226" s="9">
        <f>4.9515 * CHOOSE(CONTROL!$C$32, $C$9, 100%, $E$9)</f>
        <v>4.9515000000000002</v>
      </c>
      <c r="N226" s="9">
        <f>4.9473 * CHOOSE(CONTROL!$C$32, $C$9, 100%, $E$9)</f>
        <v>4.9473000000000003</v>
      </c>
      <c r="O226" s="9">
        <f>4.9515 * CHOOSE(CONTROL!$C$32, $C$9, 100%, $E$9)</f>
        <v>4.9515000000000002</v>
      </c>
    </row>
    <row r="227" spans="1:15" ht="15" x14ac:dyDescent="0.2">
      <c r="A227" s="16">
        <v>47757</v>
      </c>
      <c r="B227" s="10">
        <f>4.7099 * CHOOSE(CONTROL!$C$32, $C$9, 100%, $E$9)</f>
        <v>4.7099000000000002</v>
      </c>
      <c r="C227" s="10">
        <f>4.7099 * CHOOSE(CONTROL!$C$32, $C$9, 100%, $E$9)</f>
        <v>4.7099000000000002</v>
      </c>
      <c r="D227" s="10">
        <f>4.7109 * CHOOSE(CONTROL!$C$32, $C$9, 100%, $E$9)</f>
        <v>4.7108999999999996</v>
      </c>
      <c r="E227" s="9">
        <f>4.9677 * CHOOSE(CONTROL!$C$32, $C$9, 100%, $E$9)</f>
        <v>4.9676999999999998</v>
      </c>
      <c r="F227" s="9">
        <f>4.9677 * CHOOSE(CONTROL!$C$32, $C$9, 100%, $E$9)</f>
        <v>4.9676999999999998</v>
      </c>
      <c r="G227" s="9">
        <f>4.971 * CHOOSE(CONTROL!$C$32, $C$9, 100%, $E$9)</f>
        <v>4.9710000000000001</v>
      </c>
      <c r="H227" s="9">
        <f>8.9823 * CHOOSE(CONTROL!$C$32, $C$9, 100%, $E$9)</f>
        <v>8.9823000000000004</v>
      </c>
      <c r="I227" s="9">
        <f>8.9855 * CHOOSE(CONTROL!$C$32, $C$9, 100%, $E$9)</f>
        <v>8.9855</v>
      </c>
      <c r="J227" s="9">
        <f>8.9823 * CHOOSE(CONTROL!$C$32, $C$9, 100%, $E$9)</f>
        <v>8.9823000000000004</v>
      </c>
      <c r="K227" s="9">
        <f>8.9855 * CHOOSE(CONTROL!$C$32, $C$9, 100%, $E$9)</f>
        <v>8.9855</v>
      </c>
      <c r="L227" s="9">
        <f>4.9677 * CHOOSE(CONTROL!$C$32, $C$9, 100%, $E$9)</f>
        <v>4.9676999999999998</v>
      </c>
      <c r="M227" s="9">
        <f>4.971 * CHOOSE(CONTROL!$C$32, $C$9, 100%, $E$9)</f>
        <v>4.9710000000000001</v>
      </c>
      <c r="N227" s="9">
        <f>4.9677 * CHOOSE(CONTROL!$C$32, $C$9, 100%, $E$9)</f>
        <v>4.9676999999999998</v>
      </c>
      <c r="O227" s="9">
        <f>4.971 * CHOOSE(CONTROL!$C$32, $C$9, 100%, $E$9)</f>
        <v>4.9710000000000001</v>
      </c>
    </row>
    <row r="228" spans="1:15" ht="15" x14ac:dyDescent="0.2">
      <c r="A228" s="16">
        <v>47788</v>
      </c>
      <c r="B228" s="10">
        <f>4.713 * CHOOSE(CONTROL!$C$32, $C$9, 100%, $E$9)</f>
        <v>4.7130000000000001</v>
      </c>
      <c r="C228" s="10">
        <f>4.713 * CHOOSE(CONTROL!$C$32, $C$9, 100%, $E$9)</f>
        <v>4.7130000000000001</v>
      </c>
      <c r="D228" s="10">
        <f>4.7139 * CHOOSE(CONTROL!$C$32, $C$9, 100%, $E$9)</f>
        <v>4.7138999999999998</v>
      </c>
      <c r="E228" s="9">
        <f>4.9868 * CHOOSE(CONTROL!$C$32, $C$9, 100%, $E$9)</f>
        <v>4.9867999999999997</v>
      </c>
      <c r="F228" s="9">
        <f>4.9868 * CHOOSE(CONTROL!$C$32, $C$9, 100%, $E$9)</f>
        <v>4.9867999999999997</v>
      </c>
      <c r="G228" s="9">
        <f>4.99 * CHOOSE(CONTROL!$C$32, $C$9, 100%, $E$9)</f>
        <v>4.99</v>
      </c>
      <c r="H228" s="9">
        <f>9.001 * CHOOSE(CONTROL!$C$32, $C$9, 100%, $E$9)</f>
        <v>9.0009999999999994</v>
      </c>
      <c r="I228" s="9">
        <f>9.0043 * CHOOSE(CONTROL!$C$32, $C$9, 100%, $E$9)</f>
        <v>9.0043000000000006</v>
      </c>
      <c r="J228" s="9">
        <f>9.001 * CHOOSE(CONTROL!$C$32, $C$9, 100%, $E$9)</f>
        <v>9.0009999999999994</v>
      </c>
      <c r="K228" s="9">
        <f>9.0043 * CHOOSE(CONTROL!$C$32, $C$9, 100%, $E$9)</f>
        <v>9.0043000000000006</v>
      </c>
      <c r="L228" s="9">
        <f>4.9868 * CHOOSE(CONTROL!$C$32, $C$9, 100%, $E$9)</f>
        <v>4.9867999999999997</v>
      </c>
      <c r="M228" s="9">
        <f>4.99 * CHOOSE(CONTROL!$C$32, $C$9, 100%, $E$9)</f>
        <v>4.99</v>
      </c>
      <c r="N228" s="9">
        <f>4.9868 * CHOOSE(CONTROL!$C$32, $C$9, 100%, $E$9)</f>
        <v>4.9867999999999997</v>
      </c>
      <c r="O228" s="9">
        <f>4.99 * CHOOSE(CONTROL!$C$32, $C$9, 100%, $E$9)</f>
        <v>4.99</v>
      </c>
    </row>
    <row r="229" spans="1:15" ht="15" x14ac:dyDescent="0.2">
      <c r="A229" s="16">
        <v>47818</v>
      </c>
      <c r="B229" s="10">
        <f>4.713 * CHOOSE(CONTROL!$C$32, $C$9, 100%, $E$9)</f>
        <v>4.7130000000000001</v>
      </c>
      <c r="C229" s="10">
        <f>4.713 * CHOOSE(CONTROL!$C$32, $C$9, 100%, $E$9)</f>
        <v>4.7130000000000001</v>
      </c>
      <c r="D229" s="10">
        <f>4.7139 * CHOOSE(CONTROL!$C$32, $C$9, 100%, $E$9)</f>
        <v>4.7138999999999998</v>
      </c>
      <c r="E229" s="9">
        <f>4.9445 * CHOOSE(CONTROL!$C$32, $C$9, 100%, $E$9)</f>
        <v>4.9444999999999997</v>
      </c>
      <c r="F229" s="9">
        <f>4.9445 * CHOOSE(CONTROL!$C$32, $C$9, 100%, $E$9)</f>
        <v>4.9444999999999997</v>
      </c>
      <c r="G229" s="9">
        <f>4.9477 * CHOOSE(CONTROL!$C$32, $C$9, 100%, $E$9)</f>
        <v>4.9477000000000002</v>
      </c>
      <c r="H229" s="9">
        <f>9.0198 * CHOOSE(CONTROL!$C$32, $C$9, 100%, $E$9)</f>
        <v>9.0198</v>
      </c>
      <c r="I229" s="9">
        <f>9.023 * CHOOSE(CONTROL!$C$32, $C$9, 100%, $E$9)</f>
        <v>9.0229999999999997</v>
      </c>
      <c r="J229" s="9">
        <f>9.0198 * CHOOSE(CONTROL!$C$32, $C$9, 100%, $E$9)</f>
        <v>9.0198</v>
      </c>
      <c r="K229" s="9">
        <f>9.023 * CHOOSE(CONTROL!$C$32, $C$9, 100%, $E$9)</f>
        <v>9.0229999999999997</v>
      </c>
      <c r="L229" s="9">
        <f>4.9445 * CHOOSE(CONTROL!$C$32, $C$9, 100%, $E$9)</f>
        <v>4.9444999999999997</v>
      </c>
      <c r="M229" s="9">
        <f>4.9477 * CHOOSE(CONTROL!$C$32, $C$9, 100%, $E$9)</f>
        <v>4.9477000000000002</v>
      </c>
      <c r="N229" s="9">
        <f>4.9445 * CHOOSE(CONTROL!$C$32, $C$9, 100%, $E$9)</f>
        <v>4.9444999999999997</v>
      </c>
      <c r="O229" s="9">
        <f>4.9477 * CHOOSE(CONTROL!$C$32, $C$9, 100%, $E$9)</f>
        <v>4.9477000000000002</v>
      </c>
    </row>
    <row r="230" spans="1:15" ht="15" x14ac:dyDescent="0.2">
      <c r="A230" s="16">
        <v>47849</v>
      </c>
      <c r="B230" s="10">
        <f>4.758 * CHOOSE(CONTROL!$C$32, $C$9, 100%, $E$9)</f>
        <v>4.758</v>
      </c>
      <c r="C230" s="10">
        <f>4.758 * CHOOSE(CONTROL!$C$32, $C$9, 100%, $E$9)</f>
        <v>4.758</v>
      </c>
      <c r="D230" s="10">
        <f>4.7589 * CHOOSE(CONTROL!$C$32, $C$9, 100%, $E$9)</f>
        <v>4.7588999999999997</v>
      </c>
      <c r="E230" s="9">
        <f>5.0046 * CHOOSE(CONTROL!$C$32, $C$9, 100%, $E$9)</f>
        <v>5.0045999999999999</v>
      </c>
      <c r="F230" s="9">
        <f>5.0046 * CHOOSE(CONTROL!$C$32, $C$9, 100%, $E$9)</f>
        <v>5.0045999999999999</v>
      </c>
      <c r="G230" s="9">
        <f>5.0078 * CHOOSE(CONTROL!$C$32, $C$9, 100%, $E$9)</f>
        <v>5.0077999999999996</v>
      </c>
      <c r="H230" s="9">
        <f>9.0386 * CHOOSE(CONTROL!$C$32, $C$9, 100%, $E$9)</f>
        <v>9.0386000000000006</v>
      </c>
      <c r="I230" s="9">
        <f>9.0418 * CHOOSE(CONTROL!$C$32, $C$9, 100%, $E$9)</f>
        <v>9.0418000000000003</v>
      </c>
      <c r="J230" s="9">
        <f>9.0386 * CHOOSE(CONTROL!$C$32, $C$9, 100%, $E$9)</f>
        <v>9.0386000000000006</v>
      </c>
      <c r="K230" s="9">
        <f>9.0418 * CHOOSE(CONTROL!$C$32, $C$9, 100%, $E$9)</f>
        <v>9.0418000000000003</v>
      </c>
      <c r="L230" s="9">
        <f>5.0046 * CHOOSE(CONTROL!$C$32, $C$9, 100%, $E$9)</f>
        <v>5.0045999999999999</v>
      </c>
      <c r="M230" s="9">
        <f>5.0078 * CHOOSE(CONTROL!$C$32, $C$9, 100%, $E$9)</f>
        <v>5.0077999999999996</v>
      </c>
      <c r="N230" s="9">
        <f>5.0046 * CHOOSE(CONTROL!$C$32, $C$9, 100%, $E$9)</f>
        <v>5.0045999999999999</v>
      </c>
      <c r="O230" s="9">
        <f>5.0078 * CHOOSE(CONTROL!$C$32, $C$9, 100%, $E$9)</f>
        <v>5.0077999999999996</v>
      </c>
    </row>
    <row r="231" spans="1:15" ht="15" x14ac:dyDescent="0.2">
      <c r="A231" s="16">
        <v>47880</v>
      </c>
      <c r="B231" s="10">
        <f>4.7549 * CHOOSE(CONTROL!$C$32, $C$9, 100%, $E$9)</f>
        <v>4.7549000000000001</v>
      </c>
      <c r="C231" s="10">
        <f>4.7549 * CHOOSE(CONTROL!$C$32, $C$9, 100%, $E$9)</f>
        <v>4.7549000000000001</v>
      </c>
      <c r="D231" s="10">
        <f>4.7559 * CHOOSE(CONTROL!$C$32, $C$9, 100%, $E$9)</f>
        <v>4.7558999999999996</v>
      </c>
      <c r="E231" s="9">
        <f>4.92 * CHOOSE(CONTROL!$C$32, $C$9, 100%, $E$9)</f>
        <v>4.92</v>
      </c>
      <c r="F231" s="9">
        <f>4.92 * CHOOSE(CONTROL!$C$32, $C$9, 100%, $E$9)</f>
        <v>4.92</v>
      </c>
      <c r="G231" s="9">
        <f>4.9233 * CHOOSE(CONTROL!$C$32, $C$9, 100%, $E$9)</f>
        <v>4.9233000000000002</v>
      </c>
      <c r="H231" s="9">
        <f>9.0574 * CHOOSE(CONTROL!$C$32, $C$9, 100%, $E$9)</f>
        <v>9.0573999999999995</v>
      </c>
      <c r="I231" s="9">
        <f>9.0606 * CHOOSE(CONTROL!$C$32, $C$9, 100%, $E$9)</f>
        <v>9.0606000000000009</v>
      </c>
      <c r="J231" s="9">
        <f>9.0574 * CHOOSE(CONTROL!$C$32, $C$9, 100%, $E$9)</f>
        <v>9.0573999999999995</v>
      </c>
      <c r="K231" s="9">
        <f>9.0606 * CHOOSE(CONTROL!$C$32, $C$9, 100%, $E$9)</f>
        <v>9.0606000000000009</v>
      </c>
      <c r="L231" s="9">
        <f>4.92 * CHOOSE(CONTROL!$C$32, $C$9, 100%, $E$9)</f>
        <v>4.92</v>
      </c>
      <c r="M231" s="9">
        <f>4.9233 * CHOOSE(CONTROL!$C$32, $C$9, 100%, $E$9)</f>
        <v>4.9233000000000002</v>
      </c>
      <c r="N231" s="9">
        <f>4.92 * CHOOSE(CONTROL!$C$32, $C$9, 100%, $E$9)</f>
        <v>4.92</v>
      </c>
      <c r="O231" s="9">
        <f>4.9233 * CHOOSE(CONTROL!$C$32, $C$9, 100%, $E$9)</f>
        <v>4.9233000000000002</v>
      </c>
    </row>
    <row r="232" spans="1:15" ht="15" x14ac:dyDescent="0.2">
      <c r="A232" s="16">
        <v>47908</v>
      </c>
      <c r="B232" s="10">
        <f>4.7519 * CHOOSE(CONTROL!$C$32, $C$9, 100%, $E$9)</f>
        <v>4.7519</v>
      </c>
      <c r="C232" s="10">
        <f>4.7519 * CHOOSE(CONTROL!$C$32, $C$9, 100%, $E$9)</f>
        <v>4.7519</v>
      </c>
      <c r="D232" s="10">
        <f>4.7528 * CHOOSE(CONTROL!$C$32, $C$9, 100%, $E$9)</f>
        <v>4.7527999999999997</v>
      </c>
      <c r="E232" s="9">
        <f>4.9829 * CHOOSE(CONTROL!$C$32, $C$9, 100%, $E$9)</f>
        <v>4.9828999999999999</v>
      </c>
      <c r="F232" s="9">
        <f>4.9829 * CHOOSE(CONTROL!$C$32, $C$9, 100%, $E$9)</f>
        <v>4.9828999999999999</v>
      </c>
      <c r="G232" s="9">
        <f>4.9861 * CHOOSE(CONTROL!$C$32, $C$9, 100%, $E$9)</f>
        <v>4.9861000000000004</v>
      </c>
      <c r="H232" s="9">
        <f>9.0763 * CHOOSE(CONTROL!$C$32, $C$9, 100%, $E$9)</f>
        <v>9.0762999999999998</v>
      </c>
      <c r="I232" s="9">
        <f>9.0795 * CHOOSE(CONTROL!$C$32, $C$9, 100%, $E$9)</f>
        <v>9.0794999999999995</v>
      </c>
      <c r="J232" s="9">
        <f>9.0763 * CHOOSE(CONTROL!$C$32, $C$9, 100%, $E$9)</f>
        <v>9.0762999999999998</v>
      </c>
      <c r="K232" s="9">
        <f>9.0795 * CHOOSE(CONTROL!$C$32, $C$9, 100%, $E$9)</f>
        <v>9.0794999999999995</v>
      </c>
      <c r="L232" s="9">
        <f>4.9829 * CHOOSE(CONTROL!$C$32, $C$9, 100%, $E$9)</f>
        <v>4.9828999999999999</v>
      </c>
      <c r="M232" s="9">
        <f>4.9861 * CHOOSE(CONTROL!$C$32, $C$9, 100%, $E$9)</f>
        <v>4.9861000000000004</v>
      </c>
      <c r="N232" s="9">
        <f>4.9829 * CHOOSE(CONTROL!$C$32, $C$9, 100%, $E$9)</f>
        <v>4.9828999999999999</v>
      </c>
      <c r="O232" s="9">
        <f>4.9861 * CHOOSE(CONTROL!$C$32, $C$9, 100%, $E$9)</f>
        <v>4.9861000000000004</v>
      </c>
    </row>
    <row r="233" spans="1:15" ht="15" x14ac:dyDescent="0.2">
      <c r="A233" s="16">
        <v>47939</v>
      </c>
      <c r="B233" s="10">
        <f>4.7504 * CHOOSE(CONTROL!$C$32, $C$9, 100%, $E$9)</f>
        <v>4.7504</v>
      </c>
      <c r="C233" s="10">
        <f>4.7504 * CHOOSE(CONTROL!$C$32, $C$9, 100%, $E$9)</f>
        <v>4.7504</v>
      </c>
      <c r="D233" s="10">
        <f>4.7514 * CHOOSE(CONTROL!$C$32, $C$9, 100%, $E$9)</f>
        <v>4.7514000000000003</v>
      </c>
      <c r="E233" s="9">
        <f>5.0484 * CHOOSE(CONTROL!$C$32, $C$9, 100%, $E$9)</f>
        <v>5.0484</v>
      </c>
      <c r="F233" s="9">
        <f>5.0484 * CHOOSE(CONTROL!$C$32, $C$9, 100%, $E$9)</f>
        <v>5.0484</v>
      </c>
      <c r="G233" s="9">
        <f>5.0517 * CHOOSE(CONTROL!$C$32, $C$9, 100%, $E$9)</f>
        <v>5.0517000000000003</v>
      </c>
      <c r="H233" s="9">
        <f>9.0952 * CHOOSE(CONTROL!$C$32, $C$9, 100%, $E$9)</f>
        <v>9.0952000000000002</v>
      </c>
      <c r="I233" s="9">
        <f>9.0984 * CHOOSE(CONTROL!$C$32, $C$9, 100%, $E$9)</f>
        <v>9.0983999999999998</v>
      </c>
      <c r="J233" s="9">
        <f>9.0952 * CHOOSE(CONTROL!$C$32, $C$9, 100%, $E$9)</f>
        <v>9.0952000000000002</v>
      </c>
      <c r="K233" s="9">
        <f>9.0984 * CHOOSE(CONTROL!$C$32, $C$9, 100%, $E$9)</f>
        <v>9.0983999999999998</v>
      </c>
      <c r="L233" s="9">
        <f>5.0484 * CHOOSE(CONTROL!$C$32, $C$9, 100%, $E$9)</f>
        <v>5.0484</v>
      </c>
      <c r="M233" s="9">
        <f>5.0517 * CHOOSE(CONTROL!$C$32, $C$9, 100%, $E$9)</f>
        <v>5.0517000000000003</v>
      </c>
      <c r="N233" s="9">
        <f>5.0484 * CHOOSE(CONTROL!$C$32, $C$9, 100%, $E$9)</f>
        <v>5.0484</v>
      </c>
      <c r="O233" s="9">
        <f>5.0517 * CHOOSE(CONTROL!$C$32, $C$9, 100%, $E$9)</f>
        <v>5.0517000000000003</v>
      </c>
    </row>
    <row r="234" spans="1:15" ht="15" x14ac:dyDescent="0.2">
      <c r="A234" s="16">
        <v>47969</v>
      </c>
      <c r="B234" s="10">
        <f>4.7504 * CHOOSE(CONTROL!$C$32, $C$9, 100%, $E$9)</f>
        <v>4.7504</v>
      </c>
      <c r="C234" s="10">
        <f>4.7504 * CHOOSE(CONTROL!$C$32, $C$9, 100%, $E$9)</f>
        <v>4.7504</v>
      </c>
      <c r="D234" s="10">
        <f>4.7517 * CHOOSE(CONTROL!$C$32, $C$9, 100%, $E$9)</f>
        <v>4.7516999999999996</v>
      </c>
      <c r="E234" s="9">
        <f>5.0746 * CHOOSE(CONTROL!$C$32, $C$9, 100%, $E$9)</f>
        <v>5.0746000000000002</v>
      </c>
      <c r="F234" s="9">
        <f>5.0746 * CHOOSE(CONTROL!$C$32, $C$9, 100%, $E$9)</f>
        <v>5.0746000000000002</v>
      </c>
      <c r="G234" s="9">
        <f>5.0788 * CHOOSE(CONTROL!$C$32, $C$9, 100%, $E$9)</f>
        <v>5.0788000000000002</v>
      </c>
      <c r="H234" s="9">
        <f>9.1141 * CHOOSE(CONTROL!$C$32, $C$9, 100%, $E$9)</f>
        <v>9.1141000000000005</v>
      </c>
      <c r="I234" s="9">
        <f>9.1183 * CHOOSE(CONTROL!$C$32, $C$9, 100%, $E$9)</f>
        <v>9.1182999999999996</v>
      </c>
      <c r="J234" s="9">
        <f>9.1141 * CHOOSE(CONTROL!$C$32, $C$9, 100%, $E$9)</f>
        <v>9.1141000000000005</v>
      </c>
      <c r="K234" s="9">
        <f>9.1183 * CHOOSE(CONTROL!$C$32, $C$9, 100%, $E$9)</f>
        <v>9.1182999999999996</v>
      </c>
      <c r="L234" s="9">
        <f>5.0746 * CHOOSE(CONTROL!$C$32, $C$9, 100%, $E$9)</f>
        <v>5.0746000000000002</v>
      </c>
      <c r="M234" s="9">
        <f>5.0788 * CHOOSE(CONTROL!$C$32, $C$9, 100%, $E$9)</f>
        <v>5.0788000000000002</v>
      </c>
      <c r="N234" s="9">
        <f>5.0746 * CHOOSE(CONTROL!$C$32, $C$9, 100%, $E$9)</f>
        <v>5.0746000000000002</v>
      </c>
      <c r="O234" s="9">
        <f>5.0788 * CHOOSE(CONTROL!$C$32, $C$9, 100%, $E$9)</f>
        <v>5.0788000000000002</v>
      </c>
    </row>
    <row r="235" spans="1:15" ht="15" x14ac:dyDescent="0.2">
      <c r="A235" s="16">
        <v>48000</v>
      </c>
      <c r="B235" s="10">
        <f>4.7565 * CHOOSE(CONTROL!$C$32, $C$9, 100%, $E$9)</f>
        <v>4.7565</v>
      </c>
      <c r="C235" s="10">
        <f>4.7565 * CHOOSE(CONTROL!$C$32, $C$9, 100%, $E$9)</f>
        <v>4.7565</v>
      </c>
      <c r="D235" s="10">
        <f>4.7578 * CHOOSE(CONTROL!$C$32, $C$9, 100%, $E$9)</f>
        <v>4.7577999999999996</v>
      </c>
      <c r="E235" s="9">
        <f>5.0527 * CHOOSE(CONTROL!$C$32, $C$9, 100%, $E$9)</f>
        <v>5.0526999999999997</v>
      </c>
      <c r="F235" s="9">
        <f>5.0527 * CHOOSE(CONTROL!$C$32, $C$9, 100%, $E$9)</f>
        <v>5.0526999999999997</v>
      </c>
      <c r="G235" s="9">
        <f>5.0569 * CHOOSE(CONTROL!$C$32, $C$9, 100%, $E$9)</f>
        <v>5.0568999999999997</v>
      </c>
      <c r="H235" s="9">
        <f>9.1331 * CHOOSE(CONTROL!$C$32, $C$9, 100%, $E$9)</f>
        <v>9.1331000000000007</v>
      </c>
      <c r="I235" s="9">
        <f>9.1373 * CHOOSE(CONTROL!$C$32, $C$9, 100%, $E$9)</f>
        <v>9.1372999999999998</v>
      </c>
      <c r="J235" s="9">
        <f>9.1331 * CHOOSE(CONTROL!$C$32, $C$9, 100%, $E$9)</f>
        <v>9.1331000000000007</v>
      </c>
      <c r="K235" s="9">
        <f>9.1373 * CHOOSE(CONTROL!$C$32, $C$9, 100%, $E$9)</f>
        <v>9.1372999999999998</v>
      </c>
      <c r="L235" s="9">
        <f>5.0527 * CHOOSE(CONTROL!$C$32, $C$9, 100%, $E$9)</f>
        <v>5.0526999999999997</v>
      </c>
      <c r="M235" s="9">
        <f>5.0569 * CHOOSE(CONTROL!$C$32, $C$9, 100%, $E$9)</f>
        <v>5.0568999999999997</v>
      </c>
      <c r="N235" s="9">
        <f>5.0527 * CHOOSE(CONTROL!$C$32, $C$9, 100%, $E$9)</f>
        <v>5.0526999999999997</v>
      </c>
      <c r="O235" s="9">
        <f>5.0569 * CHOOSE(CONTROL!$C$32, $C$9, 100%, $E$9)</f>
        <v>5.0568999999999997</v>
      </c>
    </row>
    <row r="236" spans="1:15" ht="15" x14ac:dyDescent="0.2">
      <c r="A236" s="16">
        <v>48030</v>
      </c>
      <c r="B236" s="10">
        <f>4.8391 * CHOOSE(CONTROL!$C$32, $C$9, 100%, $E$9)</f>
        <v>4.8391000000000002</v>
      </c>
      <c r="C236" s="10">
        <f>4.8391 * CHOOSE(CONTROL!$C$32, $C$9, 100%, $E$9)</f>
        <v>4.8391000000000002</v>
      </c>
      <c r="D236" s="10">
        <f>4.8403 * CHOOSE(CONTROL!$C$32, $C$9, 100%, $E$9)</f>
        <v>4.8403</v>
      </c>
      <c r="E236" s="9">
        <f>5.106 * CHOOSE(CONTROL!$C$32, $C$9, 100%, $E$9)</f>
        <v>5.1059999999999999</v>
      </c>
      <c r="F236" s="9">
        <f>5.106 * CHOOSE(CONTROL!$C$32, $C$9, 100%, $E$9)</f>
        <v>5.1059999999999999</v>
      </c>
      <c r="G236" s="9">
        <f>5.1102 * CHOOSE(CONTROL!$C$32, $C$9, 100%, $E$9)</f>
        <v>5.1101999999999999</v>
      </c>
      <c r="H236" s="9">
        <f>9.1522 * CHOOSE(CONTROL!$C$32, $C$9, 100%, $E$9)</f>
        <v>9.1522000000000006</v>
      </c>
      <c r="I236" s="9">
        <f>9.1564 * CHOOSE(CONTROL!$C$32, $C$9, 100%, $E$9)</f>
        <v>9.1563999999999997</v>
      </c>
      <c r="J236" s="9">
        <f>9.1522 * CHOOSE(CONTROL!$C$32, $C$9, 100%, $E$9)</f>
        <v>9.1522000000000006</v>
      </c>
      <c r="K236" s="9">
        <f>9.1564 * CHOOSE(CONTROL!$C$32, $C$9, 100%, $E$9)</f>
        <v>9.1563999999999997</v>
      </c>
      <c r="L236" s="9">
        <f>5.106 * CHOOSE(CONTROL!$C$32, $C$9, 100%, $E$9)</f>
        <v>5.1059999999999999</v>
      </c>
      <c r="M236" s="9">
        <f>5.1102 * CHOOSE(CONTROL!$C$32, $C$9, 100%, $E$9)</f>
        <v>5.1101999999999999</v>
      </c>
      <c r="N236" s="9">
        <f>5.106 * CHOOSE(CONTROL!$C$32, $C$9, 100%, $E$9)</f>
        <v>5.1059999999999999</v>
      </c>
      <c r="O236" s="9">
        <f>5.1102 * CHOOSE(CONTROL!$C$32, $C$9, 100%, $E$9)</f>
        <v>5.1101999999999999</v>
      </c>
    </row>
    <row r="237" spans="1:15" ht="15" x14ac:dyDescent="0.2">
      <c r="A237" s="16">
        <v>48061</v>
      </c>
      <c r="B237" s="10">
        <f>4.8457 * CHOOSE(CONTROL!$C$32, $C$9, 100%, $E$9)</f>
        <v>4.8456999999999999</v>
      </c>
      <c r="C237" s="10">
        <f>4.8457 * CHOOSE(CONTROL!$C$32, $C$9, 100%, $E$9)</f>
        <v>4.8456999999999999</v>
      </c>
      <c r="D237" s="10">
        <f>4.847 * CHOOSE(CONTROL!$C$32, $C$9, 100%, $E$9)</f>
        <v>4.8470000000000004</v>
      </c>
      <c r="E237" s="9">
        <f>5.0322 * CHOOSE(CONTROL!$C$32, $C$9, 100%, $E$9)</f>
        <v>5.0321999999999996</v>
      </c>
      <c r="F237" s="9">
        <f>5.0322 * CHOOSE(CONTROL!$C$32, $C$9, 100%, $E$9)</f>
        <v>5.0321999999999996</v>
      </c>
      <c r="G237" s="9">
        <f>5.0364 * CHOOSE(CONTROL!$C$32, $C$9, 100%, $E$9)</f>
        <v>5.0364000000000004</v>
      </c>
      <c r="H237" s="9">
        <f>9.1712 * CHOOSE(CONTROL!$C$32, $C$9, 100%, $E$9)</f>
        <v>9.1712000000000007</v>
      </c>
      <c r="I237" s="9">
        <f>9.1754 * CHOOSE(CONTROL!$C$32, $C$9, 100%, $E$9)</f>
        <v>9.1753999999999998</v>
      </c>
      <c r="J237" s="9">
        <f>9.1712 * CHOOSE(CONTROL!$C$32, $C$9, 100%, $E$9)</f>
        <v>9.1712000000000007</v>
      </c>
      <c r="K237" s="9">
        <f>9.1754 * CHOOSE(CONTROL!$C$32, $C$9, 100%, $E$9)</f>
        <v>9.1753999999999998</v>
      </c>
      <c r="L237" s="9">
        <f>5.0322 * CHOOSE(CONTROL!$C$32, $C$9, 100%, $E$9)</f>
        <v>5.0321999999999996</v>
      </c>
      <c r="M237" s="9">
        <f>5.0364 * CHOOSE(CONTROL!$C$32, $C$9, 100%, $E$9)</f>
        <v>5.0364000000000004</v>
      </c>
      <c r="N237" s="9">
        <f>5.0322 * CHOOSE(CONTROL!$C$32, $C$9, 100%, $E$9)</f>
        <v>5.0321999999999996</v>
      </c>
      <c r="O237" s="9">
        <f>5.0364 * CHOOSE(CONTROL!$C$32, $C$9, 100%, $E$9)</f>
        <v>5.0364000000000004</v>
      </c>
    </row>
    <row r="238" spans="1:15" ht="15" x14ac:dyDescent="0.2">
      <c r="A238" s="16">
        <v>48092</v>
      </c>
      <c r="B238" s="10">
        <f>4.8427 * CHOOSE(CONTROL!$C$32, $C$9, 100%, $E$9)</f>
        <v>4.8426999999999998</v>
      </c>
      <c r="C238" s="10">
        <f>4.8427 * CHOOSE(CONTROL!$C$32, $C$9, 100%, $E$9)</f>
        <v>4.8426999999999998</v>
      </c>
      <c r="D238" s="10">
        <f>4.8439 * CHOOSE(CONTROL!$C$32, $C$9, 100%, $E$9)</f>
        <v>4.8438999999999997</v>
      </c>
      <c r="E238" s="9">
        <f>5.0214 * CHOOSE(CONTROL!$C$32, $C$9, 100%, $E$9)</f>
        <v>5.0213999999999999</v>
      </c>
      <c r="F238" s="9">
        <f>5.0214 * CHOOSE(CONTROL!$C$32, $C$9, 100%, $E$9)</f>
        <v>5.0213999999999999</v>
      </c>
      <c r="G238" s="9">
        <f>5.0256 * CHOOSE(CONTROL!$C$32, $C$9, 100%, $E$9)</f>
        <v>5.0255999999999998</v>
      </c>
      <c r="H238" s="9">
        <f>9.1903 * CHOOSE(CONTROL!$C$32, $C$9, 100%, $E$9)</f>
        <v>9.1903000000000006</v>
      </c>
      <c r="I238" s="9">
        <f>9.1945 * CHOOSE(CONTROL!$C$32, $C$9, 100%, $E$9)</f>
        <v>9.1944999999999997</v>
      </c>
      <c r="J238" s="9">
        <f>9.1903 * CHOOSE(CONTROL!$C$32, $C$9, 100%, $E$9)</f>
        <v>9.1903000000000006</v>
      </c>
      <c r="K238" s="9">
        <f>9.1945 * CHOOSE(CONTROL!$C$32, $C$9, 100%, $E$9)</f>
        <v>9.1944999999999997</v>
      </c>
      <c r="L238" s="9">
        <f>5.0214 * CHOOSE(CONTROL!$C$32, $C$9, 100%, $E$9)</f>
        <v>5.0213999999999999</v>
      </c>
      <c r="M238" s="9">
        <f>5.0256 * CHOOSE(CONTROL!$C$32, $C$9, 100%, $E$9)</f>
        <v>5.0255999999999998</v>
      </c>
      <c r="N238" s="9">
        <f>5.0214 * CHOOSE(CONTROL!$C$32, $C$9, 100%, $E$9)</f>
        <v>5.0213999999999999</v>
      </c>
      <c r="O238" s="9">
        <f>5.0256 * CHOOSE(CONTROL!$C$32, $C$9, 100%, $E$9)</f>
        <v>5.0255999999999998</v>
      </c>
    </row>
    <row r="239" spans="1:15" ht="15" x14ac:dyDescent="0.2">
      <c r="A239" s="16">
        <v>48122</v>
      </c>
      <c r="B239" s="10">
        <f>4.8415 * CHOOSE(CONTROL!$C$32, $C$9, 100%, $E$9)</f>
        <v>4.8414999999999999</v>
      </c>
      <c r="C239" s="10">
        <f>4.8415 * CHOOSE(CONTROL!$C$32, $C$9, 100%, $E$9)</f>
        <v>4.8414999999999999</v>
      </c>
      <c r="D239" s="10">
        <f>4.8425 * CHOOSE(CONTROL!$C$32, $C$9, 100%, $E$9)</f>
        <v>4.8425000000000002</v>
      </c>
      <c r="E239" s="9">
        <f>5.0428 * CHOOSE(CONTROL!$C$32, $C$9, 100%, $E$9)</f>
        <v>5.0427999999999997</v>
      </c>
      <c r="F239" s="9">
        <f>5.0428 * CHOOSE(CONTROL!$C$32, $C$9, 100%, $E$9)</f>
        <v>5.0427999999999997</v>
      </c>
      <c r="G239" s="9">
        <f>5.0461 * CHOOSE(CONTROL!$C$32, $C$9, 100%, $E$9)</f>
        <v>5.0461</v>
      </c>
      <c r="H239" s="9">
        <f>9.2095 * CHOOSE(CONTROL!$C$32, $C$9, 100%, $E$9)</f>
        <v>9.2095000000000002</v>
      </c>
      <c r="I239" s="9">
        <f>9.2127 * CHOOSE(CONTROL!$C$32, $C$9, 100%, $E$9)</f>
        <v>9.2126999999999999</v>
      </c>
      <c r="J239" s="9">
        <f>9.2095 * CHOOSE(CONTROL!$C$32, $C$9, 100%, $E$9)</f>
        <v>9.2095000000000002</v>
      </c>
      <c r="K239" s="9">
        <f>9.2127 * CHOOSE(CONTROL!$C$32, $C$9, 100%, $E$9)</f>
        <v>9.2126999999999999</v>
      </c>
      <c r="L239" s="9">
        <f>5.0428 * CHOOSE(CONTROL!$C$32, $C$9, 100%, $E$9)</f>
        <v>5.0427999999999997</v>
      </c>
      <c r="M239" s="9">
        <f>5.0461 * CHOOSE(CONTROL!$C$32, $C$9, 100%, $E$9)</f>
        <v>5.0461</v>
      </c>
      <c r="N239" s="9">
        <f>5.0428 * CHOOSE(CONTROL!$C$32, $C$9, 100%, $E$9)</f>
        <v>5.0427999999999997</v>
      </c>
      <c r="O239" s="9">
        <f>5.0461 * CHOOSE(CONTROL!$C$32, $C$9, 100%, $E$9)</f>
        <v>5.0461</v>
      </c>
    </row>
    <row r="240" spans="1:15" ht="15" x14ac:dyDescent="0.2">
      <c r="A240" s="16">
        <v>48153</v>
      </c>
      <c r="B240" s="10">
        <f>4.8445 * CHOOSE(CONTROL!$C$32, $C$9, 100%, $E$9)</f>
        <v>4.8445</v>
      </c>
      <c r="C240" s="10">
        <f>4.8445 * CHOOSE(CONTROL!$C$32, $C$9, 100%, $E$9)</f>
        <v>4.8445</v>
      </c>
      <c r="D240" s="10">
        <f>4.8455 * CHOOSE(CONTROL!$C$32, $C$9, 100%, $E$9)</f>
        <v>4.8455000000000004</v>
      </c>
      <c r="E240" s="9">
        <f>5.0624 * CHOOSE(CONTROL!$C$32, $C$9, 100%, $E$9)</f>
        <v>5.0624000000000002</v>
      </c>
      <c r="F240" s="9">
        <f>5.0624 * CHOOSE(CONTROL!$C$32, $C$9, 100%, $E$9)</f>
        <v>5.0624000000000002</v>
      </c>
      <c r="G240" s="9">
        <f>5.0656 * CHOOSE(CONTROL!$C$32, $C$9, 100%, $E$9)</f>
        <v>5.0655999999999999</v>
      </c>
      <c r="H240" s="9">
        <f>9.2287 * CHOOSE(CONTROL!$C$32, $C$9, 100%, $E$9)</f>
        <v>9.2286999999999999</v>
      </c>
      <c r="I240" s="9">
        <f>9.2319 * CHOOSE(CONTROL!$C$32, $C$9, 100%, $E$9)</f>
        <v>9.2318999999999996</v>
      </c>
      <c r="J240" s="9">
        <f>9.2287 * CHOOSE(CONTROL!$C$32, $C$9, 100%, $E$9)</f>
        <v>9.2286999999999999</v>
      </c>
      <c r="K240" s="9">
        <f>9.2319 * CHOOSE(CONTROL!$C$32, $C$9, 100%, $E$9)</f>
        <v>9.2318999999999996</v>
      </c>
      <c r="L240" s="9">
        <f>5.0624 * CHOOSE(CONTROL!$C$32, $C$9, 100%, $E$9)</f>
        <v>5.0624000000000002</v>
      </c>
      <c r="M240" s="9">
        <f>5.0656 * CHOOSE(CONTROL!$C$32, $C$9, 100%, $E$9)</f>
        <v>5.0655999999999999</v>
      </c>
      <c r="N240" s="9">
        <f>5.0624 * CHOOSE(CONTROL!$C$32, $C$9, 100%, $E$9)</f>
        <v>5.0624000000000002</v>
      </c>
      <c r="O240" s="9">
        <f>5.0656 * CHOOSE(CONTROL!$C$32, $C$9, 100%, $E$9)</f>
        <v>5.0655999999999999</v>
      </c>
    </row>
    <row r="241" spans="1:15" ht="15" x14ac:dyDescent="0.2">
      <c r="A241" s="16">
        <v>48183</v>
      </c>
      <c r="B241" s="10">
        <f>4.8445 * CHOOSE(CONTROL!$C$32, $C$9, 100%, $E$9)</f>
        <v>4.8445</v>
      </c>
      <c r="C241" s="10">
        <f>4.8445 * CHOOSE(CONTROL!$C$32, $C$9, 100%, $E$9)</f>
        <v>4.8445</v>
      </c>
      <c r="D241" s="10">
        <f>4.8455 * CHOOSE(CONTROL!$C$32, $C$9, 100%, $E$9)</f>
        <v>4.8455000000000004</v>
      </c>
      <c r="E241" s="9">
        <f>5.0188 * CHOOSE(CONTROL!$C$32, $C$9, 100%, $E$9)</f>
        <v>5.0187999999999997</v>
      </c>
      <c r="F241" s="9">
        <f>5.0188 * CHOOSE(CONTROL!$C$32, $C$9, 100%, $E$9)</f>
        <v>5.0187999999999997</v>
      </c>
      <c r="G241" s="9">
        <f>5.022 * CHOOSE(CONTROL!$C$32, $C$9, 100%, $E$9)</f>
        <v>5.0220000000000002</v>
      </c>
      <c r="H241" s="9">
        <f>9.2479 * CHOOSE(CONTROL!$C$32, $C$9, 100%, $E$9)</f>
        <v>9.2478999999999996</v>
      </c>
      <c r="I241" s="9">
        <f>9.2511 * CHOOSE(CONTROL!$C$32, $C$9, 100%, $E$9)</f>
        <v>9.2510999999999992</v>
      </c>
      <c r="J241" s="9">
        <f>9.2479 * CHOOSE(CONTROL!$C$32, $C$9, 100%, $E$9)</f>
        <v>9.2478999999999996</v>
      </c>
      <c r="K241" s="9">
        <f>9.2511 * CHOOSE(CONTROL!$C$32, $C$9, 100%, $E$9)</f>
        <v>9.2510999999999992</v>
      </c>
      <c r="L241" s="9">
        <f>5.0188 * CHOOSE(CONTROL!$C$32, $C$9, 100%, $E$9)</f>
        <v>5.0187999999999997</v>
      </c>
      <c r="M241" s="9">
        <f>5.022 * CHOOSE(CONTROL!$C$32, $C$9, 100%, $E$9)</f>
        <v>5.0220000000000002</v>
      </c>
      <c r="N241" s="9">
        <f>5.0188 * CHOOSE(CONTROL!$C$32, $C$9, 100%, $E$9)</f>
        <v>5.0187999999999997</v>
      </c>
      <c r="O241" s="9">
        <f>5.022 * CHOOSE(CONTROL!$C$32, $C$9, 100%, $E$9)</f>
        <v>5.0220000000000002</v>
      </c>
    </row>
    <row r="242" spans="1:15" ht="15" x14ac:dyDescent="0.2">
      <c r="A242" s="16">
        <v>48214</v>
      </c>
      <c r="B242" s="10">
        <f>4.8835 * CHOOSE(CONTROL!$C$32, $C$9, 100%, $E$9)</f>
        <v>4.8834999999999997</v>
      </c>
      <c r="C242" s="10">
        <f>4.8835 * CHOOSE(CONTROL!$C$32, $C$9, 100%, $E$9)</f>
        <v>4.8834999999999997</v>
      </c>
      <c r="D242" s="10">
        <f>4.8844 * CHOOSE(CONTROL!$C$32, $C$9, 100%, $E$9)</f>
        <v>4.8844000000000003</v>
      </c>
      <c r="E242" s="9">
        <f>5.0761 * CHOOSE(CONTROL!$C$32, $C$9, 100%, $E$9)</f>
        <v>5.0761000000000003</v>
      </c>
      <c r="F242" s="9">
        <f>5.0761 * CHOOSE(CONTROL!$C$32, $C$9, 100%, $E$9)</f>
        <v>5.0761000000000003</v>
      </c>
      <c r="G242" s="9">
        <f>5.0793 * CHOOSE(CONTROL!$C$32, $C$9, 100%, $E$9)</f>
        <v>5.0792999999999999</v>
      </c>
      <c r="H242" s="9">
        <f>9.2671 * CHOOSE(CONTROL!$C$32, $C$9, 100%, $E$9)</f>
        <v>9.2670999999999992</v>
      </c>
      <c r="I242" s="9">
        <f>9.2704 * CHOOSE(CONTROL!$C$32, $C$9, 100%, $E$9)</f>
        <v>9.2704000000000004</v>
      </c>
      <c r="J242" s="9">
        <f>9.2671 * CHOOSE(CONTROL!$C$32, $C$9, 100%, $E$9)</f>
        <v>9.2670999999999992</v>
      </c>
      <c r="K242" s="9">
        <f>9.2704 * CHOOSE(CONTROL!$C$32, $C$9, 100%, $E$9)</f>
        <v>9.2704000000000004</v>
      </c>
      <c r="L242" s="9">
        <f>5.0761 * CHOOSE(CONTROL!$C$32, $C$9, 100%, $E$9)</f>
        <v>5.0761000000000003</v>
      </c>
      <c r="M242" s="9">
        <f>5.0793 * CHOOSE(CONTROL!$C$32, $C$9, 100%, $E$9)</f>
        <v>5.0792999999999999</v>
      </c>
      <c r="N242" s="9">
        <f>5.0761 * CHOOSE(CONTROL!$C$32, $C$9, 100%, $E$9)</f>
        <v>5.0761000000000003</v>
      </c>
      <c r="O242" s="9">
        <f>5.0793 * CHOOSE(CONTROL!$C$32, $C$9, 100%, $E$9)</f>
        <v>5.0792999999999999</v>
      </c>
    </row>
    <row r="243" spans="1:15" ht="15" x14ac:dyDescent="0.2">
      <c r="A243" s="16">
        <v>48245</v>
      </c>
      <c r="B243" s="10">
        <f>4.8804 * CHOOSE(CONTROL!$C$32, $C$9, 100%, $E$9)</f>
        <v>4.8803999999999998</v>
      </c>
      <c r="C243" s="10">
        <f>4.8804 * CHOOSE(CONTROL!$C$32, $C$9, 100%, $E$9)</f>
        <v>4.8803999999999998</v>
      </c>
      <c r="D243" s="10">
        <f>4.8814 * CHOOSE(CONTROL!$C$32, $C$9, 100%, $E$9)</f>
        <v>4.8814000000000002</v>
      </c>
      <c r="E243" s="9">
        <f>4.9891 * CHOOSE(CONTROL!$C$32, $C$9, 100%, $E$9)</f>
        <v>4.9890999999999996</v>
      </c>
      <c r="F243" s="9">
        <f>4.9891 * CHOOSE(CONTROL!$C$32, $C$9, 100%, $E$9)</f>
        <v>4.9890999999999996</v>
      </c>
      <c r="G243" s="9">
        <f>4.9923 * CHOOSE(CONTROL!$C$32, $C$9, 100%, $E$9)</f>
        <v>4.9923000000000002</v>
      </c>
      <c r="H243" s="9">
        <f>9.2865 * CHOOSE(CONTROL!$C$32, $C$9, 100%, $E$9)</f>
        <v>9.2865000000000002</v>
      </c>
      <c r="I243" s="9">
        <f>9.2897 * CHOOSE(CONTROL!$C$32, $C$9, 100%, $E$9)</f>
        <v>9.2896999999999998</v>
      </c>
      <c r="J243" s="9">
        <f>9.2865 * CHOOSE(CONTROL!$C$32, $C$9, 100%, $E$9)</f>
        <v>9.2865000000000002</v>
      </c>
      <c r="K243" s="9">
        <f>9.2897 * CHOOSE(CONTROL!$C$32, $C$9, 100%, $E$9)</f>
        <v>9.2896999999999998</v>
      </c>
      <c r="L243" s="9">
        <f>4.9891 * CHOOSE(CONTROL!$C$32, $C$9, 100%, $E$9)</f>
        <v>4.9890999999999996</v>
      </c>
      <c r="M243" s="9">
        <f>4.9923 * CHOOSE(CONTROL!$C$32, $C$9, 100%, $E$9)</f>
        <v>4.9923000000000002</v>
      </c>
      <c r="N243" s="9">
        <f>4.9891 * CHOOSE(CONTROL!$C$32, $C$9, 100%, $E$9)</f>
        <v>4.9890999999999996</v>
      </c>
      <c r="O243" s="9">
        <f>4.9923 * CHOOSE(CONTROL!$C$32, $C$9, 100%, $E$9)</f>
        <v>4.9923000000000002</v>
      </c>
    </row>
    <row r="244" spans="1:15" ht="15" x14ac:dyDescent="0.2">
      <c r="A244" s="16">
        <v>48274</v>
      </c>
      <c r="B244" s="10">
        <f>4.8774 * CHOOSE(CONTROL!$C$32, $C$9, 100%, $E$9)</f>
        <v>4.8773999999999997</v>
      </c>
      <c r="C244" s="10">
        <f>4.8774 * CHOOSE(CONTROL!$C$32, $C$9, 100%, $E$9)</f>
        <v>4.8773999999999997</v>
      </c>
      <c r="D244" s="10">
        <f>4.8784 * CHOOSE(CONTROL!$C$32, $C$9, 100%, $E$9)</f>
        <v>4.8784000000000001</v>
      </c>
      <c r="E244" s="9">
        <f>5.0539 * CHOOSE(CONTROL!$C$32, $C$9, 100%, $E$9)</f>
        <v>5.0538999999999996</v>
      </c>
      <c r="F244" s="9">
        <f>5.0539 * CHOOSE(CONTROL!$C$32, $C$9, 100%, $E$9)</f>
        <v>5.0538999999999996</v>
      </c>
      <c r="G244" s="9">
        <f>5.0571 * CHOOSE(CONTROL!$C$32, $C$9, 100%, $E$9)</f>
        <v>5.0571000000000002</v>
      </c>
      <c r="H244" s="9">
        <f>9.3058 * CHOOSE(CONTROL!$C$32, $C$9, 100%, $E$9)</f>
        <v>9.3057999999999996</v>
      </c>
      <c r="I244" s="9">
        <f>9.309 * CHOOSE(CONTROL!$C$32, $C$9, 100%, $E$9)</f>
        <v>9.3089999999999993</v>
      </c>
      <c r="J244" s="9">
        <f>9.3058 * CHOOSE(CONTROL!$C$32, $C$9, 100%, $E$9)</f>
        <v>9.3057999999999996</v>
      </c>
      <c r="K244" s="9">
        <f>9.309 * CHOOSE(CONTROL!$C$32, $C$9, 100%, $E$9)</f>
        <v>9.3089999999999993</v>
      </c>
      <c r="L244" s="9">
        <f>5.0539 * CHOOSE(CONTROL!$C$32, $C$9, 100%, $E$9)</f>
        <v>5.0538999999999996</v>
      </c>
      <c r="M244" s="9">
        <f>5.0571 * CHOOSE(CONTROL!$C$32, $C$9, 100%, $E$9)</f>
        <v>5.0571000000000002</v>
      </c>
      <c r="N244" s="9">
        <f>5.0539 * CHOOSE(CONTROL!$C$32, $C$9, 100%, $E$9)</f>
        <v>5.0538999999999996</v>
      </c>
      <c r="O244" s="9">
        <f>5.0571 * CHOOSE(CONTROL!$C$32, $C$9, 100%, $E$9)</f>
        <v>5.0571000000000002</v>
      </c>
    </row>
    <row r="245" spans="1:15" ht="15" x14ac:dyDescent="0.2">
      <c r="A245" s="16">
        <v>48305</v>
      </c>
      <c r="B245" s="10">
        <f>4.8761 * CHOOSE(CONTROL!$C$32, $C$9, 100%, $E$9)</f>
        <v>4.8761000000000001</v>
      </c>
      <c r="C245" s="10">
        <f>4.8761 * CHOOSE(CONTROL!$C$32, $C$9, 100%, $E$9)</f>
        <v>4.8761000000000001</v>
      </c>
      <c r="D245" s="10">
        <f>4.877 * CHOOSE(CONTROL!$C$32, $C$9, 100%, $E$9)</f>
        <v>4.8769999999999998</v>
      </c>
      <c r="E245" s="9">
        <f>5.1216 * CHOOSE(CONTROL!$C$32, $C$9, 100%, $E$9)</f>
        <v>5.1215999999999999</v>
      </c>
      <c r="F245" s="9">
        <f>5.1216 * CHOOSE(CONTROL!$C$32, $C$9, 100%, $E$9)</f>
        <v>5.1215999999999999</v>
      </c>
      <c r="G245" s="9">
        <f>5.1248 * CHOOSE(CONTROL!$C$32, $C$9, 100%, $E$9)</f>
        <v>5.1247999999999996</v>
      </c>
      <c r="H245" s="9">
        <f>9.3252 * CHOOSE(CONTROL!$C$32, $C$9, 100%, $E$9)</f>
        <v>9.3252000000000006</v>
      </c>
      <c r="I245" s="9">
        <f>9.3284 * CHOOSE(CONTROL!$C$32, $C$9, 100%, $E$9)</f>
        <v>9.3284000000000002</v>
      </c>
      <c r="J245" s="9">
        <f>9.3252 * CHOOSE(CONTROL!$C$32, $C$9, 100%, $E$9)</f>
        <v>9.3252000000000006</v>
      </c>
      <c r="K245" s="9">
        <f>9.3284 * CHOOSE(CONTROL!$C$32, $C$9, 100%, $E$9)</f>
        <v>9.3284000000000002</v>
      </c>
      <c r="L245" s="9">
        <f>5.1216 * CHOOSE(CONTROL!$C$32, $C$9, 100%, $E$9)</f>
        <v>5.1215999999999999</v>
      </c>
      <c r="M245" s="9">
        <f>5.1248 * CHOOSE(CONTROL!$C$32, $C$9, 100%, $E$9)</f>
        <v>5.1247999999999996</v>
      </c>
      <c r="N245" s="9">
        <f>5.1216 * CHOOSE(CONTROL!$C$32, $C$9, 100%, $E$9)</f>
        <v>5.1215999999999999</v>
      </c>
      <c r="O245" s="9">
        <f>5.1248 * CHOOSE(CONTROL!$C$32, $C$9, 100%, $E$9)</f>
        <v>5.1247999999999996</v>
      </c>
    </row>
    <row r="246" spans="1:15" ht="15" x14ac:dyDescent="0.2">
      <c r="A246" s="16">
        <v>48335</v>
      </c>
      <c r="B246" s="10">
        <f>4.8761 * CHOOSE(CONTROL!$C$32, $C$9, 100%, $E$9)</f>
        <v>4.8761000000000001</v>
      </c>
      <c r="C246" s="10">
        <f>4.8761 * CHOOSE(CONTROL!$C$32, $C$9, 100%, $E$9)</f>
        <v>4.8761000000000001</v>
      </c>
      <c r="D246" s="10">
        <f>4.8773 * CHOOSE(CONTROL!$C$32, $C$9, 100%, $E$9)</f>
        <v>4.8773</v>
      </c>
      <c r="E246" s="9">
        <f>5.1485 * CHOOSE(CONTROL!$C$32, $C$9, 100%, $E$9)</f>
        <v>5.1485000000000003</v>
      </c>
      <c r="F246" s="9">
        <f>5.1485 * CHOOSE(CONTROL!$C$32, $C$9, 100%, $E$9)</f>
        <v>5.1485000000000003</v>
      </c>
      <c r="G246" s="9">
        <f>5.1527 * CHOOSE(CONTROL!$C$32, $C$9, 100%, $E$9)</f>
        <v>5.1527000000000003</v>
      </c>
      <c r="H246" s="9">
        <f>9.3446 * CHOOSE(CONTROL!$C$32, $C$9, 100%, $E$9)</f>
        <v>9.3445999999999998</v>
      </c>
      <c r="I246" s="9">
        <f>9.3488 * CHOOSE(CONTROL!$C$32, $C$9, 100%, $E$9)</f>
        <v>9.3488000000000007</v>
      </c>
      <c r="J246" s="9">
        <f>9.3446 * CHOOSE(CONTROL!$C$32, $C$9, 100%, $E$9)</f>
        <v>9.3445999999999998</v>
      </c>
      <c r="K246" s="9">
        <f>9.3488 * CHOOSE(CONTROL!$C$32, $C$9, 100%, $E$9)</f>
        <v>9.3488000000000007</v>
      </c>
      <c r="L246" s="9">
        <f>5.1485 * CHOOSE(CONTROL!$C$32, $C$9, 100%, $E$9)</f>
        <v>5.1485000000000003</v>
      </c>
      <c r="M246" s="9">
        <f>5.1527 * CHOOSE(CONTROL!$C$32, $C$9, 100%, $E$9)</f>
        <v>5.1527000000000003</v>
      </c>
      <c r="N246" s="9">
        <f>5.1485 * CHOOSE(CONTROL!$C$32, $C$9, 100%, $E$9)</f>
        <v>5.1485000000000003</v>
      </c>
      <c r="O246" s="9">
        <f>5.1527 * CHOOSE(CONTROL!$C$32, $C$9, 100%, $E$9)</f>
        <v>5.1527000000000003</v>
      </c>
    </row>
    <row r="247" spans="1:15" ht="15" x14ac:dyDescent="0.2">
      <c r="A247" s="16">
        <v>48366</v>
      </c>
      <c r="B247" s="10">
        <f>4.8821 * CHOOSE(CONTROL!$C$32, $C$9, 100%, $E$9)</f>
        <v>4.8821000000000003</v>
      </c>
      <c r="C247" s="10">
        <f>4.8821 * CHOOSE(CONTROL!$C$32, $C$9, 100%, $E$9)</f>
        <v>4.8821000000000003</v>
      </c>
      <c r="D247" s="10">
        <f>4.8834 * CHOOSE(CONTROL!$C$32, $C$9, 100%, $E$9)</f>
        <v>4.8834</v>
      </c>
      <c r="E247" s="9">
        <f>5.1258 * CHOOSE(CONTROL!$C$32, $C$9, 100%, $E$9)</f>
        <v>5.1257999999999999</v>
      </c>
      <c r="F247" s="9">
        <f>5.1258 * CHOOSE(CONTROL!$C$32, $C$9, 100%, $E$9)</f>
        <v>5.1257999999999999</v>
      </c>
      <c r="G247" s="9">
        <f>5.13 * CHOOSE(CONTROL!$C$32, $C$9, 100%, $E$9)</f>
        <v>5.13</v>
      </c>
      <c r="H247" s="9">
        <f>9.3641 * CHOOSE(CONTROL!$C$32, $C$9, 100%, $E$9)</f>
        <v>9.3641000000000005</v>
      </c>
      <c r="I247" s="9">
        <f>9.3683 * CHOOSE(CONTROL!$C$32, $C$9, 100%, $E$9)</f>
        <v>9.3682999999999996</v>
      </c>
      <c r="J247" s="9">
        <f>9.3641 * CHOOSE(CONTROL!$C$32, $C$9, 100%, $E$9)</f>
        <v>9.3641000000000005</v>
      </c>
      <c r="K247" s="9">
        <f>9.3683 * CHOOSE(CONTROL!$C$32, $C$9, 100%, $E$9)</f>
        <v>9.3682999999999996</v>
      </c>
      <c r="L247" s="9">
        <f>5.1258 * CHOOSE(CONTROL!$C$32, $C$9, 100%, $E$9)</f>
        <v>5.1257999999999999</v>
      </c>
      <c r="M247" s="9">
        <f>5.13 * CHOOSE(CONTROL!$C$32, $C$9, 100%, $E$9)</f>
        <v>5.13</v>
      </c>
      <c r="N247" s="9">
        <f>5.1258 * CHOOSE(CONTROL!$C$32, $C$9, 100%, $E$9)</f>
        <v>5.1257999999999999</v>
      </c>
      <c r="O247" s="9">
        <f>5.13 * CHOOSE(CONTROL!$C$32, $C$9, 100%, $E$9)</f>
        <v>5.13</v>
      </c>
    </row>
    <row r="248" spans="1:15" ht="15" x14ac:dyDescent="0.2">
      <c r="A248" s="16">
        <v>48396</v>
      </c>
      <c r="B248" s="10">
        <f>4.9515 * CHOOSE(CONTROL!$C$32, $C$9, 100%, $E$9)</f>
        <v>4.9515000000000002</v>
      </c>
      <c r="C248" s="10">
        <f>4.9515 * CHOOSE(CONTROL!$C$32, $C$9, 100%, $E$9)</f>
        <v>4.9515000000000002</v>
      </c>
      <c r="D248" s="10">
        <f>4.9528 * CHOOSE(CONTROL!$C$32, $C$9, 100%, $E$9)</f>
        <v>4.9527999999999999</v>
      </c>
      <c r="E248" s="9">
        <f>5.1692 * CHOOSE(CONTROL!$C$32, $C$9, 100%, $E$9)</f>
        <v>5.1692</v>
      </c>
      <c r="F248" s="9">
        <f>5.1692 * CHOOSE(CONTROL!$C$32, $C$9, 100%, $E$9)</f>
        <v>5.1692</v>
      </c>
      <c r="G248" s="9">
        <f>5.1734 * CHOOSE(CONTROL!$C$32, $C$9, 100%, $E$9)</f>
        <v>5.1734</v>
      </c>
      <c r="H248" s="9">
        <f>9.3836 * CHOOSE(CONTROL!$C$32, $C$9, 100%, $E$9)</f>
        <v>9.3835999999999995</v>
      </c>
      <c r="I248" s="9">
        <f>9.3878 * CHOOSE(CONTROL!$C$32, $C$9, 100%, $E$9)</f>
        <v>9.3878000000000004</v>
      </c>
      <c r="J248" s="9">
        <f>9.3836 * CHOOSE(CONTROL!$C$32, $C$9, 100%, $E$9)</f>
        <v>9.3835999999999995</v>
      </c>
      <c r="K248" s="9">
        <f>9.3878 * CHOOSE(CONTROL!$C$32, $C$9, 100%, $E$9)</f>
        <v>9.3878000000000004</v>
      </c>
      <c r="L248" s="9">
        <f>5.1692 * CHOOSE(CONTROL!$C$32, $C$9, 100%, $E$9)</f>
        <v>5.1692</v>
      </c>
      <c r="M248" s="9">
        <f>5.1734 * CHOOSE(CONTROL!$C$32, $C$9, 100%, $E$9)</f>
        <v>5.1734</v>
      </c>
      <c r="N248" s="9">
        <f>5.1692 * CHOOSE(CONTROL!$C$32, $C$9, 100%, $E$9)</f>
        <v>5.1692</v>
      </c>
      <c r="O248" s="9">
        <f>5.1734 * CHOOSE(CONTROL!$C$32, $C$9, 100%, $E$9)</f>
        <v>5.1734</v>
      </c>
    </row>
    <row r="249" spans="1:15" ht="15" x14ac:dyDescent="0.2">
      <c r="A249" s="16">
        <v>48427</v>
      </c>
      <c r="B249" s="10">
        <f>4.9582 * CHOOSE(CONTROL!$C$32, $C$9, 100%, $E$9)</f>
        <v>4.9581999999999997</v>
      </c>
      <c r="C249" s="10">
        <f>4.9582 * CHOOSE(CONTROL!$C$32, $C$9, 100%, $E$9)</f>
        <v>4.9581999999999997</v>
      </c>
      <c r="D249" s="10">
        <f>4.9594 * CHOOSE(CONTROL!$C$32, $C$9, 100%, $E$9)</f>
        <v>4.9593999999999996</v>
      </c>
      <c r="E249" s="9">
        <f>5.093 * CHOOSE(CONTROL!$C$32, $C$9, 100%, $E$9)</f>
        <v>5.093</v>
      </c>
      <c r="F249" s="9">
        <f>5.093 * CHOOSE(CONTROL!$C$32, $C$9, 100%, $E$9)</f>
        <v>5.093</v>
      </c>
      <c r="G249" s="9">
        <f>5.0972 * CHOOSE(CONTROL!$C$32, $C$9, 100%, $E$9)</f>
        <v>5.0972</v>
      </c>
      <c r="H249" s="9">
        <f>9.4031 * CHOOSE(CONTROL!$C$32, $C$9, 100%, $E$9)</f>
        <v>9.4031000000000002</v>
      </c>
      <c r="I249" s="9">
        <f>9.4073 * CHOOSE(CONTROL!$C$32, $C$9, 100%, $E$9)</f>
        <v>9.4072999999999993</v>
      </c>
      <c r="J249" s="9">
        <f>9.4031 * CHOOSE(CONTROL!$C$32, $C$9, 100%, $E$9)</f>
        <v>9.4031000000000002</v>
      </c>
      <c r="K249" s="9">
        <f>9.4073 * CHOOSE(CONTROL!$C$32, $C$9, 100%, $E$9)</f>
        <v>9.4072999999999993</v>
      </c>
      <c r="L249" s="9">
        <f>5.093 * CHOOSE(CONTROL!$C$32, $C$9, 100%, $E$9)</f>
        <v>5.093</v>
      </c>
      <c r="M249" s="9">
        <f>5.0972 * CHOOSE(CONTROL!$C$32, $C$9, 100%, $E$9)</f>
        <v>5.0972</v>
      </c>
      <c r="N249" s="9">
        <f>5.093 * CHOOSE(CONTROL!$C$32, $C$9, 100%, $E$9)</f>
        <v>5.093</v>
      </c>
      <c r="O249" s="9">
        <f>5.0972 * CHOOSE(CONTROL!$C$32, $C$9, 100%, $E$9)</f>
        <v>5.0972</v>
      </c>
    </row>
    <row r="250" spans="1:15" ht="15" x14ac:dyDescent="0.2">
      <c r="A250" s="16">
        <v>48458</v>
      </c>
      <c r="B250" s="10">
        <f>4.9552 * CHOOSE(CONTROL!$C$32, $C$9, 100%, $E$9)</f>
        <v>4.9551999999999996</v>
      </c>
      <c r="C250" s="10">
        <f>4.9552 * CHOOSE(CONTROL!$C$32, $C$9, 100%, $E$9)</f>
        <v>4.9551999999999996</v>
      </c>
      <c r="D250" s="10">
        <f>4.9564 * CHOOSE(CONTROL!$C$32, $C$9, 100%, $E$9)</f>
        <v>4.9564000000000004</v>
      </c>
      <c r="E250" s="9">
        <f>5.0819 * CHOOSE(CONTROL!$C$32, $C$9, 100%, $E$9)</f>
        <v>5.0819000000000001</v>
      </c>
      <c r="F250" s="9">
        <f>5.0819 * CHOOSE(CONTROL!$C$32, $C$9, 100%, $E$9)</f>
        <v>5.0819000000000001</v>
      </c>
      <c r="G250" s="9">
        <f>5.0861 * CHOOSE(CONTROL!$C$32, $C$9, 100%, $E$9)</f>
        <v>5.0861000000000001</v>
      </c>
      <c r="H250" s="9">
        <f>9.4227 * CHOOSE(CONTROL!$C$32, $C$9, 100%, $E$9)</f>
        <v>9.4227000000000007</v>
      </c>
      <c r="I250" s="9">
        <f>9.4269 * CHOOSE(CONTROL!$C$32, $C$9, 100%, $E$9)</f>
        <v>9.4268999999999998</v>
      </c>
      <c r="J250" s="9">
        <f>9.4227 * CHOOSE(CONTROL!$C$32, $C$9, 100%, $E$9)</f>
        <v>9.4227000000000007</v>
      </c>
      <c r="K250" s="9">
        <f>9.4269 * CHOOSE(CONTROL!$C$32, $C$9, 100%, $E$9)</f>
        <v>9.4268999999999998</v>
      </c>
      <c r="L250" s="9">
        <f>5.0819 * CHOOSE(CONTROL!$C$32, $C$9, 100%, $E$9)</f>
        <v>5.0819000000000001</v>
      </c>
      <c r="M250" s="9">
        <f>5.0861 * CHOOSE(CONTROL!$C$32, $C$9, 100%, $E$9)</f>
        <v>5.0861000000000001</v>
      </c>
      <c r="N250" s="9">
        <f>5.0819 * CHOOSE(CONTROL!$C$32, $C$9, 100%, $E$9)</f>
        <v>5.0819000000000001</v>
      </c>
      <c r="O250" s="9">
        <f>5.0861 * CHOOSE(CONTROL!$C$32, $C$9, 100%, $E$9)</f>
        <v>5.0861000000000001</v>
      </c>
    </row>
    <row r="251" spans="1:15" ht="15" x14ac:dyDescent="0.2">
      <c r="A251" s="16">
        <v>48488</v>
      </c>
      <c r="B251" s="10">
        <f>4.9544 * CHOOSE(CONTROL!$C$32, $C$9, 100%, $E$9)</f>
        <v>4.9543999999999997</v>
      </c>
      <c r="C251" s="10">
        <f>4.9544 * CHOOSE(CONTROL!$C$32, $C$9, 100%, $E$9)</f>
        <v>4.9543999999999997</v>
      </c>
      <c r="D251" s="10">
        <f>4.9553 * CHOOSE(CONTROL!$C$32, $C$9, 100%, $E$9)</f>
        <v>4.9553000000000003</v>
      </c>
      <c r="E251" s="9">
        <f>5.1044 * CHOOSE(CONTROL!$C$32, $C$9, 100%, $E$9)</f>
        <v>5.1044</v>
      </c>
      <c r="F251" s="9">
        <f>5.1044 * CHOOSE(CONTROL!$C$32, $C$9, 100%, $E$9)</f>
        <v>5.1044</v>
      </c>
      <c r="G251" s="9">
        <f>5.1076 * CHOOSE(CONTROL!$C$32, $C$9, 100%, $E$9)</f>
        <v>5.1075999999999997</v>
      </c>
      <c r="H251" s="9">
        <f>9.4424 * CHOOSE(CONTROL!$C$32, $C$9, 100%, $E$9)</f>
        <v>9.4423999999999992</v>
      </c>
      <c r="I251" s="9">
        <f>9.4456 * CHOOSE(CONTROL!$C$32, $C$9, 100%, $E$9)</f>
        <v>9.4456000000000007</v>
      </c>
      <c r="J251" s="9">
        <f>9.4424 * CHOOSE(CONTROL!$C$32, $C$9, 100%, $E$9)</f>
        <v>9.4423999999999992</v>
      </c>
      <c r="K251" s="9">
        <f>9.4456 * CHOOSE(CONTROL!$C$32, $C$9, 100%, $E$9)</f>
        <v>9.4456000000000007</v>
      </c>
      <c r="L251" s="9">
        <f>5.1044 * CHOOSE(CONTROL!$C$32, $C$9, 100%, $E$9)</f>
        <v>5.1044</v>
      </c>
      <c r="M251" s="9">
        <f>5.1076 * CHOOSE(CONTROL!$C$32, $C$9, 100%, $E$9)</f>
        <v>5.1075999999999997</v>
      </c>
      <c r="N251" s="9">
        <f>5.1044 * CHOOSE(CONTROL!$C$32, $C$9, 100%, $E$9)</f>
        <v>5.1044</v>
      </c>
      <c r="O251" s="9">
        <f>5.1076 * CHOOSE(CONTROL!$C$32, $C$9, 100%, $E$9)</f>
        <v>5.1075999999999997</v>
      </c>
    </row>
    <row r="252" spans="1:15" ht="15" x14ac:dyDescent="0.2">
      <c r="A252" s="16">
        <v>48519</v>
      </c>
      <c r="B252" s="10">
        <f>4.9574 * CHOOSE(CONTROL!$C$32, $C$9, 100%, $E$9)</f>
        <v>4.9573999999999998</v>
      </c>
      <c r="C252" s="10">
        <f>4.9574 * CHOOSE(CONTROL!$C$32, $C$9, 100%, $E$9)</f>
        <v>4.9573999999999998</v>
      </c>
      <c r="D252" s="10">
        <f>4.9584 * CHOOSE(CONTROL!$C$32, $C$9, 100%, $E$9)</f>
        <v>4.9584000000000001</v>
      </c>
      <c r="E252" s="9">
        <f>5.1245 * CHOOSE(CONTROL!$C$32, $C$9, 100%, $E$9)</f>
        <v>5.1245000000000003</v>
      </c>
      <c r="F252" s="9">
        <f>5.1245 * CHOOSE(CONTROL!$C$32, $C$9, 100%, $E$9)</f>
        <v>5.1245000000000003</v>
      </c>
      <c r="G252" s="9">
        <f>5.1277 * CHOOSE(CONTROL!$C$32, $C$9, 100%, $E$9)</f>
        <v>5.1276999999999999</v>
      </c>
      <c r="H252" s="9">
        <f>9.462 * CHOOSE(CONTROL!$C$32, $C$9, 100%, $E$9)</f>
        <v>9.4619999999999997</v>
      </c>
      <c r="I252" s="9">
        <f>9.4653 * CHOOSE(CONTROL!$C$32, $C$9, 100%, $E$9)</f>
        <v>9.4652999999999992</v>
      </c>
      <c r="J252" s="9">
        <f>9.462 * CHOOSE(CONTROL!$C$32, $C$9, 100%, $E$9)</f>
        <v>9.4619999999999997</v>
      </c>
      <c r="K252" s="9">
        <f>9.4653 * CHOOSE(CONTROL!$C$32, $C$9, 100%, $E$9)</f>
        <v>9.4652999999999992</v>
      </c>
      <c r="L252" s="9">
        <f>5.1245 * CHOOSE(CONTROL!$C$32, $C$9, 100%, $E$9)</f>
        <v>5.1245000000000003</v>
      </c>
      <c r="M252" s="9">
        <f>5.1277 * CHOOSE(CONTROL!$C$32, $C$9, 100%, $E$9)</f>
        <v>5.1276999999999999</v>
      </c>
      <c r="N252" s="9">
        <f>5.1245 * CHOOSE(CONTROL!$C$32, $C$9, 100%, $E$9)</f>
        <v>5.1245000000000003</v>
      </c>
      <c r="O252" s="9">
        <f>5.1277 * CHOOSE(CONTROL!$C$32, $C$9, 100%, $E$9)</f>
        <v>5.1276999999999999</v>
      </c>
    </row>
    <row r="253" spans="1:15" ht="15" x14ac:dyDescent="0.2">
      <c r="A253" s="16">
        <v>48549</v>
      </c>
      <c r="B253" s="10">
        <f>4.9574 * CHOOSE(CONTROL!$C$32, $C$9, 100%, $E$9)</f>
        <v>4.9573999999999998</v>
      </c>
      <c r="C253" s="10">
        <f>4.9574 * CHOOSE(CONTROL!$C$32, $C$9, 100%, $E$9)</f>
        <v>4.9573999999999998</v>
      </c>
      <c r="D253" s="10">
        <f>4.9584 * CHOOSE(CONTROL!$C$32, $C$9, 100%, $E$9)</f>
        <v>4.9584000000000001</v>
      </c>
      <c r="E253" s="9">
        <f>5.0796 * CHOOSE(CONTROL!$C$32, $C$9, 100%, $E$9)</f>
        <v>5.0796000000000001</v>
      </c>
      <c r="F253" s="9">
        <f>5.0796 * CHOOSE(CONTROL!$C$32, $C$9, 100%, $E$9)</f>
        <v>5.0796000000000001</v>
      </c>
      <c r="G253" s="9">
        <f>5.0828 * CHOOSE(CONTROL!$C$32, $C$9, 100%, $E$9)</f>
        <v>5.0827999999999998</v>
      </c>
      <c r="H253" s="9">
        <f>9.4817 * CHOOSE(CONTROL!$C$32, $C$9, 100%, $E$9)</f>
        <v>9.4817</v>
      </c>
      <c r="I253" s="9">
        <f>9.485 * CHOOSE(CONTROL!$C$32, $C$9, 100%, $E$9)</f>
        <v>9.4849999999999994</v>
      </c>
      <c r="J253" s="9">
        <f>9.4817 * CHOOSE(CONTROL!$C$32, $C$9, 100%, $E$9)</f>
        <v>9.4817</v>
      </c>
      <c r="K253" s="9">
        <f>9.485 * CHOOSE(CONTROL!$C$32, $C$9, 100%, $E$9)</f>
        <v>9.4849999999999994</v>
      </c>
      <c r="L253" s="9">
        <f>5.0796 * CHOOSE(CONTROL!$C$32, $C$9, 100%, $E$9)</f>
        <v>5.0796000000000001</v>
      </c>
      <c r="M253" s="9">
        <f>5.0828 * CHOOSE(CONTROL!$C$32, $C$9, 100%, $E$9)</f>
        <v>5.0827999999999998</v>
      </c>
      <c r="N253" s="9">
        <f>5.0796 * CHOOSE(CONTROL!$C$32, $C$9, 100%, $E$9)</f>
        <v>5.0796000000000001</v>
      </c>
      <c r="O253" s="9">
        <f>5.0828 * CHOOSE(CONTROL!$C$32, $C$9, 100%, $E$9)</f>
        <v>5.0827999999999998</v>
      </c>
    </row>
    <row r="254" spans="1:15" ht="15" x14ac:dyDescent="0.2">
      <c r="A254" s="16">
        <v>48580</v>
      </c>
      <c r="B254" s="10">
        <f>5.001 * CHOOSE(CONTROL!$C$32, $C$9, 100%, $E$9)</f>
        <v>5.0010000000000003</v>
      </c>
      <c r="C254" s="10">
        <f>5.001 * CHOOSE(CONTROL!$C$32, $C$9, 100%, $E$9)</f>
        <v>5.0010000000000003</v>
      </c>
      <c r="D254" s="10">
        <f>5.0019 * CHOOSE(CONTROL!$C$32, $C$9, 100%, $E$9)</f>
        <v>5.0019</v>
      </c>
      <c r="E254" s="9">
        <f>5.1394 * CHOOSE(CONTROL!$C$32, $C$9, 100%, $E$9)</f>
        <v>5.1394000000000002</v>
      </c>
      <c r="F254" s="9">
        <f>5.1394 * CHOOSE(CONTROL!$C$32, $C$9, 100%, $E$9)</f>
        <v>5.1394000000000002</v>
      </c>
      <c r="G254" s="9">
        <f>5.1426 * CHOOSE(CONTROL!$C$32, $C$9, 100%, $E$9)</f>
        <v>5.1425999999999998</v>
      </c>
      <c r="H254" s="9">
        <f>9.5015 * CHOOSE(CONTROL!$C$32, $C$9, 100%, $E$9)</f>
        <v>9.5015000000000001</v>
      </c>
      <c r="I254" s="9">
        <f>9.5047 * CHOOSE(CONTROL!$C$32, $C$9, 100%, $E$9)</f>
        <v>9.5046999999999997</v>
      </c>
      <c r="J254" s="9">
        <f>9.5015 * CHOOSE(CONTROL!$C$32, $C$9, 100%, $E$9)</f>
        <v>9.5015000000000001</v>
      </c>
      <c r="K254" s="9">
        <f>9.5047 * CHOOSE(CONTROL!$C$32, $C$9, 100%, $E$9)</f>
        <v>9.5046999999999997</v>
      </c>
      <c r="L254" s="9">
        <f>5.1394 * CHOOSE(CONTROL!$C$32, $C$9, 100%, $E$9)</f>
        <v>5.1394000000000002</v>
      </c>
      <c r="M254" s="9">
        <f>5.1426 * CHOOSE(CONTROL!$C$32, $C$9, 100%, $E$9)</f>
        <v>5.1425999999999998</v>
      </c>
      <c r="N254" s="9">
        <f>5.1394 * CHOOSE(CONTROL!$C$32, $C$9, 100%, $E$9)</f>
        <v>5.1394000000000002</v>
      </c>
      <c r="O254" s="9">
        <f>5.1426 * CHOOSE(CONTROL!$C$32, $C$9, 100%, $E$9)</f>
        <v>5.1425999999999998</v>
      </c>
    </row>
    <row r="255" spans="1:15" ht="15" x14ac:dyDescent="0.2">
      <c r="A255" s="16">
        <v>48611</v>
      </c>
      <c r="B255" s="10">
        <f>4.9979 * CHOOSE(CONTROL!$C$32, $C$9, 100%, $E$9)</f>
        <v>4.9978999999999996</v>
      </c>
      <c r="C255" s="10">
        <f>4.9979 * CHOOSE(CONTROL!$C$32, $C$9, 100%, $E$9)</f>
        <v>4.9978999999999996</v>
      </c>
      <c r="D255" s="10">
        <f>4.9989 * CHOOSE(CONTROL!$C$32, $C$9, 100%, $E$9)</f>
        <v>4.9988999999999999</v>
      </c>
      <c r="E255" s="9">
        <f>5.0497 * CHOOSE(CONTROL!$C$32, $C$9, 100%, $E$9)</f>
        <v>5.0496999999999996</v>
      </c>
      <c r="F255" s="9">
        <f>5.0497 * CHOOSE(CONTROL!$C$32, $C$9, 100%, $E$9)</f>
        <v>5.0496999999999996</v>
      </c>
      <c r="G255" s="9">
        <f>5.0529 * CHOOSE(CONTROL!$C$32, $C$9, 100%, $E$9)</f>
        <v>5.0529000000000002</v>
      </c>
      <c r="H255" s="9">
        <f>9.5213 * CHOOSE(CONTROL!$C$32, $C$9, 100%, $E$9)</f>
        <v>9.5213000000000001</v>
      </c>
      <c r="I255" s="9">
        <f>9.5245 * CHOOSE(CONTROL!$C$32, $C$9, 100%, $E$9)</f>
        <v>9.5244999999999997</v>
      </c>
      <c r="J255" s="9">
        <f>9.5213 * CHOOSE(CONTROL!$C$32, $C$9, 100%, $E$9)</f>
        <v>9.5213000000000001</v>
      </c>
      <c r="K255" s="9">
        <f>9.5245 * CHOOSE(CONTROL!$C$32, $C$9, 100%, $E$9)</f>
        <v>9.5244999999999997</v>
      </c>
      <c r="L255" s="9">
        <f>5.0497 * CHOOSE(CONTROL!$C$32, $C$9, 100%, $E$9)</f>
        <v>5.0496999999999996</v>
      </c>
      <c r="M255" s="9">
        <f>5.0529 * CHOOSE(CONTROL!$C$32, $C$9, 100%, $E$9)</f>
        <v>5.0529000000000002</v>
      </c>
      <c r="N255" s="9">
        <f>5.0497 * CHOOSE(CONTROL!$C$32, $C$9, 100%, $E$9)</f>
        <v>5.0496999999999996</v>
      </c>
      <c r="O255" s="9">
        <f>5.0529 * CHOOSE(CONTROL!$C$32, $C$9, 100%, $E$9)</f>
        <v>5.0529000000000002</v>
      </c>
    </row>
    <row r="256" spans="1:15" ht="15" x14ac:dyDescent="0.2">
      <c r="A256" s="16">
        <v>48639</v>
      </c>
      <c r="B256" s="10">
        <f>4.9949 * CHOOSE(CONTROL!$C$32, $C$9, 100%, $E$9)</f>
        <v>4.9949000000000003</v>
      </c>
      <c r="C256" s="10">
        <f>4.9949 * CHOOSE(CONTROL!$C$32, $C$9, 100%, $E$9)</f>
        <v>4.9949000000000003</v>
      </c>
      <c r="D256" s="10">
        <f>4.9959 * CHOOSE(CONTROL!$C$32, $C$9, 100%, $E$9)</f>
        <v>4.9958999999999998</v>
      </c>
      <c r="E256" s="9">
        <f>5.1166 * CHOOSE(CONTROL!$C$32, $C$9, 100%, $E$9)</f>
        <v>5.1166</v>
      </c>
      <c r="F256" s="9">
        <f>5.1166 * CHOOSE(CONTROL!$C$32, $C$9, 100%, $E$9)</f>
        <v>5.1166</v>
      </c>
      <c r="G256" s="9">
        <f>5.1198 * CHOOSE(CONTROL!$C$32, $C$9, 100%, $E$9)</f>
        <v>5.1197999999999997</v>
      </c>
      <c r="H256" s="9">
        <f>9.5411 * CHOOSE(CONTROL!$C$32, $C$9, 100%, $E$9)</f>
        <v>9.5411000000000001</v>
      </c>
      <c r="I256" s="9">
        <f>9.5444 * CHOOSE(CONTROL!$C$32, $C$9, 100%, $E$9)</f>
        <v>9.5443999999999996</v>
      </c>
      <c r="J256" s="9">
        <f>9.5411 * CHOOSE(CONTROL!$C$32, $C$9, 100%, $E$9)</f>
        <v>9.5411000000000001</v>
      </c>
      <c r="K256" s="9">
        <f>9.5444 * CHOOSE(CONTROL!$C$32, $C$9, 100%, $E$9)</f>
        <v>9.5443999999999996</v>
      </c>
      <c r="L256" s="9">
        <f>5.1166 * CHOOSE(CONTROL!$C$32, $C$9, 100%, $E$9)</f>
        <v>5.1166</v>
      </c>
      <c r="M256" s="9">
        <f>5.1198 * CHOOSE(CONTROL!$C$32, $C$9, 100%, $E$9)</f>
        <v>5.1197999999999997</v>
      </c>
      <c r="N256" s="9">
        <f>5.1166 * CHOOSE(CONTROL!$C$32, $C$9, 100%, $E$9)</f>
        <v>5.1166</v>
      </c>
      <c r="O256" s="9">
        <f>5.1198 * CHOOSE(CONTROL!$C$32, $C$9, 100%, $E$9)</f>
        <v>5.1197999999999997</v>
      </c>
    </row>
    <row r="257" spans="1:15" ht="15" x14ac:dyDescent="0.2">
      <c r="A257" s="16">
        <v>48670</v>
      </c>
      <c r="B257" s="10">
        <f>4.9937 * CHOOSE(CONTROL!$C$32, $C$9, 100%, $E$9)</f>
        <v>4.9936999999999996</v>
      </c>
      <c r="C257" s="10">
        <f>4.9937 * CHOOSE(CONTROL!$C$32, $C$9, 100%, $E$9)</f>
        <v>4.9936999999999996</v>
      </c>
      <c r="D257" s="10">
        <f>4.9946 * CHOOSE(CONTROL!$C$32, $C$9, 100%, $E$9)</f>
        <v>4.9946000000000002</v>
      </c>
      <c r="E257" s="9">
        <f>5.1865 * CHOOSE(CONTROL!$C$32, $C$9, 100%, $E$9)</f>
        <v>5.1864999999999997</v>
      </c>
      <c r="F257" s="9">
        <f>5.1865 * CHOOSE(CONTROL!$C$32, $C$9, 100%, $E$9)</f>
        <v>5.1864999999999997</v>
      </c>
      <c r="G257" s="9">
        <f>5.1897 * CHOOSE(CONTROL!$C$32, $C$9, 100%, $E$9)</f>
        <v>5.1897000000000002</v>
      </c>
      <c r="H257" s="9">
        <f>9.561 * CHOOSE(CONTROL!$C$32, $C$9, 100%, $E$9)</f>
        <v>9.5609999999999999</v>
      </c>
      <c r="I257" s="9">
        <f>9.5642 * CHOOSE(CONTROL!$C$32, $C$9, 100%, $E$9)</f>
        <v>9.5641999999999996</v>
      </c>
      <c r="J257" s="9">
        <f>9.561 * CHOOSE(CONTROL!$C$32, $C$9, 100%, $E$9)</f>
        <v>9.5609999999999999</v>
      </c>
      <c r="K257" s="9">
        <f>9.5642 * CHOOSE(CONTROL!$C$32, $C$9, 100%, $E$9)</f>
        <v>9.5641999999999996</v>
      </c>
      <c r="L257" s="9">
        <f>5.1865 * CHOOSE(CONTROL!$C$32, $C$9, 100%, $E$9)</f>
        <v>5.1864999999999997</v>
      </c>
      <c r="M257" s="9">
        <f>5.1897 * CHOOSE(CONTROL!$C$32, $C$9, 100%, $E$9)</f>
        <v>5.1897000000000002</v>
      </c>
      <c r="N257" s="9">
        <f>5.1865 * CHOOSE(CONTROL!$C$32, $C$9, 100%, $E$9)</f>
        <v>5.1864999999999997</v>
      </c>
      <c r="O257" s="9">
        <f>5.1897 * CHOOSE(CONTROL!$C$32, $C$9, 100%, $E$9)</f>
        <v>5.1897000000000002</v>
      </c>
    </row>
    <row r="258" spans="1:15" ht="15" x14ac:dyDescent="0.2">
      <c r="A258" s="16">
        <v>48700</v>
      </c>
      <c r="B258" s="10">
        <f>4.9937 * CHOOSE(CONTROL!$C$32, $C$9, 100%, $E$9)</f>
        <v>4.9936999999999996</v>
      </c>
      <c r="C258" s="10">
        <f>4.9937 * CHOOSE(CONTROL!$C$32, $C$9, 100%, $E$9)</f>
        <v>4.9936999999999996</v>
      </c>
      <c r="D258" s="10">
        <f>4.9949 * CHOOSE(CONTROL!$C$32, $C$9, 100%, $E$9)</f>
        <v>4.9949000000000003</v>
      </c>
      <c r="E258" s="9">
        <f>5.2142 * CHOOSE(CONTROL!$C$32, $C$9, 100%, $E$9)</f>
        <v>5.2141999999999999</v>
      </c>
      <c r="F258" s="9">
        <f>5.2142 * CHOOSE(CONTROL!$C$32, $C$9, 100%, $E$9)</f>
        <v>5.2141999999999999</v>
      </c>
      <c r="G258" s="9">
        <f>5.2184 * CHOOSE(CONTROL!$C$32, $C$9, 100%, $E$9)</f>
        <v>5.2183999999999999</v>
      </c>
      <c r="H258" s="9">
        <f>9.5809 * CHOOSE(CONTROL!$C$32, $C$9, 100%, $E$9)</f>
        <v>9.5808999999999997</v>
      </c>
      <c r="I258" s="9">
        <f>9.5851 * CHOOSE(CONTROL!$C$32, $C$9, 100%, $E$9)</f>
        <v>9.5851000000000006</v>
      </c>
      <c r="J258" s="9">
        <f>9.5809 * CHOOSE(CONTROL!$C$32, $C$9, 100%, $E$9)</f>
        <v>9.5808999999999997</v>
      </c>
      <c r="K258" s="9">
        <f>9.5851 * CHOOSE(CONTROL!$C$32, $C$9, 100%, $E$9)</f>
        <v>9.5851000000000006</v>
      </c>
      <c r="L258" s="9">
        <f>5.2142 * CHOOSE(CONTROL!$C$32, $C$9, 100%, $E$9)</f>
        <v>5.2141999999999999</v>
      </c>
      <c r="M258" s="9">
        <f>5.2184 * CHOOSE(CONTROL!$C$32, $C$9, 100%, $E$9)</f>
        <v>5.2183999999999999</v>
      </c>
      <c r="N258" s="9">
        <f>5.2142 * CHOOSE(CONTROL!$C$32, $C$9, 100%, $E$9)</f>
        <v>5.2141999999999999</v>
      </c>
      <c r="O258" s="9">
        <f>5.2184 * CHOOSE(CONTROL!$C$32, $C$9, 100%, $E$9)</f>
        <v>5.2183999999999999</v>
      </c>
    </row>
    <row r="259" spans="1:15" ht="15" x14ac:dyDescent="0.2">
      <c r="A259" s="16">
        <v>48731</v>
      </c>
      <c r="B259" s="10">
        <f>4.9998 * CHOOSE(CONTROL!$C$32, $C$9, 100%, $E$9)</f>
        <v>4.9997999999999996</v>
      </c>
      <c r="C259" s="10">
        <f>4.9998 * CHOOSE(CONTROL!$C$32, $C$9, 100%, $E$9)</f>
        <v>4.9997999999999996</v>
      </c>
      <c r="D259" s="10">
        <f>5.001 * CHOOSE(CONTROL!$C$32, $C$9, 100%, $E$9)</f>
        <v>5.0010000000000003</v>
      </c>
      <c r="E259" s="9">
        <f>5.1907 * CHOOSE(CONTROL!$C$32, $C$9, 100%, $E$9)</f>
        <v>5.1906999999999996</v>
      </c>
      <c r="F259" s="9">
        <f>5.1907 * CHOOSE(CONTROL!$C$32, $C$9, 100%, $E$9)</f>
        <v>5.1906999999999996</v>
      </c>
      <c r="G259" s="9">
        <f>5.1949 * CHOOSE(CONTROL!$C$32, $C$9, 100%, $E$9)</f>
        <v>5.1948999999999996</v>
      </c>
      <c r="H259" s="9">
        <f>9.6009 * CHOOSE(CONTROL!$C$32, $C$9, 100%, $E$9)</f>
        <v>9.6008999999999993</v>
      </c>
      <c r="I259" s="9">
        <f>9.6051 * CHOOSE(CONTROL!$C$32, $C$9, 100%, $E$9)</f>
        <v>9.6051000000000002</v>
      </c>
      <c r="J259" s="9">
        <f>9.6009 * CHOOSE(CONTROL!$C$32, $C$9, 100%, $E$9)</f>
        <v>9.6008999999999993</v>
      </c>
      <c r="K259" s="9">
        <f>9.6051 * CHOOSE(CONTROL!$C$32, $C$9, 100%, $E$9)</f>
        <v>9.6051000000000002</v>
      </c>
      <c r="L259" s="9">
        <f>5.1907 * CHOOSE(CONTROL!$C$32, $C$9, 100%, $E$9)</f>
        <v>5.1906999999999996</v>
      </c>
      <c r="M259" s="9">
        <f>5.1949 * CHOOSE(CONTROL!$C$32, $C$9, 100%, $E$9)</f>
        <v>5.1948999999999996</v>
      </c>
      <c r="N259" s="9">
        <f>5.1907 * CHOOSE(CONTROL!$C$32, $C$9, 100%, $E$9)</f>
        <v>5.1906999999999996</v>
      </c>
      <c r="O259" s="9">
        <f>5.1949 * CHOOSE(CONTROL!$C$32, $C$9, 100%, $E$9)</f>
        <v>5.1948999999999996</v>
      </c>
    </row>
    <row r="260" spans="1:15" ht="15" x14ac:dyDescent="0.2">
      <c r="A260" s="16">
        <v>48761</v>
      </c>
      <c r="B260" s="10">
        <f>5.0784 * CHOOSE(CONTROL!$C$32, $C$9, 100%, $E$9)</f>
        <v>5.0784000000000002</v>
      </c>
      <c r="C260" s="10">
        <f>5.0784 * CHOOSE(CONTROL!$C$32, $C$9, 100%, $E$9)</f>
        <v>5.0784000000000002</v>
      </c>
      <c r="D260" s="10">
        <f>5.0796 * CHOOSE(CONTROL!$C$32, $C$9, 100%, $E$9)</f>
        <v>5.0796000000000001</v>
      </c>
      <c r="E260" s="9">
        <f>5.2373 * CHOOSE(CONTROL!$C$32, $C$9, 100%, $E$9)</f>
        <v>5.2373000000000003</v>
      </c>
      <c r="F260" s="9">
        <f>5.2373 * CHOOSE(CONTROL!$C$32, $C$9, 100%, $E$9)</f>
        <v>5.2373000000000003</v>
      </c>
      <c r="G260" s="9">
        <f>5.2415 * CHOOSE(CONTROL!$C$32, $C$9, 100%, $E$9)</f>
        <v>5.2415000000000003</v>
      </c>
      <c r="H260" s="9">
        <f>9.6209 * CHOOSE(CONTROL!$C$32, $C$9, 100%, $E$9)</f>
        <v>9.6209000000000007</v>
      </c>
      <c r="I260" s="9">
        <f>9.6251 * CHOOSE(CONTROL!$C$32, $C$9, 100%, $E$9)</f>
        <v>9.6250999999999998</v>
      </c>
      <c r="J260" s="9">
        <f>9.6209 * CHOOSE(CONTROL!$C$32, $C$9, 100%, $E$9)</f>
        <v>9.6209000000000007</v>
      </c>
      <c r="K260" s="9">
        <f>9.6251 * CHOOSE(CONTROL!$C$32, $C$9, 100%, $E$9)</f>
        <v>9.6250999999999998</v>
      </c>
      <c r="L260" s="9">
        <f>5.2373 * CHOOSE(CONTROL!$C$32, $C$9, 100%, $E$9)</f>
        <v>5.2373000000000003</v>
      </c>
      <c r="M260" s="9">
        <f>5.2415 * CHOOSE(CONTROL!$C$32, $C$9, 100%, $E$9)</f>
        <v>5.2415000000000003</v>
      </c>
      <c r="N260" s="9">
        <f>5.2373 * CHOOSE(CONTROL!$C$32, $C$9, 100%, $E$9)</f>
        <v>5.2373000000000003</v>
      </c>
      <c r="O260" s="9">
        <f>5.2415 * CHOOSE(CONTROL!$C$32, $C$9, 100%, $E$9)</f>
        <v>5.2415000000000003</v>
      </c>
    </row>
    <row r="261" spans="1:15" ht="15" x14ac:dyDescent="0.2">
      <c r="A261" s="16">
        <v>48792</v>
      </c>
      <c r="B261" s="10">
        <f>5.0851 * CHOOSE(CONTROL!$C$32, $C$9, 100%, $E$9)</f>
        <v>5.0850999999999997</v>
      </c>
      <c r="C261" s="10">
        <f>5.0851 * CHOOSE(CONTROL!$C$32, $C$9, 100%, $E$9)</f>
        <v>5.0850999999999997</v>
      </c>
      <c r="D261" s="10">
        <f>5.0863 * CHOOSE(CONTROL!$C$32, $C$9, 100%, $E$9)</f>
        <v>5.0862999999999996</v>
      </c>
      <c r="E261" s="9">
        <f>5.1586 * CHOOSE(CONTROL!$C$32, $C$9, 100%, $E$9)</f>
        <v>5.1585999999999999</v>
      </c>
      <c r="F261" s="9">
        <f>5.1586 * CHOOSE(CONTROL!$C$32, $C$9, 100%, $E$9)</f>
        <v>5.1585999999999999</v>
      </c>
      <c r="G261" s="9">
        <f>5.1628 * CHOOSE(CONTROL!$C$32, $C$9, 100%, $E$9)</f>
        <v>5.1627999999999998</v>
      </c>
      <c r="H261" s="9">
        <f>9.6409 * CHOOSE(CONTROL!$C$32, $C$9, 100%, $E$9)</f>
        <v>9.6409000000000002</v>
      </c>
      <c r="I261" s="9">
        <f>9.6451 * CHOOSE(CONTROL!$C$32, $C$9, 100%, $E$9)</f>
        <v>9.6450999999999993</v>
      </c>
      <c r="J261" s="9">
        <f>9.6409 * CHOOSE(CONTROL!$C$32, $C$9, 100%, $E$9)</f>
        <v>9.6409000000000002</v>
      </c>
      <c r="K261" s="9">
        <f>9.6451 * CHOOSE(CONTROL!$C$32, $C$9, 100%, $E$9)</f>
        <v>9.6450999999999993</v>
      </c>
      <c r="L261" s="9">
        <f>5.1586 * CHOOSE(CONTROL!$C$32, $C$9, 100%, $E$9)</f>
        <v>5.1585999999999999</v>
      </c>
      <c r="M261" s="9">
        <f>5.1628 * CHOOSE(CONTROL!$C$32, $C$9, 100%, $E$9)</f>
        <v>5.1627999999999998</v>
      </c>
      <c r="N261" s="9">
        <f>5.1586 * CHOOSE(CONTROL!$C$32, $C$9, 100%, $E$9)</f>
        <v>5.1585999999999999</v>
      </c>
      <c r="O261" s="9">
        <f>5.1628 * CHOOSE(CONTROL!$C$32, $C$9, 100%, $E$9)</f>
        <v>5.1627999999999998</v>
      </c>
    </row>
    <row r="262" spans="1:15" ht="15" x14ac:dyDescent="0.2">
      <c r="A262" s="16">
        <v>48823</v>
      </c>
      <c r="B262" s="10">
        <f>5.082 * CHOOSE(CONTROL!$C$32, $C$9, 100%, $E$9)</f>
        <v>5.0819999999999999</v>
      </c>
      <c r="C262" s="10">
        <f>5.082 * CHOOSE(CONTROL!$C$32, $C$9, 100%, $E$9)</f>
        <v>5.0819999999999999</v>
      </c>
      <c r="D262" s="10">
        <f>5.0833 * CHOOSE(CONTROL!$C$32, $C$9, 100%, $E$9)</f>
        <v>5.0833000000000004</v>
      </c>
      <c r="E262" s="9">
        <f>5.1472 * CHOOSE(CONTROL!$C$32, $C$9, 100%, $E$9)</f>
        <v>5.1471999999999998</v>
      </c>
      <c r="F262" s="9">
        <f>5.1472 * CHOOSE(CONTROL!$C$32, $C$9, 100%, $E$9)</f>
        <v>5.1471999999999998</v>
      </c>
      <c r="G262" s="9">
        <f>5.1514 * CHOOSE(CONTROL!$C$32, $C$9, 100%, $E$9)</f>
        <v>5.1513999999999998</v>
      </c>
      <c r="H262" s="9">
        <f>9.661 * CHOOSE(CONTROL!$C$32, $C$9, 100%, $E$9)</f>
        <v>9.6609999999999996</v>
      </c>
      <c r="I262" s="9">
        <f>9.6652 * CHOOSE(CONTROL!$C$32, $C$9, 100%, $E$9)</f>
        <v>9.6652000000000005</v>
      </c>
      <c r="J262" s="9">
        <f>9.661 * CHOOSE(CONTROL!$C$32, $C$9, 100%, $E$9)</f>
        <v>9.6609999999999996</v>
      </c>
      <c r="K262" s="9">
        <f>9.6652 * CHOOSE(CONTROL!$C$32, $C$9, 100%, $E$9)</f>
        <v>9.6652000000000005</v>
      </c>
      <c r="L262" s="9">
        <f>5.1472 * CHOOSE(CONTROL!$C$32, $C$9, 100%, $E$9)</f>
        <v>5.1471999999999998</v>
      </c>
      <c r="M262" s="9">
        <f>5.1514 * CHOOSE(CONTROL!$C$32, $C$9, 100%, $E$9)</f>
        <v>5.1513999999999998</v>
      </c>
      <c r="N262" s="9">
        <f>5.1472 * CHOOSE(CONTROL!$C$32, $C$9, 100%, $E$9)</f>
        <v>5.1471999999999998</v>
      </c>
      <c r="O262" s="9">
        <f>5.1514 * CHOOSE(CONTROL!$C$32, $C$9, 100%, $E$9)</f>
        <v>5.1513999999999998</v>
      </c>
    </row>
    <row r="263" spans="1:15" ht="15" x14ac:dyDescent="0.2">
      <c r="A263" s="16">
        <v>48853</v>
      </c>
      <c r="B263" s="10">
        <f>5.0817 * CHOOSE(CONTROL!$C$32, $C$9, 100%, $E$9)</f>
        <v>5.0816999999999997</v>
      </c>
      <c r="C263" s="10">
        <f>5.0817 * CHOOSE(CONTROL!$C$32, $C$9, 100%, $E$9)</f>
        <v>5.0816999999999997</v>
      </c>
      <c r="D263" s="10">
        <f>5.0827 * CHOOSE(CONTROL!$C$32, $C$9, 100%, $E$9)</f>
        <v>5.0827</v>
      </c>
      <c r="E263" s="9">
        <f>5.1709 * CHOOSE(CONTROL!$C$32, $C$9, 100%, $E$9)</f>
        <v>5.1708999999999996</v>
      </c>
      <c r="F263" s="9">
        <f>5.1709 * CHOOSE(CONTROL!$C$32, $C$9, 100%, $E$9)</f>
        <v>5.1708999999999996</v>
      </c>
      <c r="G263" s="9">
        <f>5.1741 * CHOOSE(CONTROL!$C$32, $C$9, 100%, $E$9)</f>
        <v>5.1741000000000001</v>
      </c>
      <c r="H263" s="9">
        <f>9.6811 * CHOOSE(CONTROL!$C$32, $C$9, 100%, $E$9)</f>
        <v>9.6811000000000007</v>
      </c>
      <c r="I263" s="9">
        <f>9.6844 * CHOOSE(CONTROL!$C$32, $C$9, 100%, $E$9)</f>
        <v>9.6844000000000001</v>
      </c>
      <c r="J263" s="9">
        <f>9.6811 * CHOOSE(CONTROL!$C$32, $C$9, 100%, $E$9)</f>
        <v>9.6811000000000007</v>
      </c>
      <c r="K263" s="9">
        <f>9.6844 * CHOOSE(CONTROL!$C$32, $C$9, 100%, $E$9)</f>
        <v>9.6844000000000001</v>
      </c>
      <c r="L263" s="9">
        <f>5.1709 * CHOOSE(CONTROL!$C$32, $C$9, 100%, $E$9)</f>
        <v>5.1708999999999996</v>
      </c>
      <c r="M263" s="9">
        <f>5.1741 * CHOOSE(CONTROL!$C$32, $C$9, 100%, $E$9)</f>
        <v>5.1741000000000001</v>
      </c>
      <c r="N263" s="9">
        <f>5.1709 * CHOOSE(CONTROL!$C$32, $C$9, 100%, $E$9)</f>
        <v>5.1708999999999996</v>
      </c>
      <c r="O263" s="9">
        <f>5.1741 * CHOOSE(CONTROL!$C$32, $C$9, 100%, $E$9)</f>
        <v>5.1741000000000001</v>
      </c>
    </row>
    <row r="264" spans="1:15" ht="15" x14ac:dyDescent="0.2">
      <c r="A264" s="16">
        <v>48884</v>
      </c>
      <c r="B264" s="10">
        <f>5.0848 * CHOOSE(CONTROL!$C$32, $C$9, 100%, $E$9)</f>
        <v>5.0848000000000004</v>
      </c>
      <c r="C264" s="10">
        <f>5.0848 * CHOOSE(CONTROL!$C$32, $C$9, 100%, $E$9)</f>
        <v>5.0848000000000004</v>
      </c>
      <c r="D264" s="10">
        <f>5.0857 * CHOOSE(CONTROL!$C$32, $C$9, 100%, $E$9)</f>
        <v>5.0857000000000001</v>
      </c>
      <c r="E264" s="9">
        <f>5.1915 * CHOOSE(CONTROL!$C$32, $C$9, 100%, $E$9)</f>
        <v>5.1914999999999996</v>
      </c>
      <c r="F264" s="9">
        <f>5.1915 * CHOOSE(CONTROL!$C$32, $C$9, 100%, $E$9)</f>
        <v>5.1914999999999996</v>
      </c>
      <c r="G264" s="9">
        <f>5.1947 * CHOOSE(CONTROL!$C$32, $C$9, 100%, $E$9)</f>
        <v>5.1947000000000001</v>
      </c>
      <c r="H264" s="9">
        <f>9.7013 * CHOOSE(CONTROL!$C$32, $C$9, 100%, $E$9)</f>
        <v>9.7012999999999998</v>
      </c>
      <c r="I264" s="9">
        <f>9.7045 * CHOOSE(CONTROL!$C$32, $C$9, 100%, $E$9)</f>
        <v>9.7044999999999995</v>
      </c>
      <c r="J264" s="9">
        <f>9.7013 * CHOOSE(CONTROL!$C$32, $C$9, 100%, $E$9)</f>
        <v>9.7012999999999998</v>
      </c>
      <c r="K264" s="9">
        <f>9.7045 * CHOOSE(CONTROL!$C$32, $C$9, 100%, $E$9)</f>
        <v>9.7044999999999995</v>
      </c>
      <c r="L264" s="9">
        <f>5.1915 * CHOOSE(CONTROL!$C$32, $C$9, 100%, $E$9)</f>
        <v>5.1914999999999996</v>
      </c>
      <c r="M264" s="9">
        <f>5.1947 * CHOOSE(CONTROL!$C$32, $C$9, 100%, $E$9)</f>
        <v>5.1947000000000001</v>
      </c>
      <c r="N264" s="9">
        <f>5.1915 * CHOOSE(CONTROL!$C$32, $C$9, 100%, $E$9)</f>
        <v>5.1914999999999996</v>
      </c>
      <c r="O264" s="9">
        <f>5.1947 * CHOOSE(CONTROL!$C$32, $C$9, 100%, $E$9)</f>
        <v>5.1947000000000001</v>
      </c>
    </row>
    <row r="265" spans="1:15" ht="15" x14ac:dyDescent="0.2">
      <c r="A265" s="16">
        <v>48914</v>
      </c>
      <c r="B265" s="10">
        <f>5.0848 * CHOOSE(CONTROL!$C$32, $C$9, 100%, $E$9)</f>
        <v>5.0848000000000004</v>
      </c>
      <c r="C265" s="10">
        <f>5.0848 * CHOOSE(CONTROL!$C$32, $C$9, 100%, $E$9)</f>
        <v>5.0848000000000004</v>
      </c>
      <c r="D265" s="10">
        <f>5.0857 * CHOOSE(CONTROL!$C$32, $C$9, 100%, $E$9)</f>
        <v>5.0857000000000001</v>
      </c>
      <c r="E265" s="9">
        <f>5.1452 * CHOOSE(CONTROL!$C$32, $C$9, 100%, $E$9)</f>
        <v>5.1452</v>
      </c>
      <c r="F265" s="9">
        <f>5.1452 * CHOOSE(CONTROL!$C$32, $C$9, 100%, $E$9)</f>
        <v>5.1452</v>
      </c>
      <c r="G265" s="9">
        <f>5.1484 * CHOOSE(CONTROL!$C$32, $C$9, 100%, $E$9)</f>
        <v>5.1483999999999996</v>
      </c>
      <c r="H265" s="9">
        <f>9.7215 * CHOOSE(CONTROL!$C$32, $C$9, 100%, $E$9)</f>
        <v>9.7215000000000007</v>
      </c>
      <c r="I265" s="9">
        <f>9.7248 * CHOOSE(CONTROL!$C$32, $C$9, 100%, $E$9)</f>
        <v>9.7248000000000001</v>
      </c>
      <c r="J265" s="9">
        <f>9.7215 * CHOOSE(CONTROL!$C$32, $C$9, 100%, $E$9)</f>
        <v>9.7215000000000007</v>
      </c>
      <c r="K265" s="9">
        <f>9.7248 * CHOOSE(CONTROL!$C$32, $C$9, 100%, $E$9)</f>
        <v>9.7248000000000001</v>
      </c>
      <c r="L265" s="9">
        <f>5.1452 * CHOOSE(CONTROL!$C$32, $C$9, 100%, $E$9)</f>
        <v>5.1452</v>
      </c>
      <c r="M265" s="9">
        <f>5.1484 * CHOOSE(CONTROL!$C$32, $C$9, 100%, $E$9)</f>
        <v>5.1483999999999996</v>
      </c>
      <c r="N265" s="9">
        <f>5.1452 * CHOOSE(CONTROL!$C$32, $C$9, 100%, $E$9)</f>
        <v>5.1452</v>
      </c>
      <c r="O265" s="9">
        <f>5.1484 * CHOOSE(CONTROL!$C$32, $C$9, 100%, $E$9)</f>
        <v>5.1483999999999996</v>
      </c>
    </row>
    <row r="266" spans="1:15" ht="15" x14ac:dyDescent="0.2">
      <c r="A266" s="16">
        <v>48945</v>
      </c>
      <c r="B266" s="10">
        <f>5.1288 * CHOOSE(CONTROL!$C$32, $C$9, 100%, $E$9)</f>
        <v>5.1288</v>
      </c>
      <c r="C266" s="10">
        <f>5.1288 * CHOOSE(CONTROL!$C$32, $C$9, 100%, $E$9)</f>
        <v>5.1288</v>
      </c>
      <c r="D266" s="10">
        <f>5.1297 * CHOOSE(CONTROL!$C$32, $C$9, 100%, $E$9)</f>
        <v>5.1296999999999997</v>
      </c>
      <c r="E266" s="9">
        <f>5.208 * CHOOSE(CONTROL!$C$32, $C$9, 100%, $E$9)</f>
        <v>5.2080000000000002</v>
      </c>
      <c r="F266" s="9">
        <f>5.208 * CHOOSE(CONTROL!$C$32, $C$9, 100%, $E$9)</f>
        <v>5.2080000000000002</v>
      </c>
      <c r="G266" s="9">
        <f>5.2112 * CHOOSE(CONTROL!$C$32, $C$9, 100%, $E$9)</f>
        <v>5.2111999999999998</v>
      </c>
      <c r="H266" s="9">
        <f>9.7418 * CHOOSE(CONTROL!$C$32, $C$9, 100%, $E$9)</f>
        <v>9.7417999999999996</v>
      </c>
      <c r="I266" s="9">
        <f>9.745 * CHOOSE(CONTROL!$C$32, $C$9, 100%, $E$9)</f>
        <v>9.7449999999999992</v>
      </c>
      <c r="J266" s="9">
        <f>9.7418 * CHOOSE(CONTROL!$C$32, $C$9, 100%, $E$9)</f>
        <v>9.7417999999999996</v>
      </c>
      <c r="K266" s="9">
        <f>9.745 * CHOOSE(CONTROL!$C$32, $C$9, 100%, $E$9)</f>
        <v>9.7449999999999992</v>
      </c>
      <c r="L266" s="9">
        <f>5.208 * CHOOSE(CONTROL!$C$32, $C$9, 100%, $E$9)</f>
        <v>5.2080000000000002</v>
      </c>
      <c r="M266" s="9">
        <f>5.2112 * CHOOSE(CONTROL!$C$32, $C$9, 100%, $E$9)</f>
        <v>5.2111999999999998</v>
      </c>
      <c r="N266" s="9">
        <f>5.208 * CHOOSE(CONTROL!$C$32, $C$9, 100%, $E$9)</f>
        <v>5.2080000000000002</v>
      </c>
      <c r="O266" s="9">
        <f>5.2112 * CHOOSE(CONTROL!$C$32, $C$9, 100%, $E$9)</f>
        <v>5.2111999999999998</v>
      </c>
    </row>
    <row r="267" spans="1:15" ht="15" x14ac:dyDescent="0.2">
      <c r="A267" s="16">
        <v>48976</v>
      </c>
      <c r="B267" s="10">
        <f>5.1257 * CHOOSE(CONTROL!$C$32, $C$9, 100%, $E$9)</f>
        <v>5.1257000000000001</v>
      </c>
      <c r="C267" s="10">
        <f>5.1257 * CHOOSE(CONTROL!$C$32, $C$9, 100%, $E$9)</f>
        <v>5.1257000000000001</v>
      </c>
      <c r="D267" s="10">
        <f>5.1267 * CHOOSE(CONTROL!$C$32, $C$9, 100%, $E$9)</f>
        <v>5.1266999999999996</v>
      </c>
      <c r="E267" s="9">
        <f>5.1156 * CHOOSE(CONTROL!$C$32, $C$9, 100%, $E$9)</f>
        <v>5.1155999999999997</v>
      </c>
      <c r="F267" s="9">
        <f>5.1156 * CHOOSE(CONTROL!$C$32, $C$9, 100%, $E$9)</f>
        <v>5.1155999999999997</v>
      </c>
      <c r="G267" s="9">
        <f>5.1189 * CHOOSE(CONTROL!$C$32, $C$9, 100%, $E$9)</f>
        <v>5.1189</v>
      </c>
      <c r="H267" s="9">
        <f>9.7621 * CHOOSE(CONTROL!$C$32, $C$9, 100%, $E$9)</f>
        <v>9.7621000000000002</v>
      </c>
      <c r="I267" s="9">
        <f>9.7653 * CHOOSE(CONTROL!$C$32, $C$9, 100%, $E$9)</f>
        <v>9.7652999999999999</v>
      </c>
      <c r="J267" s="9">
        <f>9.7621 * CHOOSE(CONTROL!$C$32, $C$9, 100%, $E$9)</f>
        <v>9.7621000000000002</v>
      </c>
      <c r="K267" s="9">
        <f>9.7653 * CHOOSE(CONTROL!$C$32, $C$9, 100%, $E$9)</f>
        <v>9.7652999999999999</v>
      </c>
      <c r="L267" s="9">
        <f>5.1156 * CHOOSE(CONTROL!$C$32, $C$9, 100%, $E$9)</f>
        <v>5.1155999999999997</v>
      </c>
      <c r="M267" s="9">
        <f>5.1189 * CHOOSE(CONTROL!$C$32, $C$9, 100%, $E$9)</f>
        <v>5.1189</v>
      </c>
      <c r="N267" s="9">
        <f>5.1156 * CHOOSE(CONTROL!$C$32, $C$9, 100%, $E$9)</f>
        <v>5.1155999999999997</v>
      </c>
      <c r="O267" s="9">
        <f>5.1189 * CHOOSE(CONTROL!$C$32, $C$9, 100%, $E$9)</f>
        <v>5.1189</v>
      </c>
    </row>
    <row r="268" spans="1:15" ht="15" x14ac:dyDescent="0.2">
      <c r="A268" s="16">
        <v>49004</v>
      </c>
      <c r="B268" s="10">
        <f>5.1227 * CHOOSE(CONTROL!$C$32, $C$9, 100%, $E$9)</f>
        <v>5.1227</v>
      </c>
      <c r="C268" s="10">
        <f>5.1227 * CHOOSE(CONTROL!$C$32, $C$9, 100%, $E$9)</f>
        <v>5.1227</v>
      </c>
      <c r="D268" s="10">
        <f>5.1236 * CHOOSE(CONTROL!$C$32, $C$9, 100%, $E$9)</f>
        <v>5.1235999999999997</v>
      </c>
      <c r="E268" s="9">
        <f>5.1847 * CHOOSE(CONTROL!$C$32, $C$9, 100%, $E$9)</f>
        <v>5.1847000000000003</v>
      </c>
      <c r="F268" s="9">
        <f>5.1847 * CHOOSE(CONTROL!$C$32, $C$9, 100%, $E$9)</f>
        <v>5.1847000000000003</v>
      </c>
      <c r="G268" s="9">
        <f>5.1879 * CHOOSE(CONTROL!$C$32, $C$9, 100%, $E$9)</f>
        <v>5.1879</v>
      </c>
      <c r="H268" s="9">
        <f>9.7824 * CHOOSE(CONTROL!$C$32, $C$9, 100%, $E$9)</f>
        <v>9.7824000000000009</v>
      </c>
      <c r="I268" s="9">
        <f>9.7856 * CHOOSE(CONTROL!$C$32, $C$9, 100%, $E$9)</f>
        <v>9.7856000000000005</v>
      </c>
      <c r="J268" s="9">
        <f>9.7824 * CHOOSE(CONTROL!$C$32, $C$9, 100%, $E$9)</f>
        <v>9.7824000000000009</v>
      </c>
      <c r="K268" s="9">
        <f>9.7856 * CHOOSE(CONTROL!$C$32, $C$9, 100%, $E$9)</f>
        <v>9.7856000000000005</v>
      </c>
      <c r="L268" s="9">
        <f>5.1847 * CHOOSE(CONTROL!$C$32, $C$9, 100%, $E$9)</f>
        <v>5.1847000000000003</v>
      </c>
      <c r="M268" s="9">
        <f>5.1879 * CHOOSE(CONTROL!$C$32, $C$9, 100%, $E$9)</f>
        <v>5.1879</v>
      </c>
      <c r="N268" s="9">
        <f>5.1847 * CHOOSE(CONTROL!$C$32, $C$9, 100%, $E$9)</f>
        <v>5.1847000000000003</v>
      </c>
      <c r="O268" s="9">
        <f>5.1879 * CHOOSE(CONTROL!$C$32, $C$9, 100%, $E$9)</f>
        <v>5.1879</v>
      </c>
    </row>
    <row r="269" spans="1:15" ht="15" x14ac:dyDescent="0.2">
      <c r="A269" s="16">
        <v>49035</v>
      </c>
      <c r="B269" s="10">
        <f>5.1216 * CHOOSE(CONTROL!$C$32, $C$9, 100%, $E$9)</f>
        <v>5.1215999999999999</v>
      </c>
      <c r="C269" s="10">
        <f>5.1216 * CHOOSE(CONTROL!$C$32, $C$9, 100%, $E$9)</f>
        <v>5.1215999999999999</v>
      </c>
      <c r="D269" s="10">
        <f>5.1225 * CHOOSE(CONTROL!$C$32, $C$9, 100%, $E$9)</f>
        <v>5.1224999999999996</v>
      </c>
      <c r="E269" s="9">
        <f>5.2569 * CHOOSE(CONTROL!$C$32, $C$9, 100%, $E$9)</f>
        <v>5.2568999999999999</v>
      </c>
      <c r="F269" s="9">
        <f>5.2569 * CHOOSE(CONTROL!$C$32, $C$9, 100%, $E$9)</f>
        <v>5.2568999999999999</v>
      </c>
      <c r="G269" s="9">
        <f>5.2601 * CHOOSE(CONTROL!$C$32, $C$9, 100%, $E$9)</f>
        <v>5.2601000000000004</v>
      </c>
      <c r="H269" s="9">
        <f>9.8028 * CHOOSE(CONTROL!$C$32, $C$9, 100%, $E$9)</f>
        <v>9.8027999999999995</v>
      </c>
      <c r="I269" s="9">
        <f>9.806 * CHOOSE(CONTROL!$C$32, $C$9, 100%, $E$9)</f>
        <v>9.8059999999999992</v>
      </c>
      <c r="J269" s="9">
        <f>9.8028 * CHOOSE(CONTROL!$C$32, $C$9, 100%, $E$9)</f>
        <v>9.8027999999999995</v>
      </c>
      <c r="K269" s="9">
        <f>9.806 * CHOOSE(CONTROL!$C$32, $C$9, 100%, $E$9)</f>
        <v>9.8059999999999992</v>
      </c>
      <c r="L269" s="9">
        <f>5.2569 * CHOOSE(CONTROL!$C$32, $C$9, 100%, $E$9)</f>
        <v>5.2568999999999999</v>
      </c>
      <c r="M269" s="9">
        <f>5.2601 * CHOOSE(CONTROL!$C$32, $C$9, 100%, $E$9)</f>
        <v>5.2601000000000004</v>
      </c>
      <c r="N269" s="9">
        <f>5.2569 * CHOOSE(CONTROL!$C$32, $C$9, 100%, $E$9)</f>
        <v>5.2568999999999999</v>
      </c>
      <c r="O269" s="9">
        <f>5.2601 * CHOOSE(CONTROL!$C$32, $C$9, 100%, $E$9)</f>
        <v>5.2601000000000004</v>
      </c>
    </row>
    <row r="270" spans="1:15" ht="15" x14ac:dyDescent="0.2">
      <c r="A270" s="16">
        <v>49065</v>
      </c>
      <c r="B270" s="10">
        <f>5.1216 * CHOOSE(CONTROL!$C$32, $C$9, 100%, $E$9)</f>
        <v>5.1215999999999999</v>
      </c>
      <c r="C270" s="10">
        <f>5.1216 * CHOOSE(CONTROL!$C$32, $C$9, 100%, $E$9)</f>
        <v>5.1215999999999999</v>
      </c>
      <c r="D270" s="10">
        <f>5.1228 * CHOOSE(CONTROL!$C$32, $C$9, 100%, $E$9)</f>
        <v>5.1227999999999998</v>
      </c>
      <c r="E270" s="9">
        <f>5.2855 * CHOOSE(CONTROL!$C$32, $C$9, 100%, $E$9)</f>
        <v>5.2854999999999999</v>
      </c>
      <c r="F270" s="9">
        <f>5.2855 * CHOOSE(CONTROL!$C$32, $C$9, 100%, $E$9)</f>
        <v>5.2854999999999999</v>
      </c>
      <c r="G270" s="9">
        <f>5.2897 * CHOOSE(CONTROL!$C$32, $C$9, 100%, $E$9)</f>
        <v>5.2896999999999998</v>
      </c>
      <c r="H270" s="9">
        <f>9.8232 * CHOOSE(CONTROL!$C$32, $C$9, 100%, $E$9)</f>
        <v>9.8231999999999999</v>
      </c>
      <c r="I270" s="9">
        <f>9.8274 * CHOOSE(CONTROL!$C$32, $C$9, 100%, $E$9)</f>
        <v>9.8274000000000008</v>
      </c>
      <c r="J270" s="9">
        <f>9.8232 * CHOOSE(CONTROL!$C$32, $C$9, 100%, $E$9)</f>
        <v>9.8231999999999999</v>
      </c>
      <c r="K270" s="9">
        <f>9.8274 * CHOOSE(CONTROL!$C$32, $C$9, 100%, $E$9)</f>
        <v>9.8274000000000008</v>
      </c>
      <c r="L270" s="9">
        <f>5.2855 * CHOOSE(CONTROL!$C$32, $C$9, 100%, $E$9)</f>
        <v>5.2854999999999999</v>
      </c>
      <c r="M270" s="9">
        <f>5.2897 * CHOOSE(CONTROL!$C$32, $C$9, 100%, $E$9)</f>
        <v>5.2896999999999998</v>
      </c>
      <c r="N270" s="9">
        <f>5.2855 * CHOOSE(CONTROL!$C$32, $C$9, 100%, $E$9)</f>
        <v>5.2854999999999999</v>
      </c>
      <c r="O270" s="9">
        <f>5.2897 * CHOOSE(CONTROL!$C$32, $C$9, 100%, $E$9)</f>
        <v>5.2896999999999998</v>
      </c>
    </row>
    <row r="271" spans="1:15" ht="15" x14ac:dyDescent="0.2">
      <c r="A271" s="16">
        <v>49096</v>
      </c>
      <c r="B271" s="10">
        <f>5.1277 * CHOOSE(CONTROL!$C$32, $C$9, 100%, $E$9)</f>
        <v>5.1276999999999999</v>
      </c>
      <c r="C271" s="10">
        <f>5.1277 * CHOOSE(CONTROL!$C$32, $C$9, 100%, $E$9)</f>
        <v>5.1276999999999999</v>
      </c>
      <c r="D271" s="10">
        <f>5.1289 * CHOOSE(CONTROL!$C$32, $C$9, 100%, $E$9)</f>
        <v>5.1288999999999998</v>
      </c>
      <c r="E271" s="9">
        <f>5.2611 * CHOOSE(CONTROL!$C$32, $C$9, 100%, $E$9)</f>
        <v>5.2610999999999999</v>
      </c>
      <c r="F271" s="9">
        <f>5.2611 * CHOOSE(CONTROL!$C$32, $C$9, 100%, $E$9)</f>
        <v>5.2610999999999999</v>
      </c>
      <c r="G271" s="9">
        <f>5.2653 * CHOOSE(CONTROL!$C$32, $C$9, 100%, $E$9)</f>
        <v>5.2652999999999999</v>
      </c>
      <c r="H271" s="9">
        <f>9.8437 * CHOOSE(CONTROL!$C$32, $C$9, 100%, $E$9)</f>
        <v>9.8437000000000001</v>
      </c>
      <c r="I271" s="9">
        <f>9.8479 * CHOOSE(CONTROL!$C$32, $C$9, 100%, $E$9)</f>
        <v>9.8478999999999992</v>
      </c>
      <c r="J271" s="9">
        <f>9.8437 * CHOOSE(CONTROL!$C$32, $C$9, 100%, $E$9)</f>
        <v>9.8437000000000001</v>
      </c>
      <c r="K271" s="9">
        <f>9.8479 * CHOOSE(CONTROL!$C$32, $C$9, 100%, $E$9)</f>
        <v>9.8478999999999992</v>
      </c>
      <c r="L271" s="9">
        <f>5.2611 * CHOOSE(CONTROL!$C$32, $C$9, 100%, $E$9)</f>
        <v>5.2610999999999999</v>
      </c>
      <c r="M271" s="9">
        <f>5.2653 * CHOOSE(CONTROL!$C$32, $C$9, 100%, $E$9)</f>
        <v>5.2652999999999999</v>
      </c>
      <c r="N271" s="9">
        <f>5.2611 * CHOOSE(CONTROL!$C$32, $C$9, 100%, $E$9)</f>
        <v>5.2610999999999999</v>
      </c>
      <c r="O271" s="9">
        <f>5.2653 * CHOOSE(CONTROL!$C$32, $C$9, 100%, $E$9)</f>
        <v>5.2652999999999999</v>
      </c>
    </row>
    <row r="272" spans="1:15" ht="15" x14ac:dyDescent="0.2">
      <c r="A272" s="16">
        <v>49126</v>
      </c>
      <c r="B272" s="10">
        <f>5.2067 * CHOOSE(CONTROL!$C$32, $C$9, 100%, $E$9)</f>
        <v>5.2066999999999997</v>
      </c>
      <c r="C272" s="10">
        <f>5.2067 * CHOOSE(CONTROL!$C$32, $C$9, 100%, $E$9)</f>
        <v>5.2066999999999997</v>
      </c>
      <c r="D272" s="10">
        <f>5.208 * CHOOSE(CONTROL!$C$32, $C$9, 100%, $E$9)</f>
        <v>5.2080000000000002</v>
      </c>
      <c r="E272" s="9">
        <f>5.3101 * CHOOSE(CONTROL!$C$32, $C$9, 100%, $E$9)</f>
        <v>5.3101000000000003</v>
      </c>
      <c r="F272" s="9">
        <f>5.3101 * CHOOSE(CONTROL!$C$32, $C$9, 100%, $E$9)</f>
        <v>5.3101000000000003</v>
      </c>
      <c r="G272" s="9">
        <f>5.3143 * CHOOSE(CONTROL!$C$32, $C$9, 100%, $E$9)</f>
        <v>5.3143000000000002</v>
      </c>
      <c r="H272" s="9">
        <f>9.8642 * CHOOSE(CONTROL!$C$32, $C$9, 100%, $E$9)</f>
        <v>9.8642000000000003</v>
      </c>
      <c r="I272" s="9">
        <f>9.8684 * CHOOSE(CONTROL!$C$32, $C$9, 100%, $E$9)</f>
        <v>9.8683999999999994</v>
      </c>
      <c r="J272" s="9">
        <f>9.8642 * CHOOSE(CONTROL!$C$32, $C$9, 100%, $E$9)</f>
        <v>9.8642000000000003</v>
      </c>
      <c r="K272" s="9">
        <f>9.8684 * CHOOSE(CONTROL!$C$32, $C$9, 100%, $E$9)</f>
        <v>9.8683999999999994</v>
      </c>
      <c r="L272" s="9">
        <f>5.3101 * CHOOSE(CONTROL!$C$32, $C$9, 100%, $E$9)</f>
        <v>5.3101000000000003</v>
      </c>
      <c r="M272" s="9">
        <f>5.3143 * CHOOSE(CONTROL!$C$32, $C$9, 100%, $E$9)</f>
        <v>5.3143000000000002</v>
      </c>
      <c r="N272" s="9">
        <f>5.3101 * CHOOSE(CONTROL!$C$32, $C$9, 100%, $E$9)</f>
        <v>5.3101000000000003</v>
      </c>
      <c r="O272" s="9">
        <f>5.3143 * CHOOSE(CONTROL!$C$32, $C$9, 100%, $E$9)</f>
        <v>5.3143000000000002</v>
      </c>
    </row>
    <row r="273" spans="1:15" ht="15" x14ac:dyDescent="0.2">
      <c r="A273" s="16">
        <v>49157</v>
      </c>
      <c r="B273" s="10">
        <f>5.2134 * CHOOSE(CONTROL!$C$32, $C$9, 100%, $E$9)</f>
        <v>5.2134</v>
      </c>
      <c r="C273" s="10">
        <f>5.2134 * CHOOSE(CONTROL!$C$32, $C$9, 100%, $E$9)</f>
        <v>5.2134</v>
      </c>
      <c r="D273" s="10">
        <f>5.2146 * CHOOSE(CONTROL!$C$32, $C$9, 100%, $E$9)</f>
        <v>5.2145999999999999</v>
      </c>
      <c r="E273" s="9">
        <f>5.2288 * CHOOSE(CONTROL!$C$32, $C$9, 100%, $E$9)</f>
        <v>5.2287999999999997</v>
      </c>
      <c r="F273" s="9">
        <f>5.2288 * CHOOSE(CONTROL!$C$32, $C$9, 100%, $E$9)</f>
        <v>5.2287999999999997</v>
      </c>
      <c r="G273" s="9">
        <f>5.233 * CHOOSE(CONTROL!$C$32, $C$9, 100%, $E$9)</f>
        <v>5.2329999999999997</v>
      </c>
      <c r="H273" s="9">
        <f>9.8847 * CHOOSE(CONTROL!$C$32, $C$9, 100%, $E$9)</f>
        <v>9.8847000000000005</v>
      </c>
      <c r="I273" s="9">
        <f>9.8889 * CHOOSE(CONTROL!$C$32, $C$9, 100%, $E$9)</f>
        <v>9.8888999999999996</v>
      </c>
      <c r="J273" s="9">
        <f>9.8847 * CHOOSE(CONTROL!$C$32, $C$9, 100%, $E$9)</f>
        <v>9.8847000000000005</v>
      </c>
      <c r="K273" s="9">
        <f>9.8889 * CHOOSE(CONTROL!$C$32, $C$9, 100%, $E$9)</f>
        <v>9.8888999999999996</v>
      </c>
      <c r="L273" s="9">
        <f>5.2288 * CHOOSE(CONTROL!$C$32, $C$9, 100%, $E$9)</f>
        <v>5.2287999999999997</v>
      </c>
      <c r="M273" s="9">
        <f>5.233 * CHOOSE(CONTROL!$C$32, $C$9, 100%, $E$9)</f>
        <v>5.2329999999999997</v>
      </c>
      <c r="N273" s="9">
        <f>5.2288 * CHOOSE(CONTROL!$C$32, $C$9, 100%, $E$9)</f>
        <v>5.2287999999999997</v>
      </c>
      <c r="O273" s="9">
        <f>5.233 * CHOOSE(CONTROL!$C$32, $C$9, 100%, $E$9)</f>
        <v>5.2329999999999997</v>
      </c>
    </row>
    <row r="274" spans="1:15" ht="15" x14ac:dyDescent="0.2">
      <c r="A274" s="16">
        <v>49188</v>
      </c>
      <c r="B274" s="10">
        <f>5.2104 * CHOOSE(CONTROL!$C$32, $C$9, 100%, $E$9)</f>
        <v>5.2103999999999999</v>
      </c>
      <c r="C274" s="10">
        <f>5.2104 * CHOOSE(CONTROL!$C$32, $C$9, 100%, $E$9)</f>
        <v>5.2103999999999999</v>
      </c>
      <c r="D274" s="10">
        <f>5.2116 * CHOOSE(CONTROL!$C$32, $C$9, 100%, $E$9)</f>
        <v>5.2115999999999998</v>
      </c>
      <c r="E274" s="9">
        <f>5.2171 * CHOOSE(CONTROL!$C$32, $C$9, 100%, $E$9)</f>
        <v>5.2171000000000003</v>
      </c>
      <c r="F274" s="9">
        <f>5.2171 * CHOOSE(CONTROL!$C$32, $C$9, 100%, $E$9)</f>
        <v>5.2171000000000003</v>
      </c>
      <c r="G274" s="9">
        <f>5.2213 * CHOOSE(CONTROL!$C$32, $C$9, 100%, $E$9)</f>
        <v>5.2213000000000003</v>
      </c>
      <c r="H274" s="9">
        <f>9.9053 * CHOOSE(CONTROL!$C$32, $C$9, 100%, $E$9)</f>
        <v>9.9053000000000004</v>
      </c>
      <c r="I274" s="9">
        <f>9.9095 * CHOOSE(CONTROL!$C$32, $C$9, 100%, $E$9)</f>
        <v>9.9094999999999995</v>
      </c>
      <c r="J274" s="9">
        <f>9.9053 * CHOOSE(CONTROL!$C$32, $C$9, 100%, $E$9)</f>
        <v>9.9053000000000004</v>
      </c>
      <c r="K274" s="9">
        <f>9.9095 * CHOOSE(CONTROL!$C$32, $C$9, 100%, $E$9)</f>
        <v>9.9094999999999995</v>
      </c>
      <c r="L274" s="9">
        <f>5.2171 * CHOOSE(CONTROL!$C$32, $C$9, 100%, $E$9)</f>
        <v>5.2171000000000003</v>
      </c>
      <c r="M274" s="9">
        <f>5.2213 * CHOOSE(CONTROL!$C$32, $C$9, 100%, $E$9)</f>
        <v>5.2213000000000003</v>
      </c>
      <c r="N274" s="9">
        <f>5.2171 * CHOOSE(CONTROL!$C$32, $C$9, 100%, $E$9)</f>
        <v>5.2171000000000003</v>
      </c>
      <c r="O274" s="9">
        <f>5.2213 * CHOOSE(CONTROL!$C$32, $C$9, 100%, $E$9)</f>
        <v>5.2213000000000003</v>
      </c>
    </row>
    <row r="275" spans="1:15" ht="15" x14ac:dyDescent="0.2">
      <c r="A275" s="16">
        <v>49218</v>
      </c>
      <c r="B275" s="10">
        <f>5.2106 * CHOOSE(CONTROL!$C$32, $C$9, 100%, $E$9)</f>
        <v>5.2106000000000003</v>
      </c>
      <c r="C275" s="10">
        <f>5.2106 * CHOOSE(CONTROL!$C$32, $C$9, 100%, $E$9)</f>
        <v>5.2106000000000003</v>
      </c>
      <c r="D275" s="10">
        <f>5.2115 * CHOOSE(CONTROL!$C$32, $C$9, 100%, $E$9)</f>
        <v>5.2115</v>
      </c>
      <c r="E275" s="9">
        <f>5.2419 * CHOOSE(CONTROL!$C$32, $C$9, 100%, $E$9)</f>
        <v>5.2419000000000002</v>
      </c>
      <c r="F275" s="9">
        <f>5.2419 * CHOOSE(CONTROL!$C$32, $C$9, 100%, $E$9)</f>
        <v>5.2419000000000002</v>
      </c>
      <c r="G275" s="9">
        <f>5.2451 * CHOOSE(CONTROL!$C$32, $C$9, 100%, $E$9)</f>
        <v>5.2450999999999999</v>
      </c>
      <c r="H275" s="9">
        <f>9.926 * CHOOSE(CONTROL!$C$32, $C$9, 100%, $E$9)</f>
        <v>9.9260000000000002</v>
      </c>
      <c r="I275" s="9">
        <f>9.9292 * CHOOSE(CONTROL!$C$32, $C$9, 100%, $E$9)</f>
        <v>9.9291999999999998</v>
      </c>
      <c r="J275" s="9">
        <f>9.926 * CHOOSE(CONTROL!$C$32, $C$9, 100%, $E$9)</f>
        <v>9.9260000000000002</v>
      </c>
      <c r="K275" s="9">
        <f>9.9292 * CHOOSE(CONTROL!$C$32, $C$9, 100%, $E$9)</f>
        <v>9.9291999999999998</v>
      </c>
      <c r="L275" s="9">
        <f>5.2419 * CHOOSE(CONTROL!$C$32, $C$9, 100%, $E$9)</f>
        <v>5.2419000000000002</v>
      </c>
      <c r="M275" s="9">
        <f>5.2451 * CHOOSE(CONTROL!$C$32, $C$9, 100%, $E$9)</f>
        <v>5.2450999999999999</v>
      </c>
      <c r="N275" s="9">
        <f>5.2419 * CHOOSE(CONTROL!$C$32, $C$9, 100%, $E$9)</f>
        <v>5.2419000000000002</v>
      </c>
      <c r="O275" s="9">
        <f>5.2451 * CHOOSE(CONTROL!$C$32, $C$9, 100%, $E$9)</f>
        <v>5.2450999999999999</v>
      </c>
    </row>
    <row r="276" spans="1:15" ht="15" x14ac:dyDescent="0.2">
      <c r="A276" s="16">
        <v>49249</v>
      </c>
      <c r="B276" s="10">
        <f>5.2136 * CHOOSE(CONTROL!$C$32, $C$9, 100%, $E$9)</f>
        <v>5.2135999999999996</v>
      </c>
      <c r="C276" s="10">
        <f>5.2136 * CHOOSE(CONTROL!$C$32, $C$9, 100%, $E$9)</f>
        <v>5.2135999999999996</v>
      </c>
      <c r="D276" s="10">
        <f>5.2146 * CHOOSE(CONTROL!$C$32, $C$9, 100%, $E$9)</f>
        <v>5.2145999999999999</v>
      </c>
      <c r="E276" s="9">
        <f>5.2631 * CHOOSE(CONTROL!$C$32, $C$9, 100%, $E$9)</f>
        <v>5.2630999999999997</v>
      </c>
      <c r="F276" s="9">
        <f>5.2631 * CHOOSE(CONTROL!$C$32, $C$9, 100%, $E$9)</f>
        <v>5.2630999999999997</v>
      </c>
      <c r="G276" s="9">
        <f>5.2663 * CHOOSE(CONTROL!$C$32, $C$9, 100%, $E$9)</f>
        <v>5.2663000000000002</v>
      </c>
      <c r="H276" s="9">
        <f>9.9466 * CHOOSE(CONTROL!$C$32, $C$9, 100%, $E$9)</f>
        <v>9.9466000000000001</v>
      </c>
      <c r="I276" s="9">
        <f>9.9499 * CHOOSE(CONTROL!$C$32, $C$9, 100%, $E$9)</f>
        <v>9.9498999999999995</v>
      </c>
      <c r="J276" s="9">
        <f>9.9466 * CHOOSE(CONTROL!$C$32, $C$9, 100%, $E$9)</f>
        <v>9.9466000000000001</v>
      </c>
      <c r="K276" s="9">
        <f>9.9499 * CHOOSE(CONTROL!$C$32, $C$9, 100%, $E$9)</f>
        <v>9.9498999999999995</v>
      </c>
      <c r="L276" s="9">
        <f>5.2631 * CHOOSE(CONTROL!$C$32, $C$9, 100%, $E$9)</f>
        <v>5.2630999999999997</v>
      </c>
      <c r="M276" s="9">
        <f>5.2663 * CHOOSE(CONTROL!$C$32, $C$9, 100%, $E$9)</f>
        <v>5.2663000000000002</v>
      </c>
      <c r="N276" s="9">
        <f>5.2631 * CHOOSE(CONTROL!$C$32, $C$9, 100%, $E$9)</f>
        <v>5.2630999999999997</v>
      </c>
      <c r="O276" s="9">
        <f>5.2663 * CHOOSE(CONTROL!$C$32, $C$9, 100%, $E$9)</f>
        <v>5.2663000000000002</v>
      </c>
    </row>
    <row r="277" spans="1:15" ht="15" x14ac:dyDescent="0.2">
      <c r="A277" s="16">
        <v>49279</v>
      </c>
      <c r="B277" s="10">
        <f>5.2136 * CHOOSE(CONTROL!$C$32, $C$9, 100%, $E$9)</f>
        <v>5.2135999999999996</v>
      </c>
      <c r="C277" s="10">
        <f>5.2136 * CHOOSE(CONTROL!$C$32, $C$9, 100%, $E$9)</f>
        <v>5.2135999999999996</v>
      </c>
      <c r="D277" s="10">
        <f>5.2146 * CHOOSE(CONTROL!$C$32, $C$9, 100%, $E$9)</f>
        <v>5.2145999999999999</v>
      </c>
      <c r="E277" s="9">
        <f>5.2153 * CHOOSE(CONTROL!$C$32, $C$9, 100%, $E$9)</f>
        <v>5.2153</v>
      </c>
      <c r="F277" s="9">
        <f>5.2153 * CHOOSE(CONTROL!$C$32, $C$9, 100%, $E$9)</f>
        <v>5.2153</v>
      </c>
      <c r="G277" s="9">
        <f>5.2186 * CHOOSE(CONTROL!$C$32, $C$9, 100%, $E$9)</f>
        <v>5.2186000000000003</v>
      </c>
      <c r="H277" s="9">
        <f>9.9674 * CHOOSE(CONTROL!$C$32, $C$9, 100%, $E$9)</f>
        <v>9.9673999999999996</v>
      </c>
      <c r="I277" s="9">
        <f>9.9706 * CHOOSE(CONTROL!$C$32, $C$9, 100%, $E$9)</f>
        <v>9.9705999999999992</v>
      </c>
      <c r="J277" s="9">
        <f>9.9674 * CHOOSE(CONTROL!$C$32, $C$9, 100%, $E$9)</f>
        <v>9.9673999999999996</v>
      </c>
      <c r="K277" s="9">
        <f>9.9706 * CHOOSE(CONTROL!$C$32, $C$9, 100%, $E$9)</f>
        <v>9.9705999999999992</v>
      </c>
      <c r="L277" s="9">
        <f>5.2153 * CHOOSE(CONTROL!$C$32, $C$9, 100%, $E$9)</f>
        <v>5.2153</v>
      </c>
      <c r="M277" s="9">
        <f>5.2186 * CHOOSE(CONTROL!$C$32, $C$9, 100%, $E$9)</f>
        <v>5.2186000000000003</v>
      </c>
      <c r="N277" s="9">
        <f>5.2153 * CHOOSE(CONTROL!$C$32, $C$9, 100%, $E$9)</f>
        <v>5.2153</v>
      </c>
      <c r="O277" s="9">
        <f>5.2186 * CHOOSE(CONTROL!$C$32, $C$9, 100%, $E$9)</f>
        <v>5.2186000000000003</v>
      </c>
    </row>
    <row r="278" spans="1:15" ht="15" x14ac:dyDescent="0.2">
      <c r="A278" s="16">
        <v>49310</v>
      </c>
      <c r="B278" s="10">
        <f>5.2626 * CHOOSE(CONTROL!$C$32, $C$9, 100%, $E$9)</f>
        <v>5.2625999999999999</v>
      </c>
      <c r="C278" s="10">
        <f>5.2626 * CHOOSE(CONTROL!$C$32, $C$9, 100%, $E$9)</f>
        <v>5.2625999999999999</v>
      </c>
      <c r="D278" s="10">
        <f>5.2635 * CHOOSE(CONTROL!$C$32, $C$9, 100%, $E$9)</f>
        <v>5.2634999999999996</v>
      </c>
      <c r="E278" s="9">
        <f>5.2803 * CHOOSE(CONTROL!$C$32, $C$9, 100%, $E$9)</f>
        <v>5.2803000000000004</v>
      </c>
      <c r="F278" s="9">
        <f>5.2803 * CHOOSE(CONTROL!$C$32, $C$9, 100%, $E$9)</f>
        <v>5.2803000000000004</v>
      </c>
      <c r="G278" s="9">
        <f>5.2835 * CHOOSE(CONTROL!$C$32, $C$9, 100%, $E$9)</f>
        <v>5.2835000000000001</v>
      </c>
      <c r="H278" s="9">
        <f>9.9881 * CHOOSE(CONTROL!$C$32, $C$9, 100%, $E$9)</f>
        <v>9.9880999999999993</v>
      </c>
      <c r="I278" s="9">
        <f>9.9914 * CHOOSE(CONTROL!$C$32, $C$9, 100%, $E$9)</f>
        <v>9.9914000000000005</v>
      </c>
      <c r="J278" s="9">
        <f>9.9881 * CHOOSE(CONTROL!$C$32, $C$9, 100%, $E$9)</f>
        <v>9.9880999999999993</v>
      </c>
      <c r="K278" s="9">
        <f>9.9914 * CHOOSE(CONTROL!$C$32, $C$9, 100%, $E$9)</f>
        <v>9.9914000000000005</v>
      </c>
      <c r="L278" s="9">
        <f>5.2803 * CHOOSE(CONTROL!$C$32, $C$9, 100%, $E$9)</f>
        <v>5.2803000000000004</v>
      </c>
      <c r="M278" s="9">
        <f>5.2835 * CHOOSE(CONTROL!$C$32, $C$9, 100%, $E$9)</f>
        <v>5.2835000000000001</v>
      </c>
      <c r="N278" s="9">
        <f>5.2803 * CHOOSE(CONTROL!$C$32, $C$9, 100%, $E$9)</f>
        <v>5.2803000000000004</v>
      </c>
      <c r="O278" s="9">
        <f>5.2835 * CHOOSE(CONTROL!$C$32, $C$9, 100%, $E$9)</f>
        <v>5.2835000000000001</v>
      </c>
    </row>
    <row r="279" spans="1:15" ht="15" x14ac:dyDescent="0.2">
      <c r="A279" s="16">
        <v>49341</v>
      </c>
      <c r="B279" s="10">
        <f>5.2595 * CHOOSE(CONTROL!$C$32, $C$9, 100%, $E$9)</f>
        <v>5.2595000000000001</v>
      </c>
      <c r="C279" s="10">
        <f>5.2595 * CHOOSE(CONTROL!$C$32, $C$9, 100%, $E$9)</f>
        <v>5.2595000000000001</v>
      </c>
      <c r="D279" s="10">
        <f>5.2605 * CHOOSE(CONTROL!$C$32, $C$9, 100%, $E$9)</f>
        <v>5.2605000000000004</v>
      </c>
      <c r="E279" s="9">
        <f>5.185 * CHOOSE(CONTROL!$C$32, $C$9, 100%, $E$9)</f>
        <v>5.1849999999999996</v>
      </c>
      <c r="F279" s="9">
        <f>5.185 * CHOOSE(CONTROL!$C$32, $C$9, 100%, $E$9)</f>
        <v>5.1849999999999996</v>
      </c>
      <c r="G279" s="9">
        <f>5.1882 * CHOOSE(CONTROL!$C$32, $C$9, 100%, $E$9)</f>
        <v>5.1882000000000001</v>
      </c>
      <c r="H279" s="9">
        <f>10.0089 * CHOOSE(CONTROL!$C$32, $C$9, 100%, $E$9)</f>
        <v>10.008900000000001</v>
      </c>
      <c r="I279" s="9">
        <f>10.0122 * CHOOSE(CONTROL!$C$32, $C$9, 100%, $E$9)</f>
        <v>10.0122</v>
      </c>
      <c r="J279" s="9">
        <f>10.0089 * CHOOSE(CONTROL!$C$32, $C$9, 100%, $E$9)</f>
        <v>10.008900000000001</v>
      </c>
      <c r="K279" s="9">
        <f>10.0122 * CHOOSE(CONTROL!$C$32, $C$9, 100%, $E$9)</f>
        <v>10.0122</v>
      </c>
      <c r="L279" s="9">
        <f>5.185 * CHOOSE(CONTROL!$C$32, $C$9, 100%, $E$9)</f>
        <v>5.1849999999999996</v>
      </c>
      <c r="M279" s="9">
        <f>5.1882 * CHOOSE(CONTROL!$C$32, $C$9, 100%, $E$9)</f>
        <v>5.1882000000000001</v>
      </c>
      <c r="N279" s="9">
        <f>5.185 * CHOOSE(CONTROL!$C$32, $C$9, 100%, $E$9)</f>
        <v>5.1849999999999996</v>
      </c>
      <c r="O279" s="9">
        <f>5.1882 * CHOOSE(CONTROL!$C$32, $C$9, 100%, $E$9)</f>
        <v>5.1882000000000001</v>
      </c>
    </row>
    <row r="280" spans="1:15" ht="15" x14ac:dyDescent="0.2">
      <c r="A280" s="16">
        <v>49369</v>
      </c>
      <c r="B280" s="10">
        <f>5.2565 * CHOOSE(CONTROL!$C$32, $C$9, 100%, $E$9)</f>
        <v>5.2565</v>
      </c>
      <c r="C280" s="10">
        <f>5.2565 * CHOOSE(CONTROL!$C$32, $C$9, 100%, $E$9)</f>
        <v>5.2565</v>
      </c>
      <c r="D280" s="10">
        <f>5.2575 * CHOOSE(CONTROL!$C$32, $C$9, 100%, $E$9)</f>
        <v>5.2575000000000003</v>
      </c>
      <c r="E280" s="9">
        <f>5.2563 * CHOOSE(CONTROL!$C$32, $C$9, 100%, $E$9)</f>
        <v>5.2563000000000004</v>
      </c>
      <c r="F280" s="9">
        <f>5.2563 * CHOOSE(CONTROL!$C$32, $C$9, 100%, $E$9)</f>
        <v>5.2563000000000004</v>
      </c>
      <c r="G280" s="9">
        <f>5.2595 * CHOOSE(CONTROL!$C$32, $C$9, 100%, $E$9)</f>
        <v>5.2595000000000001</v>
      </c>
      <c r="H280" s="9">
        <f>10.0298 * CHOOSE(CONTROL!$C$32, $C$9, 100%, $E$9)</f>
        <v>10.0298</v>
      </c>
      <c r="I280" s="9">
        <f>10.033 * CHOOSE(CONTROL!$C$32, $C$9, 100%, $E$9)</f>
        <v>10.032999999999999</v>
      </c>
      <c r="J280" s="9">
        <f>10.0298 * CHOOSE(CONTROL!$C$32, $C$9, 100%, $E$9)</f>
        <v>10.0298</v>
      </c>
      <c r="K280" s="9">
        <f>10.033 * CHOOSE(CONTROL!$C$32, $C$9, 100%, $E$9)</f>
        <v>10.032999999999999</v>
      </c>
      <c r="L280" s="9">
        <f>5.2563 * CHOOSE(CONTROL!$C$32, $C$9, 100%, $E$9)</f>
        <v>5.2563000000000004</v>
      </c>
      <c r="M280" s="9">
        <f>5.2595 * CHOOSE(CONTROL!$C$32, $C$9, 100%, $E$9)</f>
        <v>5.2595000000000001</v>
      </c>
      <c r="N280" s="9">
        <f>5.2563 * CHOOSE(CONTROL!$C$32, $C$9, 100%, $E$9)</f>
        <v>5.2563000000000004</v>
      </c>
      <c r="O280" s="9">
        <f>5.2595 * CHOOSE(CONTROL!$C$32, $C$9, 100%, $E$9)</f>
        <v>5.2595000000000001</v>
      </c>
    </row>
    <row r="281" spans="1:15" ht="15" x14ac:dyDescent="0.2">
      <c r="A281" s="16">
        <v>49400</v>
      </c>
      <c r="B281" s="10">
        <f>5.2555 * CHOOSE(CONTROL!$C$32, $C$9, 100%, $E$9)</f>
        <v>5.2554999999999996</v>
      </c>
      <c r="C281" s="10">
        <f>5.2555 * CHOOSE(CONTROL!$C$32, $C$9, 100%, $E$9)</f>
        <v>5.2554999999999996</v>
      </c>
      <c r="D281" s="10">
        <f>5.2565 * CHOOSE(CONTROL!$C$32, $C$9, 100%, $E$9)</f>
        <v>5.2565</v>
      </c>
      <c r="E281" s="9">
        <f>5.331 * CHOOSE(CONTROL!$C$32, $C$9, 100%, $E$9)</f>
        <v>5.3310000000000004</v>
      </c>
      <c r="F281" s="9">
        <f>5.331 * CHOOSE(CONTROL!$C$32, $C$9, 100%, $E$9)</f>
        <v>5.3310000000000004</v>
      </c>
      <c r="G281" s="9">
        <f>5.3342 * CHOOSE(CONTROL!$C$32, $C$9, 100%, $E$9)</f>
        <v>5.3342000000000001</v>
      </c>
      <c r="H281" s="9">
        <f>10.0507 * CHOOSE(CONTROL!$C$32, $C$9, 100%, $E$9)</f>
        <v>10.050700000000001</v>
      </c>
      <c r="I281" s="9">
        <f>10.0539 * CHOOSE(CONTROL!$C$32, $C$9, 100%, $E$9)</f>
        <v>10.053900000000001</v>
      </c>
      <c r="J281" s="9">
        <f>10.0507 * CHOOSE(CONTROL!$C$32, $C$9, 100%, $E$9)</f>
        <v>10.050700000000001</v>
      </c>
      <c r="K281" s="9">
        <f>10.0539 * CHOOSE(CONTROL!$C$32, $C$9, 100%, $E$9)</f>
        <v>10.053900000000001</v>
      </c>
      <c r="L281" s="9">
        <f>5.331 * CHOOSE(CONTROL!$C$32, $C$9, 100%, $E$9)</f>
        <v>5.3310000000000004</v>
      </c>
      <c r="M281" s="9">
        <f>5.3342 * CHOOSE(CONTROL!$C$32, $C$9, 100%, $E$9)</f>
        <v>5.3342000000000001</v>
      </c>
      <c r="N281" s="9">
        <f>5.331 * CHOOSE(CONTROL!$C$32, $C$9, 100%, $E$9)</f>
        <v>5.3310000000000004</v>
      </c>
      <c r="O281" s="9">
        <f>5.3342 * CHOOSE(CONTROL!$C$32, $C$9, 100%, $E$9)</f>
        <v>5.3342000000000001</v>
      </c>
    </row>
    <row r="282" spans="1:15" ht="15" x14ac:dyDescent="0.2">
      <c r="A282" s="16">
        <v>49430</v>
      </c>
      <c r="B282" s="10">
        <f>5.2555 * CHOOSE(CONTROL!$C$32, $C$9, 100%, $E$9)</f>
        <v>5.2554999999999996</v>
      </c>
      <c r="C282" s="10">
        <f>5.2555 * CHOOSE(CONTROL!$C$32, $C$9, 100%, $E$9)</f>
        <v>5.2554999999999996</v>
      </c>
      <c r="D282" s="10">
        <f>5.2568 * CHOOSE(CONTROL!$C$32, $C$9, 100%, $E$9)</f>
        <v>5.2568000000000001</v>
      </c>
      <c r="E282" s="9">
        <f>5.3606 * CHOOSE(CONTROL!$C$32, $C$9, 100%, $E$9)</f>
        <v>5.3605999999999998</v>
      </c>
      <c r="F282" s="9">
        <f>5.3606 * CHOOSE(CONTROL!$C$32, $C$9, 100%, $E$9)</f>
        <v>5.3605999999999998</v>
      </c>
      <c r="G282" s="9">
        <f>5.3648 * CHOOSE(CONTROL!$C$32, $C$9, 100%, $E$9)</f>
        <v>5.3647999999999998</v>
      </c>
      <c r="H282" s="9">
        <f>10.0716 * CHOOSE(CONTROL!$C$32, $C$9, 100%, $E$9)</f>
        <v>10.0716</v>
      </c>
      <c r="I282" s="9">
        <f>10.0758 * CHOOSE(CONTROL!$C$32, $C$9, 100%, $E$9)</f>
        <v>10.075799999999999</v>
      </c>
      <c r="J282" s="9">
        <f>10.0716 * CHOOSE(CONTROL!$C$32, $C$9, 100%, $E$9)</f>
        <v>10.0716</v>
      </c>
      <c r="K282" s="9">
        <f>10.0758 * CHOOSE(CONTROL!$C$32, $C$9, 100%, $E$9)</f>
        <v>10.075799999999999</v>
      </c>
      <c r="L282" s="9">
        <f>5.3606 * CHOOSE(CONTROL!$C$32, $C$9, 100%, $E$9)</f>
        <v>5.3605999999999998</v>
      </c>
      <c r="M282" s="9">
        <f>5.3648 * CHOOSE(CONTROL!$C$32, $C$9, 100%, $E$9)</f>
        <v>5.3647999999999998</v>
      </c>
      <c r="N282" s="9">
        <f>5.3606 * CHOOSE(CONTROL!$C$32, $C$9, 100%, $E$9)</f>
        <v>5.3605999999999998</v>
      </c>
      <c r="O282" s="9">
        <f>5.3648 * CHOOSE(CONTROL!$C$32, $C$9, 100%, $E$9)</f>
        <v>5.3647999999999998</v>
      </c>
    </row>
    <row r="283" spans="1:15" ht="15" x14ac:dyDescent="0.2">
      <c r="A283" s="15">
        <v>49461</v>
      </c>
      <c r="B283" s="10">
        <f>5.2616 * CHOOSE(CONTROL!$C$32, $C$9, 100%, $E$9)</f>
        <v>5.2615999999999996</v>
      </c>
      <c r="C283" s="10">
        <f>5.2616 * CHOOSE(CONTROL!$C$32, $C$9, 100%, $E$9)</f>
        <v>5.2615999999999996</v>
      </c>
      <c r="D283" s="10">
        <f>5.2629 * CHOOSE(CONTROL!$C$32, $C$9, 100%, $E$9)</f>
        <v>5.2629000000000001</v>
      </c>
      <c r="E283" s="9">
        <f>5.3352 * CHOOSE(CONTROL!$C$32, $C$9, 100%, $E$9)</f>
        <v>5.3352000000000004</v>
      </c>
      <c r="F283" s="9">
        <f>5.3352 * CHOOSE(CONTROL!$C$32, $C$9, 100%, $E$9)</f>
        <v>5.3352000000000004</v>
      </c>
      <c r="G283" s="9">
        <f>5.3394 * CHOOSE(CONTROL!$C$32, $C$9, 100%, $E$9)</f>
        <v>5.3394000000000004</v>
      </c>
      <c r="H283" s="9">
        <f>10.0926 * CHOOSE(CONTROL!$C$32, $C$9, 100%, $E$9)</f>
        <v>10.092599999999999</v>
      </c>
      <c r="I283" s="9">
        <f>10.0968 * CHOOSE(CONTROL!$C$32, $C$9, 100%, $E$9)</f>
        <v>10.0968</v>
      </c>
      <c r="J283" s="9">
        <f>10.0926 * CHOOSE(CONTROL!$C$32, $C$9, 100%, $E$9)</f>
        <v>10.092599999999999</v>
      </c>
      <c r="K283" s="9">
        <f>10.0968 * CHOOSE(CONTROL!$C$32, $C$9, 100%, $E$9)</f>
        <v>10.0968</v>
      </c>
      <c r="L283" s="9">
        <f>5.3352 * CHOOSE(CONTROL!$C$32, $C$9, 100%, $E$9)</f>
        <v>5.3352000000000004</v>
      </c>
      <c r="M283" s="9">
        <f>5.3394 * CHOOSE(CONTROL!$C$32, $C$9, 100%, $E$9)</f>
        <v>5.3394000000000004</v>
      </c>
      <c r="N283" s="9">
        <f>5.3352 * CHOOSE(CONTROL!$C$32, $C$9, 100%, $E$9)</f>
        <v>5.3352000000000004</v>
      </c>
      <c r="O283" s="9">
        <f>5.3394 * CHOOSE(CONTROL!$C$32, $C$9, 100%, $E$9)</f>
        <v>5.3394000000000004</v>
      </c>
    </row>
    <row r="284" spans="1:15" ht="15" x14ac:dyDescent="0.2">
      <c r="A284" s="15">
        <v>49491</v>
      </c>
      <c r="B284" s="10">
        <f>5.3505 * CHOOSE(CONTROL!$C$32, $C$9, 100%, $E$9)</f>
        <v>5.3505000000000003</v>
      </c>
      <c r="C284" s="10">
        <f>5.3505 * CHOOSE(CONTROL!$C$32, $C$9, 100%, $E$9)</f>
        <v>5.3505000000000003</v>
      </c>
      <c r="D284" s="10">
        <f>5.3518 * CHOOSE(CONTROL!$C$32, $C$9, 100%, $E$9)</f>
        <v>5.3517999999999999</v>
      </c>
      <c r="E284" s="9">
        <f>5.3835 * CHOOSE(CONTROL!$C$32, $C$9, 100%, $E$9)</f>
        <v>5.3834999999999997</v>
      </c>
      <c r="F284" s="9">
        <f>5.3835 * CHOOSE(CONTROL!$C$32, $C$9, 100%, $E$9)</f>
        <v>5.3834999999999997</v>
      </c>
      <c r="G284" s="9">
        <f>5.3877 * CHOOSE(CONTROL!$C$32, $C$9, 100%, $E$9)</f>
        <v>5.3876999999999997</v>
      </c>
      <c r="H284" s="9">
        <f>10.1136 * CHOOSE(CONTROL!$C$32, $C$9, 100%, $E$9)</f>
        <v>10.1136</v>
      </c>
      <c r="I284" s="9">
        <f>10.1178 * CHOOSE(CONTROL!$C$32, $C$9, 100%, $E$9)</f>
        <v>10.117800000000001</v>
      </c>
      <c r="J284" s="9">
        <f>10.1136 * CHOOSE(CONTROL!$C$32, $C$9, 100%, $E$9)</f>
        <v>10.1136</v>
      </c>
      <c r="K284" s="9">
        <f>10.1178 * CHOOSE(CONTROL!$C$32, $C$9, 100%, $E$9)</f>
        <v>10.117800000000001</v>
      </c>
      <c r="L284" s="9">
        <f>5.3835 * CHOOSE(CONTROL!$C$32, $C$9, 100%, $E$9)</f>
        <v>5.3834999999999997</v>
      </c>
      <c r="M284" s="9">
        <f>5.3877 * CHOOSE(CONTROL!$C$32, $C$9, 100%, $E$9)</f>
        <v>5.3876999999999997</v>
      </c>
      <c r="N284" s="9">
        <f>5.3835 * CHOOSE(CONTROL!$C$32, $C$9, 100%, $E$9)</f>
        <v>5.3834999999999997</v>
      </c>
      <c r="O284" s="9">
        <f>5.3877 * CHOOSE(CONTROL!$C$32, $C$9, 100%, $E$9)</f>
        <v>5.3876999999999997</v>
      </c>
    </row>
    <row r="285" spans="1:15" ht="15" x14ac:dyDescent="0.2">
      <c r="A285" s="15">
        <v>49522</v>
      </c>
      <c r="B285" s="10">
        <f>5.3572 * CHOOSE(CONTROL!$C$32, $C$9, 100%, $E$9)</f>
        <v>5.3571999999999997</v>
      </c>
      <c r="C285" s="10">
        <f>5.3572 * CHOOSE(CONTROL!$C$32, $C$9, 100%, $E$9)</f>
        <v>5.3571999999999997</v>
      </c>
      <c r="D285" s="10">
        <f>5.3585 * CHOOSE(CONTROL!$C$32, $C$9, 100%, $E$9)</f>
        <v>5.3585000000000003</v>
      </c>
      <c r="E285" s="9">
        <f>5.2994 * CHOOSE(CONTROL!$C$32, $C$9, 100%, $E$9)</f>
        <v>5.2994000000000003</v>
      </c>
      <c r="F285" s="9">
        <f>5.2994 * CHOOSE(CONTROL!$C$32, $C$9, 100%, $E$9)</f>
        <v>5.2994000000000003</v>
      </c>
      <c r="G285" s="9">
        <f>5.3036 * CHOOSE(CONTROL!$C$32, $C$9, 100%, $E$9)</f>
        <v>5.3036000000000003</v>
      </c>
      <c r="H285" s="9">
        <f>10.1347 * CHOOSE(CONTROL!$C$32, $C$9, 100%, $E$9)</f>
        <v>10.1347</v>
      </c>
      <c r="I285" s="9">
        <f>10.1389 * CHOOSE(CONTROL!$C$32, $C$9, 100%, $E$9)</f>
        <v>10.1389</v>
      </c>
      <c r="J285" s="9">
        <f>10.1347 * CHOOSE(CONTROL!$C$32, $C$9, 100%, $E$9)</f>
        <v>10.1347</v>
      </c>
      <c r="K285" s="9">
        <f>10.1389 * CHOOSE(CONTROL!$C$32, $C$9, 100%, $E$9)</f>
        <v>10.1389</v>
      </c>
      <c r="L285" s="9">
        <f>5.2994 * CHOOSE(CONTROL!$C$32, $C$9, 100%, $E$9)</f>
        <v>5.2994000000000003</v>
      </c>
      <c r="M285" s="9">
        <f>5.3036 * CHOOSE(CONTROL!$C$32, $C$9, 100%, $E$9)</f>
        <v>5.3036000000000003</v>
      </c>
      <c r="N285" s="9">
        <f>5.2994 * CHOOSE(CONTROL!$C$32, $C$9, 100%, $E$9)</f>
        <v>5.2994000000000003</v>
      </c>
      <c r="O285" s="9">
        <f>5.3036 * CHOOSE(CONTROL!$C$32, $C$9, 100%, $E$9)</f>
        <v>5.3036000000000003</v>
      </c>
    </row>
    <row r="286" spans="1:15" ht="15" x14ac:dyDescent="0.2">
      <c r="A286" s="15">
        <v>49553</v>
      </c>
      <c r="B286" s="10">
        <f>5.3542 * CHOOSE(CONTROL!$C$32, $C$9, 100%, $E$9)</f>
        <v>5.3541999999999996</v>
      </c>
      <c r="C286" s="10">
        <f>5.3542 * CHOOSE(CONTROL!$C$32, $C$9, 100%, $E$9)</f>
        <v>5.3541999999999996</v>
      </c>
      <c r="D286" s="10">
        <f>5.3554 * CHOOSE(CONTROL!$C$32, $C$9, 100%, $E$9)</f>
        <v>5.3554000000000004</v>
      </c>
      <c r="E286" s="9">
        <f>5.2874 * CHOOSE(CONTROL!$C$32, $C$9, 100%, $E$9)</f>
        <v>5.2873999999999999</v>
      </c>
      <c r="F286" s="9">
        <f>5.2874 * CHOOSE(CONTROL!$C$32, $C$9, 100%, $E$9)</f>
        <v>5.2873999999999999</v>
      </c>
      <c r="G286" s="9">
        <f>5.2916 * CHOOSE(CONTROL!$C$32, $C$9, 100%, $E$9)</f>
        <v>5.2915999999999999</v>
      </c>
      <c r="H286" s="9">
        <f>10.1558 * CHOOSE(CONTROL!$C$32, $C$9, 100%, $E$9)</f>
        <v>10.155799999999999</v>
      </c>
      <c r="I286" s="9">
        <f>10.16 * CHOOSE(CONTROL!$C$32, $C$9, 100%, $E$9)</f>
        <v>10.16</v>
      </c>
      <c r="J286" s="9">
        <f>10.1558 * CHOOSE(CONTROL!$C$32, $C$9, 100%, $E$9)</f>
        <v>10.155799999999999</v>
      </c>
      <c r="K286" s="9">
        <f>10.16 * CHOOSE(CONTROL!$C$32, $C$9, 100%, $E$9)</f>
        <v>10.16</v>
      </c>
      <c r="L286" s="9">
        <f>5.2874 * CHOOSE(CONTROL!$C$32, $C$9, 100%, $E$9)</f>
        <v>5.2873999999999999</v>
      </c>
      <c r="M286" s="9">
        <f>5.2916 * CHOOSE(CONTROL!$C$32, $C$9, 100%, $E$9)</f>
        <v>5.2915999999999999</v>
      </c>
      <c r="N286" s="9">
        <f>5.2874 * CHOOSE(CONTROL!$C$32, $C$9, 100%, $E$9)</f>
        <v>5.2873999999999999</v>
      </c>
      <c r="O286" s="9">
        <f>5.2916 * CHOOSE(CONTROL!$C$32, $C$9, 100%, $E$9)</f>
        <v>5.2915999999999999</v>
      </c>
    </row>
    <row r="287" spans="1:15" ht="15" x14ac:dyDescent="0.2">
      <c r="A287" s="15">
        <v>49583</v>
      </c>
      <c r="B287" s="10">
        <f>5.3549 * CHOOSE(CONTROL!$C$32, $C$9, 100%, $E$9)</f>
        <v>5.3548999999999998</v>
      </c>
      <c r="C287" s="10">
        <f>5.3549 * CHOOSE(CONTROL!$C$32, $C$9, 100%, $E$9)</f>
        <v>5.3548999999999998</v>
      </c>
      <c r="D287" s="10">
        <f>5.3559 * CHOOSE(CONTROL!$C$32, $C$9, 100%, $E$9)</f>
        <v>5.3559000000000001</v>
      </c>
      <c r="E287" s="9">
        <f>5.3134 * CHOOSE(CONTROL!$C$32, $C$9, 100%, $E$9)</f>
        <v>5.3133999999999997</v>
      </c>
      <c r="F287" s="9">
        <f>5.3134 * CHOOSE(CONTROL!$C$32, $C$9, 100%, $E$9)</f>
        <v>5.3133999999999997</v>
      </c>
      <c r="G287" s="9">
        <f>5.3167 * CHOOSE(CONTROL!$C$32, $C$9, 100%, $E$9)</f>
        <v>5.3167</v>
      </c>
      <c r="H287" s="9">
        <f>10.177 * CHOOSE(CONTROL!$C$32, $C$9, 100%, $E$9)</f>
        <v>10.177</v>
      </c>
      <c r="I287" s="9">
        <f>10.1802 * CHOOSE(CONTROL!$C$32, $C$9, 100%, $E$9)</f>
        <v>10.180199999999999</v>
      </c>
      <c r="J287" s="9">
        <f>10.177 * CHOOSE(CONTROL!$C$32, $C$9, 100%, $E$9)</f>
        <v>10.177</v>
      </c>
      <c r="K287" s="9">
        <f>10.1802 * CHOOSE(CONTROL!$C$32, $C$9, 100%, $E$9)</f>
        <v>10.180199999999999</v>
      </c>
      <c r="L287" s="9">
        <f>5.3134 * CHOOSE(CONTROL!$C$32, $C$9, 100%, $E$9)</f>
        <v>5.3133999999999997</v>
      </c>
      <c r="M287" s="9">
        <f>5.3167 * CHOOSE(CONTROL!$C$32, $C$9, 100%, $E$9)</f>
        <v>5.3167</v>
      </c>
      <c r="N287" s="9">
        <f>5.3134 * CHOOSE(CONTROL!$C$32, $C$9, 100%, $E$9)</f>
        <v>5.3133999999999997</v>
      </c>
      <c r="O287" s="9">
        <f>5.3167 * CHOOSE(CONTROL!$C$32, $C$9, 100%, $E$9)</f>
        <v>5.3167</v>
      </c>
    </row>
    <row r="288" spans="1:15" ht="15" x14ac:dyDescent="0.2">
      <c r="A288" s="15">
        <v>49614</v>
      </c>
      <c r="B288" s="10">
        <f>5.358 * CHOOSE(CONTROL!$C$32, $C$9, 100%, $E$9)</f>
        <v>5.3579999999999997</v>
      </c>
      <c r="C288" s="10">
        <f>5.358 * CHOOSE(CONTROL!$C$32, $C$9, 100%, $E$9)</f>
        <v>5.3579999999999997</v>
      </c>
      <c r="D288" s="10">
        <f>5.3589 * CHOOSE(CONTROL!$C$32, $C$9, 100%, $E$9)</f>
        <v>5.3589000000000002</v>
      </c>
      <c r="E288" s="9">
        <f>5.3353 * CHOOSE(CONTROL!$C$32, $C$9, 100%, $E$9)</f>
        <v>5.3353000000000002</v>
      </c>
      <c r="F288" s="9">
        <f>5.3353 * CHOOSE(CONTROL!$C$32, $C$9, 100%, $E$9)</f>
        <v>5.3353000000000002</v>
      </c>
      <c r="G288" s="9">
        <f>5.3385 * CHOOSE(CONTROL!$C$32, $C$9, 100%, $E$9)</f>
        <v>5.3384999999999998</v>
      </c>
      <c r="H288" s="9">
        <f>10.1982 * CHOOSE(CONTROL!$C$32, $C$9, 100%, $E$9)</f>
        <v>10.1982</v>
      </c>
      <c r="I288" s="9">
        <f>10.2014 * CHOOSE(CONTROL!$C$32, $C$9, 100%, $E$9)</f>
        <v>10.2014</v>
      </c>
      <c r="J288" s="9">
        <f>10.1982 * CHOOSE(CONTROL!$C$32, $C$9, 100%, $E$9)</f>
        <v>10.1982</v>
      </c>
      <c r="K288" s="9">
        <f>10.2014 * CHOOSE(CONTROL!$C$32, $C$9, 100%, $E$9)</f>
        <v>10.2014</v>
      </c>
      <c r="L288" s="9">
        <f>5.3353 * CHOOSE(CONTROL!$C$32, $C$9, 100%, $E$9)</f>
        <v>5.3353000000000002</v>
      </c>
      <c r="M288" s="9">
        <f>5.3385 * CHOOSE(CONTROL!$C$32, $C$9, 100%, $E$9)</f>
        <v>5.3384999999999998</v>
      </c>
      <c r="N288" s="9">
        <f>5.3353 * CHOOSE(CONTROL!$C$32, $C$9, 100%, $E$9)</f>
        <v>5.3353000000000002</v>
      </c>
      <c r="O288" s="9">
        <f>5.3385 * CHOOSE(CONTROL!$C$32, $C$9, 100%, $E$9)</f>
        <v>5.3384999999999998</v>
      </c>
    </row>
    <row r="289" spans="1:15" ht="15" x14ac:dyDescent="0.2">
      <c r="A289" s="15">
        <v>49644</v>
      </c>
      <c r="B289" s="10">
        <f>5.358 * CHOOSE(CONTROL!$C$32, $C$9, 100%, $E$9)</f>
        <v>5.3579999999999997</v>
      </c>
      <c r="C289" s="10">
        <f>5.358 * CHOOSE(CONTROL!$C$32, $C$9, 100%, $E$9)</f>
        <v>5.3579999999999997</v>
      </c>
      <c r="D289" s="10">
        <f>5.3589 * CHOOSE(CONTROL!$C$32, $C$9, 100%, $E$9)</f>
        <v>5.3589000000000002</v>
      </c>
      <c r="E289" s="9">
        <f>5.286 * CHOOSE(CONTROL!$C$32, $C$9, 100%, $E$9)</f>
        <v>5.2859999999999996</v>
      </c>
      <c r="F289" s="9">
        <f>5.286 * CHOOSE(CONTROL!$C$32, $C$9, 100%, $E$9)</f>
        <v>5.2859999999999996</v>
      </c>
      <c r="G289" s="9">
        <f>5.2892 * CHOOSE(CONTROL!$C$32, $C$9, 100%, $E$9)</f>
        <v>5.2892000000000001</v>
      </c>
      <c r="H289" s="9">
        <f>10.2194 * CHOOSE(CONTROL!$C$32, $C$9, 100%, $E$9)</f>
        <v>10.2194</v>
      </c>
      <c r="I289" s="9">
        <f>10.2227 * CHOOSE(CONTROL!$C$32, $C$9, 100%, $E$9)</f>
        <v>10.2227</v>
      </c>
      <c r="J289" s="9">
        <f>10.2194 * CHOOSE(CONTROL!$C$32, $C$9, 100%, $E$9)</f>
        <v>10.2194</v>
      </c>
      <c r="K289" s="9">
        <f>10.2227 * CHOOSE(CONTROL!$C$32, $C$9, 100%, $E$9)</f>
        <v>10.2227</v>
      </c>
      <c r="L289" s="9">
        <f>5.286 * CHOOSE(CONTROL!$C$32, $C$9, 100%, $E$9)</f>
        <v>5.2859999999999996</v>
      </c>
      <c r="M289" s="9">
        <f>5.2892 * CHOOSE(CONTROL!$C$32, $C$9, 100%, $E$9)</f>
        <v>5.2892000000000001</v>
      </c>
      <c r="N289" s="9">
        <f>5.286 * CHOOSE(CONTROL!$C$32, $C$9, 100%, $E$9)</f>
        <v>5.2859999999999996</v>
      </c>
      <c r="O289" s="9">
        <f>5.2892 * CHOOSE(CONTROL!$C$32, $C$9, 100%, $E$9)</f>
        <v>5.2892000000000001</v>
      </c>
    </row>
    <row r="290" spans="1:15" ht="15" x14ac:dyDescent="0.2">
      <c r="A290" s="15">
        <v>49675</v>
      </c>
      <c r="B290" s="10">
        <f>5.403 * CHOOSE(CONTROL!$C$32, $C$9, 100%, $E$9)</f>
        <v>5.4029999999999996</v>
      </c>
      <c r="C290" s="10">
        <f>5.403 * CHOOSE(CONTROL!$C$32, $C$9, 100%, $E$9)</f>
        <v>5.4029999999999996</v>
      </c>
      <c r="D290" s="10">
        <f>5.4039 * CHOOSE(CONTROL!$C$32, $C$9, 100%, $E$9)</f>
        <v>5.4039000000000001</v>
      </c>
      <c r="E290" s="9">
        <f>5.3612 * CHOOSE(CONTROL!$C$32, $C$9, 100%, $E$9)</f>
        <v>5.3612000000000002</v>
      </c>
      <c r="F290" s="9">
        <f>5.3612 * CHOOSE(CONTROL!$C$32, $C$9, 100%, $E$9)</f>
        <v>5.3612000000000002</v>
      </c>
      <c r="G290" s="9">
        <f>5.3644 * CHOOSE(CONTROL!$C$32, $C$9, 100%, $E$9)</f>
        <v>5.3643999999999998</v>
      </c>
      <c r="H290" s="9">
        <f>10.2407 * CHOOSE(CONTROL!$C$32, $C$9, 100%, $E$9)</f>
        <v>10.2407</v>
      </c>
      <c r="I290" s="9">
        <f>10.2439 * CHOOSE(CONTROL!$C$32, $C$9, 100%, $E$9)</f>
        <v>10.2439</v>
      </c>
      <c r="J290" s="9">
        <f>10.2407 * CHOOSE(CONTROL!$C$32, $C$9, 100%, $E$9)</f>
        <v>10.2407</v>
      </c>
      <c r="K290" s="9">
        <f>10.2439 * CHOOSE(CONTROL!$C$32, $C$9, 100%, $E$9)</f>
        <v>10.2439</v>
      </c>
      <c r="L290" s="9">
        <f>5.3612 * CHOOSE(CONTROL!$C$32, $C$9, 100%, $E$9)</f>
        <v>5.3612000000000002</v>
      </c>
      <c r="M290" s="9">
        <f>5.3644 * CHOOSE(CONTROL!$C$32, $C$9, 100%, $E$9)</f>
        <v>5.3643999999999998</v>
      </c>
      <c r="N290" s="9">
        <f>5.3612 * CHOOSE(CONTROL!$C$32, $C$9, 100%, $E$9)</f>
        <v>5.3612000000000002</v>
      </c>
      <c r="O290" s="9">
        <f>5.3644 * CHOOSE(CONTROL!$C$32, $C$9, 100%, $E$9)</f>
        <v>5.3643999999999998</v>
      </c>
    </row>
    <row r="291" spans="1:15" ht="15" x14ac:dyDescent="0.2">
      <c r="A291" s="15">
        <v>49706</v>
      </c>
      <c r="B291" s="10">
        <f>5.4 * CHOOSE(CONTROL!$C$32, $C$9, 100%, $E$9)</f>
        <v>5.4</v>
      </c>
      <c r="C291" s="10">
        <f>5.4 * CHOOSE(CONTROL!$C$32, $C$9, 100%, $E$9)</f>
        <v>5.4</v>
      </c>
      <c r="D291" s="10">
        <f>5.4009 * CHOOSE(CONTROL!$C$32, $C$9, 100%, $E$9)</f>
        <v>5.4009</v>
      </c>
      <c r="E291" s="9">
        <f>5.2631 * CHOOSE(CONTROL!$C$32, $C$9, 100%, $E$9)</f>
        <v>5.2630999999999997</v>
      </c>
      <c r="F291" s="9">
        <f>5.2631 * CHOOSE(CONTROL!$C$32, $C$9, 100%, $E$9)</f>
        <v>5.2630999999999997</v>
      </c>
      <c r="G291" s="9">
        <f>5.2663 * CHOOSE(CONTROL!$C$32, $C$9, 100%, $E$9)</f>
        <v>5.2663000000000002</v>
      </c>
      <c r="H291" s="9">
        <f>10.2621 * CHOOSE(CONTROL!$C$32, $C$9, 100%, $E$9)</f>
        <v>10.2621</v>
      </c>
      <c r="I291" s="9">
        <f>10.2653 * CHOOSE(CONTROL!$C$32, $C$9, 100%, $E$9)</f>
        <v>10.2653</v>
      </c>
      <c r="J291" s="9">
        <f>10.2621 * CHOOSE(CONTROL!$C$32, $C$9, 100%, $E$9)</f>
        <v>10.2621</v>
      </c>
      <c r="K291" s="9">
        <f>10.2653 * CHOOSE(CONTROL!$C$32, $C$9, 100%, $E$9)</f>
        <v>10.2653</v>
      </c>
      <c r="L291" s="9">
        <f>5.2631 * CHOOSE(CONTROL!$C$32, $C$9, 100%, $E$9)</f>
        <v>5.2630999999999997</v>
      </c>
      <c r="M291" s="9">
        <f>5.2663 * CHOOSE(CONTROL!$C$32, $C$9, 100%, $E$9)</f>
        <v>5.2663000000000002</v>
      </c>
      <c r="N291" s="9">
        <f>5.2631 * CHOOSE(CONTROL!$C$32, $C$9, 100%, $E$9)</f>
        <v>5.2630999999999997</v>
      </c>
      <c r="O291" s="9">
        <f>5.2663 * CHOOSE(CONTROL!$C$32, $C$9, 100%, $E$9)</f>
        <v>5.2663000000000002</v>
      </c>
    </row>
    <row r="292" spans="1:15" ht="15" x14ac:dyDescent="0.2">
      <c r="A292" s="15">
        <v>49735</v>
      </c>
      <c r="B292" s="10">
        <f>5.3969 * CHOOSE(CONTROL!$C$32, $C$9, 100%, $E$9)</f>
        <v>5.3968999999999996</v>
      </c>
      <c r="C292" s="10">
        <f>5.3969 * CHOOSE(CONTROL!$C$32, $C$9, 100%, $E$9)</f>
        <v>5.3968999999999996</v>
      </c>
      <c r="D292" s="10">
        <f>5.3979 * CHOOSE(CONTROL!$C$32, $C$9, 100%, $E$9)</f>
        <v>5.3978999999999999</v>
      </c>
      <c r="E292" s="9">
        <f>5.3366 * CHOOSE(CONTROL!$C$32, $C$9, 100%, $E$9)</f>
        <v>5.3365999999999998</v>
      </c>
      <c r="F292" s="9">
        <f>5.3366 * CHOOSE(CONTROL!$C$32, $C$9, 100%, $E$9)</f>
        <v>5.3365999999999998</v>
      </c>
      <c r="G292" s="9">
        <f>5.3398 * CHOOSE(CONTROL!$C$32, $C$9, 100%, $E$9)</f>
        <v>5.3398000000000003</v>
      </c>
      <c r="H292" s="9">
        <f>10.2834 * CHOOSE(CONTROL!$C$32, $C$9, 100%, $E$9)</f>
        <v>10.2834</v>
      </c>
      <c r="I292" s="9">
        <f>10.2867 * CHOOSE(CONTROL!$C$32, $C$9, 100%, $E$9)</f>
        <v>10.2867</v>
      </c>
      <c r="J292" s="9">
        <f>10.2834 * CHOOSE(CONTROL!$C$32, $C$9, 100%, $E$9)</f>
        <v>10.2834</v>
      </c>
      <c r="K292" s="9">
        <f>10.2867 * CHOOSE(CONTROL!$C$32, $C$9, 100%, $E$9)</f>
        <v>10.2867</v>
      </c>
      <c r="L292" s="9">
        <f>5.3366 * CHOOSE(CONTROL!$C$32, $C$9, 100%, $E$9)</f>
        <v>5.3365999999999998</v>
      </c>
      <c r="M292" s="9">
        <f>5.3398 * CHOOSE(CONTROL!$C$32, $C$9, 100%, $E$9)</f>
        <v>5.3398000000000003</v>
      </c>
      <c r="N292" s="9">
        <f>5.3366 * CHOOSE(CONTROL!$C$32, $C$9, 100%, $E$9)</f>
        <v>5.3365999999999998</v>
      </c>
      <c r="O292" s="9">
        <f>5.3398 * CHOOSE(CONTROL!$C$32, $C$9, 100%, $E$9)</f>
        <v>5.3398000000000003</v>
      </c>
    </row>
    <row r="293" spans="1:15" ht="15" x14ac:dyDescent="0.2">
      <c r="A293" s="15">
        <v>49766</v>
      </c>
      <c r="B293" s="10">
        <f>5.3961 * CHOOSE(CONTROL!$C$32, $C$9, 100%, $E$9)</f>
        <v>5.3960999999999997</v>
      </c>
      <c r="C293" s="10">
        <f>5.3961 * CHOOSE(CONTROL!$C$32, $C$9, 100%, $E$9)</f>
        <v>5.3960999999999997</v>
      </c>
      <c r="D293" s="10">
        <f>5.397 * CHOOSE(CONTROL!$C$32, $C$9, 100%, $E$9)</f>
        <v>5.3970000000000002</v>
      </c>
      <c r="E293" s="9">
        <f>5.4137 * CHOOSE(CONTROL!$C$32, $C$9, 100%, $E$9)</f>
        <v>5.4137000000000004</v>
      </c>
      <c r="F293" s="9">
        <f>5.4137 * CHOOSE(CONTROL!$C$32, $C$9, 100%, $E$9)</f>
        <v>5.4137000000000004</v>
      </c>
      <c r="G293" s="9">
        <f>5.4169 * CHOOSE(CONTROL!$C$32, $C$9, 100%, $E$9)</f>
        <v>5.4169</v>
      </c>
      <c r="H293" s="9">
        <f>10.3049 * CHOOSE(CONTROL!$C$32, $C$9, 100%, $E$9)</f>
        <v>10.3049</v>
      </c>
      <c r="I293" s="9">
        <f>10.3081 * CHOOSE(CONTROL!$C$32, $C$9, 100%, $E$9)</f>
        <v>10.3081</v>
      </c>
      <c r="J293" s="9">
        <f>10.3049 * CHOOSE(CONTROL!$C$32, $C$9, 100%, $E$9)</f>
        <v>10.3049</v>
      </c>
      <c r="K293" s="9">
        <f>10.3081 * CHOOSE(CONTROL!$C$32, $C$9, 100%, $E$9)</f>
        <v>10.3081</v>
      </c>
      <c r="L293" s="9">
        <f>5.4137 * CHOOSE(CONTROL!$C$32, $C$9, 100%, $E$9)</f>
        <v>5.4137000000000004</v>
      </c>
      <c r="M293" s="9">
        <f>5.4169 * CHOOSE(CONTROL!$C$32, $C$9, 100%, $E$9)</f>
        <v>5.4169</v>
      </c>
      <c r="N293" s="9">
        <f>5.4137 * CHOOSE(CONTROL!$C$32, $C$9, 100%, $E$9)</f>
        <v>5.4137000000000004</v>
      </c>
      <c r="O293" s="9">
        <f>5.4169 * CHOOSE(CONTROL!$C$32, $C$9, 100%, $E$9)</f>
        <v>5.4169</v>
      </c>
    </row>
    <row r="294" spans="1:15" ht="15" x14ac:dyDescent="0.2">
      <c r="A294" s="15">
        <v>49796</v>
      </c>
      <c r="B294" s="10">
        <f>5.3961 * CHOOSE(CONTROL!$C$32, $C$9, 100%, $E$9)</f>
        <v>5.3960999999999997</v>
      </c>
      <c r="C294" s="10">
        <f>5.3961 * CHOOSE(CONTROL!$C$32, $C$9, 100%, $E$9)</f>
        <v>5.3960999999999997</v>
      </c>
      <c r="D294" s="10">
        <f>5.3973 * CHOOSE(CONTROL!$C$32, $C$9, 100%, $E$9)</f>
        <v>5.3973000000000004</v>
      </c>
      <c r="E294" s="9">
        <f>5.4441 * CHOOSE(CONTROL!$C$32, $C$9, 100%, $E$9)</f>
        <v>5.4440999999999997</v>
      </c>
      <c r="F294" s="9">
        <f>5.4441 * CHOOSE(CONTROL!$C$32, $C$9, 100%, $E$9)</f>
        <v>5.4440999999999997</v>
      </c>
      <c r="G294" s="9">
        <f>5.4483 * CHOOSE(CONTROL!$C$32, $C$9, 100%, $E$9)</f>
        <v>5.4482999999999997</v>
      </c>
      <c r="H294" s="9">
        <f>10.3263 * CHOOSE(CONTROL!$C$32, $C$9, 100%, $E$9)</f>
        <v>10.3263</v>
      </c>
      <c r="I294" s="9">
        <f>10.3305 * CHOOSE(CONTROL!$C$32, $C$9, 100%, $E$9)</f>
        <v>10.330500000000001</v>
      </c>
      <c r="J294" s="9">
        <f>10.3263 * CHOOSE(CONTROL!$C$32, $C$9, 100%, $E$9)</f>
        <v>10.3263</v>
      </c>
      <c r="K294" s="9">
        <f>10.3305 * CHOOSE(CONTROL!$C$32, $C$9, 100%, $E$9)</f>
        <v>10.330500000000001</v>
      </c>
      <c r="L294" s="9">
        <f>5.4441 * CHOOSE(CONTROL!$C$32, $C$9, 100%, $E$9)</f>
        <v>5.4440999999999997</v>
      </c>
      <c r="M294" s="9">
        <f>5.4483 * CHOOSE(CONTROL!$C$32, $C$9, 100%, $E$9)</f>
        <v>5.4482999999999997</v>
      </c>
      <c r="N294" s="9">
        <f>5.4441 * CHOOSE(CONTROL!$C$32, $C$9, 100%, $E$9)</f>
        <v>5.4440999999999997</v>
      </c>
      <c r="O294" s="9">
        <f>5.4483 * CHOOSE(CONTROL!$C$32, $C$9, 100%, $E$9)</f>
        <v>5.4482999999999997</v>
      </c>
    </row>
    <row r="295" spans="1:15" ht="15" x14ac:dyDescent="0.2">
      <c r="A295" s="15">
        <v>49827</v>
      </c>
      <c r="B295" s="10">
        <f>5.4022 * CHOOSE(CONTROL!$C$32, $C$9, 100%, $E$9)</f>
        <v>5.4021999999999997</v>
      </c>
      <c r="C295" s="10">
        <f>5.4022 * CHOOSE(CONTROL!$C$32, $C$9, 100%, $E$9)</f>
        <v>5.4021999999999997</v>
      </c>
      <c r="D295" s="10">
        <f>5.4034 * CHOOSE(CONTROL!$C$32, $C$9, 100%, $E$9)</f>
        <v>5.4034000000000004</v>
      </c>
      <c r="E295" s="9">
        <f>5.4179 * CHOOSE(CONTROL!$C$32, $C$9, 100%, $E$9)</f>
        <v>5.4179000000000004</v>
      </c>
      <c r="F295" s="9">
        <f>5.4179 * CHOOSE(CONTROL!$C$32, $C$9, 100%, $E$9)</f>
        <v>5.4179000000000004</v>
      </c>
      <c r="G295" s="9">
        <f>5.4221 * CHOOSE(CONTROL!$C$32, $C$9, 100%, $E$9)</f>
        <v>5.4221000000000004</v>
      </c>
      <c r="H295" s="9">
        <f>10.3478 * CHOOSE(CONTROL!$C$32, $C$9, 100%, $E$9)</f>
        <v>10.347799999999999</v>
      </c>
      <c r="I295" s="9">
        <f>10.352 * CHOOSE(CONTROL!$C$32, $C$9, 100%, $E$9)</f>
        <v>10.352</v>
      </c>
      <c r="J295" s="9">
        <f>10.3478 * CHOOSE(CONTROL!$C$32, $C$9, 100%, $E$9)</f>
        <v>10.347799999999999</v>
      </c>
      <c r="K295" s="9">
        <f>10.352 * CHOOSE(CONTROL!$C$32, $C$9, 100%, $E$9)</f>
        <v>10.352</v>
      </c>
      <c r="L295" s="9">
        <f>5.4179 * CHOOSE(CONTROL!$C$32, $C$9, 100%, $E$9)</f>
        <v>5.4179000000000004</v>
      </c>
      <c r="M295" s="9">
        <f>5.4221 * CHOOSE(CONTROL!$C$32, $C$9, 100%, $E$9)</f>
        <v>5.4221000000000004</v>
      </c>
      <c r="N295" s="9">
        <f>5.4179 * CHOOSE(CONTROL!$C$32, $C$9, 100%, $E$9)</f>
        <v>5.4179000000000004</v>
      </c>
      <c r="O295" s="9">
        <f>5.4221 * CHOOSE(CONTROL!$C$32, $C$9, 100%, $E$9)</f>
        <v>5.4221000000000004</v>
      </c>
    </row>
    <row r="296" spans="1:15" ht="15" x14ac:dyDescent="0.2">
      <c r="A296" s="15">
        <v>49857</v>
      </c>
      <c r="B296" s="10">
        <f>5.4827 * CHOOSE(CONTROL!$C$32, $C$9, 100%, $E$9)</f>
        <v>5.4827000000000004</v>
      </c>
      <c r="C296" s="10">
        <f>5.4827 * CHOOSE(CONTROL!$C$32, $C$9, 100%, $E$9)</f>
        <v>5.4827000000000004</v>
      </c>
      <c r="D296" s="10">
        <f>5.4839 * CHOOSE(CONTROL!$C$32, $C$9, 100%, $E$9)</f>
        <v>5.4839000000000002</v>
      </c>
      <c r="E296" s="9">
        <f>5.4936 * CHOOSE(CONTROL!$C$32, $C$9, 100%, $E$9)</f>
        <v>5.4935999999999998</v>
      </c>
      <c r="F296" s="9">
        <f>5.4936 * CHOOSE(CONTROL!$C$32, $C$9, 100%, $E$9)</f>
        <v>5.4935999999999998</v>
      </c>
      <c r="G296" s="9">
        <f>5.4978 * CHOOSE(CONTROL!$C$32, $C$9, 100%, $E$9)</f>
        <v>5.4977999999999998</v>
      </c>
      <c r="H296" s="9">
        <f>10.3694 * CHOOSE(CONTROL!$C$32, $C$9, 100%, $E$9)</f>
        <v>10.369400000000001</v>
      </c>
      <c r="I296" s="9">
        <f>10.3736 * CHOOSE(CONTROL!$C$32, $C$9, 100%, $E$9)</f>
        <v>10.3736</v>
      </c>
      <c r="J296" s="9">
        <f>10.3694 * CHOOSE(CONTROL!$C$32, $C$9, 100%, $E$9)</f>
        <v>10.369400000000001</v>
      </c>
      <c r="K296" s="9">
        <f>10.3736 * CHOOSE(CONTROL!$C$32, $C$9, 100%, $E$9)</f>
        <v>10.3736</v>
      </c>
      <c r="L296" s="9">
        <f>5.4936 * CHOOSE(CONTROL!$C$32, $C$9, 100%, $E$9)</f>
        <v>5.4935999999999998</v>
      </c>
      <c r="M296" s="9">
        <f>5.4978 * CHOOSE(CONTROL!$C$32, $C$9, 100%, $E$9)</f>
        <v>5.4977999999999998</v>
      </c>
      <c r="N296" s="9">
        <f>5.4936 * CHOOSE(CONTROL!$C$32, $C$9, 100%, $E$9)</f>
        <v>5.4935999999999998</v>
      </c>
      <c r="O296" s="9">
        <f>5.4978 * CHOOSE(CONTROL!$C$32, $C$9, 100%, $E$9)</f>
        <v>5.4977999999999998</v>
      </c>
    </row>
    <row r="297" spans="1:15" ht="15" x14ac:dyDescent="0.2">
      <c r="A297" s="15">
        <v>49888</v>
      </c>
      <c r="B297" s="10">
        <f>5.4894 * CHOOSE(CONTROL!$C$32, $C$9, 100%, $E$9)</f>
        <v>5.4893999999999998</v>
      </c>
      <c r="C297" s="10">
        <f>5.4894 * CHOOSE(CONTROL!$C$32, $C$9, 100%, $E$9)</f>
        <v>5.4893999999999998</v>
      </c>
      <c r="D297" s="10">
        <f>5.4906 * CHOOSE(CONTROL!$C$32, $C$9, 100%, $E$9)</f>
        <v>5.4905999999999997</v>
      </c>
      <c r="E297" s="9">
        <f>5.4069 * CHOOSE(CONTROL!$C$32, $C$9, 100%, $E$9)</f>
        <v>5.4069000000000003</v>
      </c>
      <c r="F297" s="9">
        <f>5.4069 * CHOOSE(CONTROL!$C$32, $C$9, 100%, $E$9)</f>
        <v>5.4069000000000003</v>
      </c>
      <c r="G297" s="9">
        <f>5.4111 * CHOOSE(CONTROL!$C$32, $C$9, 100%, $E$9)</f>
        <v>5.4111000000000002</v>
      </c>
      <c r="H297" s="9">
        <f>10.391 * CHOOSE(CONTROL!$C$32, $C$9, 100%, $E$9)</f>
        <v>10.391</v>
      </c>
      <c r="I297" s="9">
        <f>10.3952 * CHOOSE(CONTROL!$C$32, $C$9, 100%, $E$9)</f>
        <v>10.395200000000001</v>
      </c>
      <c r="J297" s="9">
        <f>10.391 * CHOOSE(CONTROL!$C$32, $C$9, 100%, $E$9)</f>
        <v>10.391</v>
      </c>
      <c r="K297" s="9">
        <f>10.3952 * CHOOSE(CONTROL!$C$32, $C$9, 100%, $E$9)</f>
        <v>10.395200000000001</v>
      </c>
      <c r="L297" s="9">
        <f>5.4069 * CHOOSE(CONTROL!$C$32, $C$9, 100%, $E$9)</f>
        <v>5.4069000000000003</v>
      </c>
      <c r="M297" s="9">
        <f>5.4111 * CHOOSE(CONTROL!$C$32, $C$9, 100%, $E$9)</f>
        <v>5.4111000000000002</v>
      </c>
      <c r="N297" s="9">
        <f>5.4069 * CHOOSE(CONTROL!$C$32, $C$9, 100%, $E$9)</f>
        <v>5.4069000000000003</v>
      </c>
      <c r="O297" s="9">
        <f>5.4111 * CHOOSE(CONTROL!$C$32, $C$9, 100%, $E$9)</f>
        <v>5.4111000000000002</v>
      </c>
    </row>
    <row r="298" spans="1:15" ht="15" x14ac:dyDescent="0.2">
      <c r="A298" s="15">
        <v>49919</v>
      </c>
      <c r="B298" s="10">
        <f>5.4863 * CHOOSE(CONTROL!$C$32, $C$9, 100%, $E$9)</f>
        <v>5.4863</v>
      </c>
      <c r="C298" s="10">
        <f>5.4863 * CHOOSE(CONTROL!$C$32, $C$9, 100%, $E$9)</f>
        <v>5.4863</v>
      </c>
      <c r="D298" s="10">
        <f>5.4876 * CHOOSE(CONTROL!$C$32, $C$9, 100%, $E$9)</f>
        <v>5.4875999999999996</v>
      </c>
      <c r="E298" s="9">
        <f>5.3946 * CHOOSE(CONTROL!$C$32, $C$9, 100%, $E$9)</f>
        <v>5.3945999999999996</v>
      </c>
      <c r="F298" s="9">
        <f>5.3946 * CHOOSE(CONTROL!$C$32, $C$9, 100%, $E$9)</f>
        <v>5.3945999999999996</v>
      </c>
      <c r="G298" s="9">
        <f>5.3988 * CHOOSE(CONTROL!$C$32, $C$9, 100%, $E$9)</f>
        <v>5.3987999999999996</v>
      </c>
      <c r="H298" s="9">
        <f>10.4126 * CHOOSE(CONTROL!$C$32, $C$9, 100%, $E$9)</f>
        <v>10.412599999999999</v>
      </c>
      <c r="I298" s="9">
        <f>10.4168 * CHOOSE(CONTROL!$C$32, $C$9, 100%, $E$9)</f>
        <v>10.4168</v>
      </c>
      <c r="J298" s="9">
        <f>10.4126 * CHOOSE(CONTROL!$C$32, $C$9, 100%, $E$9)</f>
        <v>10.412599999999999</v>
      </c>
      <c r="K298" s="9">
        <f>10.4168 * CHOOSE(CONTROL!$C$32, $C$9, 100%, $E$9)</f>
        <v>10.4168</v>
      </c>
      <c r="L298" s="9">
        <f>5.3946 * CHOOSE(CONTROL!$C$32, $C$9, 100%, $E$9)</f>
        <v>5.3945999999999996</v>
      </c>
      <c r="M298" s="9">
        <f>5.3988 * CHOOSE(CONTROL!$C$32, $C$9, 100%, $E$9)</f>
        <v>5.3987999999999996</v>
      </c>
      <c r="N298" s="9">
        <f>5.3946 * CHOOSE(CONTROL!$C$32, $C$9, 100%, $E$9)</f>
        <v>5.3945999999999996</v>
      </c>
      <c r="O298" s="9">
        <f>5.3988 * CHOOSE(CONTROL!$C$32, $C$9, 100%, $E$9)</f>
        <v>5.3987999999999996</v>
      </c>
    </row>
    <row r="299" spans="1:15" ht="15" x14ac:dyDescent="0.2">
      <c r="A299" s="15">
        <v>49949</v>
      </c>
      <c r="B299" s="10">
        <f>5.4876 * CHOOSE(CONTROL!$C$32, $C$9, 100%, $E$9)</f>
        <v>5.4875999999999996</v>
      </c>
      <c r="C299" s="10">
        <f>5.4876 * CHOOSE(CONTROL!$C$32, $C$9, 100%, $E$9)</f>
        <v>5.4875999999999996</v>
      </c>
      <c r="D299" s="10">
        <f>5.4886 * CHOOSE(CONTROL!$C$32, $C$9, 100%, $E$9)</f>
        <v>5.4885999999999999</v>
      </c>
      <c r="E299" s="9">
        <f>5.4218 * CHOOSE(CONTROL!$C$32, $C$9, 100%, $E$9)</f>
        <v>5.4218000000000002</v>
      </c>
      <c r="F299" s="9">
        <f>5.4218 * CHOOSE(CONTROL!$C$32, $C$9, 100%, $E$9)</f>
        <v>5.4218000000000002</v>
      </c>
      <c r="G299" s="9">
        <f>5.425 * CHOOSE(CONTROL!$C$32, $C$9, 100%, $E$9)</f>
        <v>5.4249999999999998</v>
      </c>
      <c r="H299" s="9">
        <f>10.4343 * CHOOSE(CONTROL!$C$32, $C$9, 100%, $E$9)</f>
        <v>10.4343</v>
      </c>
      <c r="I299" s="9">
        <f>10.4376 * CHOOSE(CONTROL!$C$32, $C$9, 100%, $E$9)</f>
        <v>10.4376</v>
      </c>
      <c r="J299" s="9">
        <f>10.4343 * CHOOSE(CONTROL!$C$32, $C$9, 100%, $E$9)</f>
        <v>10.4343</v>
      </c>
      <c r="K299" s="9">
        <f>10.4376 * CHOOSE(CONTROL!$C$32, $C$9, 100%, $E$9)</f>
        <v>10.4376</v>
      </c>
      <c r="L299" s="9">
        <f>5.4218 * CHOOSE(CONTROL!$C$32, $C$9, 100%, $E$9)</f>
        <v>5.4218000000000002</v>
      </c>
      <c r="M299" s="9">
        <f>5.425 * CHOOSE(CONTROL!$C$32, $C$9, 100%, $E$9)</f>
        <v>5.4249999999999998</v>
      </c>
      <c r="N299" s="9">
        <f>5.4218 * CHOOSE(CONTROL!$C$32, $C$9, 100%, $E$9)</f>
        <v>5.4218000000000002</v>
      </c>
      <c r="O299" s="9">
        <f>5.425 * CHOOSE(CONTROL!$C$32, $C$9, 100%, $E$9)</f>
        <v>5.4249999999999998</v>
      </c>
    </row>
    <row r="300" spans="1:15" ht="15" x14ac:dyDescent="0.2">
      <c r="A300" s="15">
        <v>49980</v>
      </c>
      <c r="B300" s="10">
        <f>5.4906 * CHOOSE(CONTROL!$C$32, $C$9, 100%, $E$9)</f>
        <v>5.4905999999999997</v>
      </c>
      <c r="C300" s="10">
        <f>5.4906 * CHOOSE(CONTROL!$C$32, $C$9, 100%, $E$9)</f>
        <v>5.4905999999999997</v>
      </c>
      <c r="D300" s="10">
        <f>5.4916 * CHOOSE(CONTROL!$C$32, $C$9, 100%, $E$9)</f>
        <v>5.4916</v>
      </c>
      <c r="E300" s="9">
        <f>5.4442 * CHOOSE(CONTROL!$C$32, $C$9, 100%, $E$9)</f>
        <v>5.4442000000000004</v>
      </c>
      <c r="F300" s="9">
        <f>5.4442 * CHOOSE(CONTROL!$C$32, $C$9, 100%, $E$9)</f>
        <v>5.4442000000000004</v>
      </c>
      <c r="G300" s="9">
        <f>5.4475 * CHOOSE(CONTROL!$C$32, $C$9, 100%, $E$9)</f>
        <v>5.4474999999999998</v>
      </c>
      <c r="H300" s="9">
        <f>10.4561 * CHOOSE(CONTROL!$C$32, $C$9, 100%, $E$9)</f>
        <v>10.456099999999999</v>
      </c>
      <c r="I300" s="9">
        <f>10.4593 * CHOOSE(CONTROL!$C$32, $C$9, 100%, $E$9)</f>
        <v>10.459300000000001</v>
      </c>
      <c r="J300" s="9">
        <f>10.4561 * CHOOSE(CONTROL!$C$32, $C$9, 100%, $E$9)</f>
        <v>10.456099999999999</v>
      </c>
      <c r="K300" s="9">
        <f>10.4593 * CHOOSE(CONTROL!$C$32, $C$9, 100%, $E$9)</f>
        <v>10.459300000000001</v>
      </c>
      <c r="L300" s="9">
        <f>5.4442 * CHOOSE(CONTROL!$C$32, $C$9, 100%, $E$9)</f>
        <v>5.4442000000000004</v>
      </c>
      <c r="M300" s="9">
        <f>5.4475 * CHOOSE(CONTROL!$C$32, $C$9, 100%, $E$9)</f>
        <v>5.4474999999999998</v>
      </c>
      <c r="N300" s="9">
        <f>5.4442 * CHOOSE(CONTROL!$C$32, $C$9, 100%, $E$9)</f>
        <v>5.4442000000000004</v>
      </c>
      <c r="O300" s="9">
        <f>5.4475 * CHOOSE(CONTROL!$C$32, $C$9, 100%, $E$9)</f>
        <v>5.4474999999999998</v>
      </c>
    </row>
    <row r="301" spans="1:15" ht="15" x14ac:dyDescent="0.2">
      <c r="A301" s="15">
        <v>50010</v>
      </c>
      <c r="B301" s="10">
        <f>5.4906 * CHOOSE(CONTROL!$C$32, $C$9, 100%, $E$9)</f>
        <v>5.4905999999999997</v>
      </c>
      <c r="C301" s="10">
        <f>5.4906 * CHOOSE(CONTROL!$C$32, $C$9, 100%, $E$9)</f>
        <v>5.4905999999999997</v>
      </c>
      <c r="D301" s="10">
        <f>5.4916 * CHOOSE(CONTROL!$C$32, $C$9, 100%, $E$9)</f>
        <v>5.4916</v>
      </c>
      <c r="E301" s="9">
        <f>5.3934 * CHOOSE(CONTROL!$C$32, $C$9, 100%, $E$9)</f>
        <v>5.3933999999999997</v>
      </c>
      <c r="F301" s="9">
        <f>5.3934 * CHOOSE(CONTROL!$C$32, $C$9, 100%, $E$9)</f>
        <v>5.3933999999999997</v>
      </c>
      <c r="G301" s="9">
        <f>5.3967 * CHOOSE(CONTROL!$C$32, $C$9, 100%, $E$9)</f>
        <v>5.3967000000000001</v>
      </c>
      <c r="H301" s="9">
        <f>10.4779 * CHOOSE(CONTROL!$C$32, $C$9, 100%, $E$9)</f>
        <v>10.4779</v>
      </c>
      <c r="I301" s="9">
        <f>10.4811 * CHOOSE(CONTROL!$C$32, $C$9, 100%, $E$9)</f>
        <v>10.4811</v>
      </c>
      <c r="J301" s="9">
        <f>10.4779 * CHOOSE(CONTROL!$C$32, $C$9, 100%, $E$9)</f>
        <v>10.4779</v>
      </c>
      <c r="K301" s="9">
        <f>10.4811 * CHOOSE(CONTROL!$C$32, $C$9, 100%, $E$9)</f>
        <v>10.4811</v>
      </c>
      <c r="L301" s="9">
        <f>5.3934 * CHOOSE(CONTROL!$C$32, $C$9, 100%, $E$9)</f>
        <v>5.3933999999999997</v>
      </c>
      <c r="M301" s="9">
        <f>5.3967 * CHOOSE(CONTROL!$C$32, $C$9, 100%, $E$9)</f>
        <v>5.3967000000000001</v>
      </c>
      <c r="N301" s="9">
        <f>5.3934 * CHOOSE(CONTROL!$C$32, $C$9, 100%, $E$9)</f>
        <v>5.3933999999999997</v>
      </c>
      <c r="O301" s="9">
        <f>5.3967 * CHOOSE(CONTROL!$C$32, $C$9, 100%, $E$9)</f>
        <v>5.3967000000000001</v>
      </c>
    </row>
    <row r="302" spans="1:15" ht="15" x14ac:dyDescent="0.2">
      <c r="A302" s="15">
        <v>50041</v>
      </c>
      <c r="B302" s="10">
        <f>5.5382 * CHOOSE(CONTROL!$C$32, $C$9, 100%, $E$9)</f>
        <v>5.5381999999999998</v>
      </c>
      <c r="C302" s="10">
        <f>5.5382 * CHOOSE(CONTROL!$C$32, $C$9, 100%, $E$9)</f>
        <v>5.5381999999999998</v>
      </c>
      <c r="D302" s="10">
        <f>5.5392 * CHOOSE(CONTROL!$C$32, $C$9, 100%, $E$9)</f>
        <v>5.5392000000000001</v>
      </c>
      <c r="E302" s="9">
        <f>5.4645 * CHOOSE(CONTROL!$C$32, $C$9, 100%, $E$9)</f>
        <v>5.4645000000000001</v>
      </c>
      <c r="F302" s="9">
        <f>5.4645 * CHOOSE(CONTROL!$C$32, $C$9, 100%, $E$9)</f>
        <v>5.4645000000000001</v>
      </c>
      <c r="G302" s="9">
        <f>5.4677 * CHOOSE(CONTROL!$C$32, $C$9, 100%, $E$9)</f>
        <v>5.4676999999999998</v>
      </c>
      <c r="H302" s="9">
        <f>10.4997 * CHOOSE(CONTROL!$C$32, $C$9, 100%, $E$9)</f>
        <v>10.499700000000001</v>
      </c>
      <c r="I302" s="9">
        <f>10.5029 * CHOOSE(CONTROL!$C$32, $C$9, 100%, $E$9)</f>
        <v>10.5029</v>
      </c>
      <c r="J302" s="9">
        <f>10.4997 * CHOOSE(CONTROL!$C$32, $C$9, 100%, $E$9)</f>
        <v>10.499700000000001</v>
      </c>
      <c r="K302" s="9">
        <f>10.5029 * CHOOSE(CONTROL!$C$32, $C$9, 100%, $E$9)</f>
        <v>10.5029</v>
      </c>
      <c r="L302" s="9">
        <f>5.4645 * CHOOSE(CONTROL!$C$32, $C$9, 100%, $E$9)</f>
        <v>5.4645000000000001</v>
      </c>
      <c r="M302" s="9">
        <f>5.4677 * CHOOSE(CONTROL!$C$32, $C$9, 100%, $E$9)</f>
        <v>5.4676999999999998</v>
      </c>
      <c r="N302" s="9">
        <f>5.4645 * CHOOSE(CONTROL!$C$32, $C$9, 100%, $E$9)</f>
        <v>5.4645000000000001</v>
      </c>
      <c r="O302" s="9">
        <f>5.4677 * CHOOSE(CONTROL!$C$32, $C$9, 100%, $E$9)</f>
        <v>5.4676999999999998</v>
      </c>
    </row>
    <row r="303" spans="1:15" ht="15" x14ac:dyDescent="0.2">
      <c r="A303" s="15">
        <v>50072</v>
      </c>
      <c r="B303" s="10">
        <f>5.5352 * CHOOSE(CONTROL!$C$32, $C$9, 100%, $E$9)</f>
        <v>5.5351999999999997</v>
      </c>
      <c r="C303" s="10">
        <f>5.5352 * CHOOSE(CONTROL!$C$32, $C$9, 100%, $E$9)</f>
        <v>5.5351999999999997</v>
      </c>
      <c r="D303" s="10">
        <f>5.5361 * CHOOSE(CONTROL!$C$32, $C$9, 100%, $E$9)</f>
        <v>5.5361000000000002</v>
      </c>
      <c r="E303" s="9">
        <f>5.3635 * CHOOSE(CONTROL!$C$32, $C$9, 100%, $E$9)</f>
        <v>5.3635000000000002</v>
      </c>
      <c r="F303" s="9">
        <f>5.3635 * CHOOSE(CONTROL!$C$32, $C$9, 100%, $E$9)</f>
        <v>5.3635000000000002</v>
      </c>
      <c r="G303" s="9">
        <f>5.3667 * CHOOSE(CONTROL!$C$32, $C$9, 100%, $E$9)</f>
        <v>5.3666999999999998</v>
      </c>
      <c r="H303" s="9">
        <f>10.5216 * CHOOSE(CONTROL!$C$32, $C$9, 100%, $E$9)</f>
        <v>10.521599999999999</v>
      </c>
      <c r="I303" s="9">
        <f>10.5248 * CHOOSE(CONTROL!$C$32, $C$9, 100%, $E$9)</f>
        <v>10.524800000000001</v>
      </c>
      <c r="J303" s="9">
        <f>10.5216 * CHOOSE(CONTROL!$C$32, $C$9, 100%, $E$9)</f>
        <v>10.521599999999999</v>
      </c>
      <c r="K303" s="9">
        <f>10.5248 * CHOOSE(CONTROL!$C$32, $C$9, 100%, $E$9)</f>
        <v>10.524800000000001</v>
      </c>
      <c r="L303" s="9">
        <f>5.3635 * CHOOSE(CONTROL!$C$32, $C$9, 100%, $E$9)</f>
        <v>5.3635000000000002</v>
      </c>
      <c r="M303" s="9">
        <f>5.3667 * CHOOSE(CONTROL!$C$32, $C$9, 100%, $E$9)</f>
        <v>5.3666999999999998</v>
      </c>
      <c r="N303" s="9">
        <f>5.3635 * CHOOSE(CONTROL!$C$32, $C$9, 100%, $E$9)</f>
        <v>5.3635000000000002</v>
      </c>
      <c r="O303" s="9">
        <f>5.3667 * CHOOSE(CONTROL!$C$32, $C$9, 100%, $E$9)</f>
        <v>5.3666999999999998</v>
      </c>
    </row>
    <row r="304" spans="1:15" ht="15" x14ac:dyDescent="0.2">
      <c r="A304" s="15">
        <v>50100</v>
      </c>
      <c r="B304" s="10">
        <f>5.5321 * CHOOSE(CONTROL!$C$32, $C$9, 100%, $E$9)</f>
        <v>5.5320999999999998</v>
      </c>
      <c r="C304" s="10">
        <f>5.5321 * CHOOSE(CONTROL!$C$32, $C$9, 100%, $E$9)</f>
        <v>5.5320999999999998</v>
      </c>
      <c r="D304" s="10">
        <f>5.5331 * CHOOSE(CONTROL!$C$32, $C$9, 100%, $E$9)</f>
        <v>5.5331000000000001</v>
      </c>
      <c r="E304" s="9">
        <f>5.4393 * CHOOSE(CONTROL!$C$32, $C$9, 100%, $E$9)</f>
        <v>5.4393000000000002</v>
      </c>
      <c r="F304" s="9">
        <f>5.4393 * CHOOSE(CONTROL!$C$32, $C$9, 100%, $E$9)</f>
        <v>5.4393000000000002</v>
      </c>
      <c r="G304" s="9">
        <f>5.4425 * CHOOSE(CONTROL!$C$32, $C$9, 100%, $E$9)</f>
        <v>5.4424999999999999</v>
      </c>
      <c r="H304" s="9">
        <f>10.5435 * CHOOSE(CONTROL!$C$32, $C$9, 100%, $E$9)</f>
        <v>10.5435</v>
      </c>
      <c r="I304" s="9">
        <f>10.5467 * CHOOSE(CONTROL!$C$32, $C$9, 100%, $E$9)</f>
        <v>10.5467</v>
      </c>
      <c r="J304" s="9">
        <f>10.5435 * CHOOSE(CONTROL!$C$32, $C$9, 100%, $E$9)</f>
        <v>10.5435</v>
      </c>
      <c r="K304" s="9">
        <f>10.5467 * CHOOSE(CONTROL!$C$32, $C$9, 100%, $E$9)</f>
        <v>10.5467</v>
      </c>
      <c r="L304" s="9">
        <f>5.4393 * CHOOSE(CONTROL!$C$32, $C$9, 100%, $E$9)</f>
        <v>5.4393000000000002</v>
      </c>
      <c r="M304" s="9">
        <f>5.4425 * CHOOSE(CONTROL!$C$32, $C$9, 100%, $E$9)</f>
        <v>5.4424999999999999</v>
      </c>
      <c r="N304" s="9">
        <f>5.4393 * CHOOSE(CONTROL!$C$32, $C$9, 100%, $E$9)</f>
        <v>5.4393000000000002</v>
      </c>
      <c r="O304" s="9">
        <f>5.4425 * CHOOSE(CONTROL!$C$32, $C$9, 100%, $E$9)</f>
        <v>5.4424999999999999</v>
      </c>
    </row>
    <row r="305" spans="1:15" ht="15" x14ac:dyDescent="0.2">
      <c r="A305" s="15">
        <v>50131</v>
      </c>
      <c r="B305" s="10">
        <f>5.5314 * CHOOSE(CONTROL!$C$32, $C$9, 100%, $E$9)</f>
        <v>5.5313999999999997</v>
      </c>
      <c r="C305" s="10">
        <f>5.5314 * CHOOSE(CONTROL!$C$32, $C$9, 100%, $E$9)</f>
        <v>5.5313999999999997</v>
      </c>
      <c r="D305" s="10">
        <f>5.5324 * CHOOSE(CONTROL!$C$32, $C$9, 100%, $E$9)</f>
        <v>5.5324</v>
      </c>
      <c r="E305" s="9">
        <f>5.5188 * CHOOSE(CONTROL!$C$32, $C$9, 100%, $E$9)</f>
        <v>5.5187999999999997</v>
      </c>
      <c r="F305" s="9">
        <f>5.5188 * CHOOSE(CONTROL!$C$32, $C$9, 100%, $E$9)</f>
        <v>5.5187999999999997</v>
      </c>
      <c r="G305" s="9">
        <f>5.522 * CHOOSE(CONTROL!$C$32, $C$9, 100%, $E$9)</f>
        <v>5.5220000000000002</v>
      </c>
      <c r="H305" s="9">
        <f>10.5655 * CHOOSE(CONTROL!$C$32, $C$9, 100%, $E$9)</f>
        <v>10.5655</v>
      </c>
      <c r="I305" s="9">
        <f>10.5687 * CHOOSE(CONTROL!$C$32, $C$9, 100%, $E$9)</f>
        <v>10.5687</v>
      </c>
      <c r="J305" s="9">
        <f>10.5655 * CHOOSE(CONTROL!$C$32, $C$9, 100%, $E$9)</f>
        <v>10.5655</v>
      </c>
      <c r="K305" s="9">
        <f>10.5687 * CHOOSE(CONTROL!$C$32, $C$9, 100%, $E$9)</f>
        <v>10.5687</v>
      </c>
      <c r="L305" s="9">
        <f>5.5188 * CHOOSE(CONTROL!$C$32, $C$9, 100%, $E$9)</f>
        <v>5.5187999999999997</v>
      </c>
      <c r="M305" s="9">
        <f>5.522 * CHOOSE(CONTROL!$C$32, $C$9, 100%, $E$9)</f>
        <v>5.5220000000000002</v>
      </c>
      <c r="N305" s="9">
        <f>5.5188 * CHOOSE(CONTROL!$C$32, $C$9, 100%, $E$9)</f>
        <v>5.5187999999999997</v>
      </c>
      <c r="O305" s="9">
        <f>5.522 * CHOOSE(CONTROL!$C$32, $C$9, 100%, $E$9)</f>
        <v>5.5220000000000002</v>
      </c>
    </row>
    <row r="306" spans="1:15" ht="15" x14ac:dyDescent="0.2">
      <c r="A306" s="15">
        <v>50161</v>
      </c>
      <c r="B306" s="10">
        <f>5.5314 * CHOOSE(CONTROL!$C$32, $C$9, 100%, $E$9)</f>
        <v>5.5313999999999997</v>
      </c>
      <c r="C306" s="10">
        <f>5.5314 * CHOOSE(CONTROL!$C$32, $C$9, 100%, $E$9)</f>
        <v>5.5313999999999997</v>
      </c>
      <c r="D306" s="10">
        <f>5.5327 * CHOOSE(CONTROL!$C$32, $C$9, 100%, $E$9)</f>
        <v>5.5327000000000002</v>
      </c>
      <c r="E306" s="9">
        <f>5.5502 * CHOOSE(CONTROL!$C$32, $C$9, 100%, $E$9)</f>
        <v>5.5502000000000002</v>
      </c>
      <c r="F306" s="9">
        <f>5.5502 * CHOOSE(CONTROL!$C$32, $C$9, 100%, $E$9)</f>
        <v>5.5502000000000002</v>
      </c>
      <c r="G306" s="9">
        <f>5.5544 * CHOOSE(CONTROL!$C$32, $C$9, 100%, $E$9)</f>
        <v>5.5544000000000002</v>
      </c>
      <c r="H306" s="9">
        <f>10.5875 * CHOOSE(CONTROL!$C$32, $C$9, 100%, $E$9)</f>
        <v>10.5875</v>
      </c>
      <c r="I306" s="9">
        <f>10.5917 * CHOOSE(CONTROL!$C$32, $C$9, 100%, $E$9)</f>
        <v>10.591699999999999</v>
      </c>
      <c r="J306" s="9">
        <f>10.5875 * CHOOSE(CONTROL!$C$32, $C$9, 100%, $E$9)</f>
        <v>10.5875</v>
      </c>
      <c r="K306" s="9">
        <f>10.5917 * CHOOSE(CONTROL!$C$32, $C$9, 100%, $E$9)</f>
        <v>10.591699999999999</v>
      </c>
      <c r="L306" s="9">
        <f>5.5502 * CHOOSE(CONTROL!$C$32, $C$9, 100%, $E$9)</f>
        <v>5.5502000000000002</v>
      </c>
      <c r="M306" s="9">
        <f>5.5544 * CHOOSE(CONTROL!$C$32, $C$9, 100%, $E$9)</f>
        <v>5.5544000000000002</v>
      </c>
      <c r="N306" s="9">
        <f>5.5502 * CHOOSE(CONTROL!$C$32, $C$9, 100%, $E$9)</f>
        <v>5.5502000000000002</v>
      </c>
      <c r="O306" s="9">
        <f>5.5544 * CHOOSE(CONTROL!$C$32, $C$9, 100%, $E$9)</f>
        <v>5.5544000000000002</v>
      </c>
    </row>
    <row r="307" spans="1:15" ht="15" x14ac:dyDescent="0.2">
      <c r="A307" s="15">
        <v>50192</v>
      </c>
      <c r="B307" s="10">
        <f>5.5375 * CHOOSE(CONTROL!$C$32, $C$9, 100%, $E$9)</f>
        <v>5.5374999999999996</v>
      </c>
      <c r="C307" s="10">
        <f>5.5375 * CHOOSE(CONTROL!$C$32, $C$9, 100%, $E$9)</f>
        <v>5.5374999999999996</v>
      </c>
      <c r="D307" s="10">
        <f>5.5388 * CHOOSE(CONTROL!$C$32, $C$9, 100%, $E$9)</f>
        <v>5.5388000000000002</v>
      </c>
      <c r="E307" s="9">
        <f>5.523 * CHOOSE(CONTROL!$C$32, $C$9, 100%, $E$9)</f>
        <v>5.5229999999999997</v>
      </c>
      <c r="F307" s="9">
        <f>5.523 * CHOOSE(CONTROL!$C$32, $C$9, 100%, $E$9)</f>
        <v>5.5229999999999997</v>
      </c>
      <c r="G307" s="9">
        <f>5.5272 * CHOOSE(CONTROL!$C$32, $C$9, 100%, $E$9)</f>
        <v>5.5271999999999997</v>
      </c>
      <c r="H307" s="9">
        <f>10.6095 * CHOOSE(CONTROL!$C$32, $C$9, 100%, $E$9)</f>
        <v>10.609500000000001</v>
      </c>
      <c r="I307" s="9">
        <f>10.6137 * CHOOSE(CONTROL!$C$32, $C$9, 100%, $E$9)</f>
        <v>10.6137</v>
      </c>
      <c r="J307" s="9">
        <f>10.6095 * CHOOSE(CONTROL!$C$32, $C$9, 100%, $E$9)</f>
        <v>10.609500000000001</v>
      </c>
      <c r="K307" s="9">
        <f>10.6137 * CHOOSE(CONTROL!$C$32, $C$9, 100%, $E$9)</f>
        <v>10.6137</v>
      </c>
      <c r="L307" s="9">
        <f>5.523 * CHOOSE(CONTROL!$C$32, $C$9, 100%, $E$9)</f>
        <v>5.5229999999999997</v>
      </c>
      <c r="M307" s="9">
        <f>5.5272 * CHOOSE(CONTROL!$C$32, $C$9, 100%, $E$9)</f>
        <v>5.5271999999999997</v>
      </c>
      <c r="N307" s="9">
        <f>5.523 * CHOOSE(CONTROL!$C$32, $C$9, 100%, $E$9)</f>
        <v>5.5229999999999997</v>
      </c>
      <c r="O307" s="9">
        <f>5.5272 * CHOOSE(CONTROL!$C$32, $C$9, 100%, $E$9)</f>
        <v>5.5271999999999997</v>
      </c>
    </row>
    <row r="308" spans="1:15" ht="15" x14ac:dyDescent="0.2">
      <c r="A308" s="15">
        <v>50222</v>
      </c>
      <c r="B308" s="10">
        <f>5.6223 * CHOOSE(CONTROL!$C$32, $C$9, 100%, $E$9)</f>
        <v>5.6223000000000001</v>
      </c>
      <c r="C308" s="10">
        <f>5.6223 * CHOOSE(CONTROL!$C$32, $C$9, 100%, $E$9)</f>
        <v>5.6223000000000001</v>
      </c>
      <c r="D308" s="10">
        <f>5.6236 * CHOOSE(CONTROL!$C$32, $C$9, 100%, $E$9)</f>
        <v>5.6235999999999997</v>
      </c>
      <c r="E308" s="9">
        <f>5.5852 * CHOOSE(CONTROL!$C$32, $C$9, 100%, $E$9)</f>
        <v>5.5852000000000004</v>
      </c>
      <c r="F308" s="9">
        <f>5.5852 * CHOOSE(CONTROL!$C$32, $C$9, 100%, $E$9)</f>
        <v>5.5852000000000004</v>
      </c>
      <c r="G308" s="9">
        <f>5.5894 * CHOOSE(CONTROL!$C$32, $C$9, 100%, $E$9)</f>
        <v>5.5894000000000004</v>
      </c>
      <c r="H308" s="9">
        <f>10.6316 * CHOOSE(CONTROL!$C$32, $C$9, 100%, $E$9)</f>
        <v>10.631600000000001</v>
      </c>
      <c r="I308" s="9">
        <f>10.6358 * CHOOSE(CONTROL!$C$32, $C$9, 100%, $E$9)</f>
        <v>10.6358</v>
      </c>
      <c r="J308" s="9">
        <f>10.6316 * CHOOSE(CONTROL!$C$32, $C$9, 100%, $E$9)</f>
        <v>10.631600000000001</v>
      </c>
      <c r="K308" s="9">
        <f>10.6358 * CHOOSE(CONTROL!$C$32, $C$9, 100%, $E$9)</f>
        <v>10.6358</v>
      </c>
      <c r="L308" s="9">
        <f>5.5852 * CHOOSE(CONTROL!$C$32, $C$9, 100%, $E$9)</f>
        <v>5.5852000000000004</v>
      </c>
      <c r="M308" s="9">
        <f>5.5894 * CHOOSE(CONTROL!$C$32, $C$9, 100%, $E$9)</f>
        <v>5.5894000000000004</v>
      </c>
      <c r="N308" s="9">
        <f>5.5852 * CHOOSE(CONTROL!$C$32, $C$9, 100%, $E$9)</f>
        <v>5.5852000000000004</v>
      </c>
      <c r="O308" s="9">
        <f>5.5894 * CHOOSE(CONTROL!$C$32, $C$9, 100%, $E$9)</f>
        <v>5.5894000000000004</v>
      </c>
    </row>
    <row r="309" spans="1:15" ht="15" x14ac:dyDescent="0.2">
      <c r="A309" s="15">
        <v>50253</v>
      </c>
      <c r="B309" s="10">
        <f>5.629 * CHOOSE(CONTROL!$C$32, $C$9, 100%, $E$9)</f>
        <v>5.6289999999999996</v>
      </c>
      <c r="C309" s="10">
        <f>5.629 * CHOOSE(CONTROL!$C$32, $C$9, 100%, $E$9)</f>
        <v>5.6289999999999996</v>
      </c>
      <c r="D309" s="10">
        <f>5.6303 * CHOOSE(CONTROL!$C$32, $C$9, 100%, $E$9)</f>
        <v>5.6303000000000001</v>
      </c>
      <c r="E309" s="9">
        <f>5.4957 * CHOOSE(CONTROL!$C$32, $C$9, 100%, $E$9)</f>
        <v>5.4957000000000003</v>
      </c>
      <c r="F309" s="9">
        <f>5.4957 * CHOOSE(CONTROL!$C$32, $C$9, 100%, $E$9)</f>
        <v>5.4957000000000003</v>
      </c>
      <c r="G309" s="9">
        <f>5.4999 * CHOOSE(CONTROL!$C$32, $C$9, 100%, $E$9)</f>
        <v>5.4999000000000002</v>
      </c>
      <c r="H309" s="9">
        <f>10.6538 * CHOOSE(CONTROL!$C$32, $C$9, 100%, $E$9)</f>
        <v>10.6538</v>
      </c>
      <c r="I309" s="9">
        <f>10.658 * CHOOSE(CONTROL!$C$32, $C$9, 100%, $E$9)</f>
        <v>10.657999999999999</v>
      </c>
      <c r="J309" s="9">
        <f>10.6538 * CHOOSE(CONTROL!$C$32, $C$9, 100%, $E$9)</f>
        <v>10.6538</v>
      </c>
      <c r="K309" s="9">
        <f>10.658 * CHOOSE(CONTROL!$C$32, $C$9, 100%, $E$9)</f>
        <v>10.657999999999999</v>
      </c>
      <c r="L309" s="9">
        <f>5.4957 * CHOOSE(CONTROL!$C$32, $C$9, 100%, $E$9)</f>
        <v>5.4957000000000003</v>
      </c>
      <c r="M309" s="9">
        <f>5.4999 * CHOOSE(CONTROL!$C$32, $C$9, 100%, $E$9)</f>
        <v>5.4999000000000002</v>
      </c>
      <c r="N309" s="9">
        <f>5.4957 * CHOOSE(CONTROL!$C$32, $C$9, 100%, $E$9)</f>
        <v>5.4957000000000003</v>
      </c>
      <c r="O309" s="9">
        <f>5.4999 * CHOOSE(CONTROL!$C$32, $C$9, 100%, $E$9)</f>
        <v>5.4999000000000002</v>
      </c>
    </row>
    <row r="310" spans="1:15" ht="15" x14ac:dyDescent="0.2">
      <c r="A310" s="15">
        <v>50284</v>
      </c>
      <c r="B310" s="10">
        <f>5.626 * CHOOSE(CONTROL!$C$32, $C$9, 100%, $E$9)</f>
        <v>5.6260000000000003</v>
      </c>
      <c r="C310" s="10">
        <f>5.626 * CHOOSE(CONTROL!$C$32, $C$9, 100%, $E$9)</f>
        <v>5.6260000000000003</v>
      </c>
      <c r="D310" s="10">
        <f>5.6272 * CHOOSE(CONTROL!$C$32, $C$9, 100%, $E$9)</f>
        <v>5.6272000000000002</v>
      </c>
      <c r="E310" s="9">
        <f>5.4831 * CHOOSE(CONTROL!$C$32, $C$9, 100%, $E$9)</f>
        <v>5.4831000000000003</v>
      </c>
      <c r="F310" s="9">
        <f>5.4831 * CHOOSE(CONTROL!$C$32, $C$9, 100%, $E$9)</f>
        <v>5.4831000000000003</v>
      </c>
      <c r="G310" s="9">
        <f>5.4873 * CHOOSE(CONTROL!$C$32, $C$9, 100%, $E$9)</f>
        <v>5.4873000000000003</v>
      </c>
      <c r="H310" s="9">
        <f>10.676 * CHOOSE(CONTROL!$C$32, $C$9, 100%, $E$9)</f>
        <v>10.676</v>
      </c>
      <c r="I310" s="9">
        <f>10.6802 * CHOOSE(CONTROL!$C$32, $C$9, 100%, $E$9)</f>
        <v>10.680199999999999</v>
      </c>
      <c r="J310" s="9">
        <f>10.676 * CHOOSE(CONTROL!$C$32, $C$9, 100%, $E$9)</f>
        <v>10.676</v>
      </c>
      <c r="K310" s="9">
        <f>10.6802 * CHOOSE(CONTROL!$C$32, $C$9, 100%, $E$9)</f>
        <v>10.680199999999999</v>
      </c>
      <c r="L310" s="9">
        <f>5.4831 * CHOOSE(CONTROL!$C$32, $C$9, 100%, $E$9)</f>
        <v>5.4831000000000003</v>
      </c>
      <c r="M310" s="9">
        <f>5.4873 * CHOOSE(CONTROL!$C$32, $C$9, 100%, $E$9)</f>
        <v>5.4873000000000003</v>
      </c>
      <c r="N310" s="9">
        <f>5.4831 * CHOOSE(CONTROL!$C$32, $C$9, 100%, $E$9)</f>
        <v>5.4831000000000003</v>
      </c>
      <c r="O310" s="9">
        <f>5.4873 * CHOOSE(CONTROL!$C$32, $C$9, 100%, $E$9)</f>
        <v>5.4873000000000003</v>
      </c>
    </row>
    <row r="311" spans="1:15" ht="15" x14ac:dyDescent="0.2">
      <c r="A311" s="15">
        <v>50314</v>
      </c>
      <c r="B311" s="10">
        <f>5.6278 * CHOOSE(CONTROL!$C$32, $C$9, 100%, $E$9)</f>
        <v>5.6277999999999997</v>
      </c>
      <c r="C311" s="10">
        <f>5.6278 * CHOOSE(CONTROL!$C$32, $C$9, 100%, $E$9)</f>
        <v>5.6277999999999997</v>
      </c>
      <c r="D311" s="10">
        <f>5.6287 * CHOOSE(CONTROL!$C$32, $C$9, 100%, $E$9)</f>
        <v>5.6287000000000003</v>
      </c>
      <c r="E311" s="9">
        <f>5.5115 * CHOOSE(CONTROL!$C$32, $C$9, 100%, $E$9)</f>
        <v>5.5114999999999998</v>
      </c>
      <c r="F311" s="9">
        <f>5.5115 * CHOOSE(CONTROL!$C$32, $C$9, 100%, $E$9)</f>
        <v>5.5114999999999998</v>
      </c>
      <c r="G311" s="9">
        <f>5.5148 * CHOOSE(CONTROL!$C$32, $C$9, 100%, $E$9)</f>
        <v>5.5148000000000001</v>
      </c>
      <c r="H311" s="9">
        <f>10.6982 * CHOOSE(CONTROL!$C$32, $C$9, 100%, $E$9)</f>
        <v>10.6982</v>
      </c>
      <c r="I311" s="9">
        <f>10.7014 * CHOOSE(CONTROL!$C$32, $C$9, 100%, $E$9)</f>
        <v>10.7014</v>
      </c>
      <c r="J311" s="9">
        <f>10.6982 * CHOOSE(CONTROL!$C$32, $C$9, 100%, $E$9)</f>
        <v>10.6982</v>
      </c>
      <c r="K311" s="9">
        <f>10.7014 * CHOOSE(CONTROL!$C$32, $C$9, 100%, $E$9)</f>
        <v>10.7014</v>
      </c>
      <c r="L311" s="9">
        <f>5.5115 * CHOOSE(CONTROL!$C$32, $C$9, 100%, $E$9)</f>
        <v>5.5114999999999998</v>
      </c>
      <c r="M311" s="9">
        <f>5.5148 * CHOOSE(CONTROL!$C$32, $C$9, 100%, $E$9)</f>
        <v>5.5148000000000001</v>
      </c>
      <c r="N311" s="9">
        <f>5.5115 * CHOOSE(CONTROL!$C$32, $C$9, 100%, $E$9)</f>
        <v>5.5114999999999998</v>
      </c>
      <c r="O311" s="9">
        <f>5.5148 * CHOOSE(CONTROL!$C$32, $C$9, 100%, $E$9)</f>
        <v>5.5148000000000001</v>
      </c>
    </row>
    <row r="312" spans="1:15" ht="15" x14ac:dyDescent="0.2">
      <c r="A312" s="15">
        <v>50345</v>
      </c>
      <c r="B312" s="10">
        <f>5.6308 * CHOOSE(CONTROL!$C$32, $C$9, 100%, $E$9)</f>
        <v>5.6307999999999998</v>
      </c>
      <c r="C312" s="10">
        <f>5.6308 * CHOOSE(CONTROL!$C$32, $C$9, 100%, $E$9)</f>
        <v>5.6307999999999998</v>
      </c>
      <c r="D312" s="10">
        <f>5.6318 * CHOOSE(CONTROL!$C$32, $C$9, 100%, $E$9)</f>
        <v>5.6318000000000001</v>
      </c>
      <c r="E312" s="9">
        <f>5.5346 * CHOOSE(CONTROL!$C$32, $C$9, 100%, $E$9)</f>
        <v>5.5346000000000002</v>
      </c>
      <c r="F312" s="9">
        <f>5.5346 * CHOOSE(CONTROL!$C$32, $C$9, 100%, $E$9)</f>
        <v>5.5346000000000002</v>
      </c>
      <c r="G312" s="9">
        <f>5.5378 * CHOOSE(CONTROL!$C$32, $C$9, 100%, $E$9)</f>
        <v>5.5377999999999998</v>
      </c>
      <c r="H312" s="9">
        <f>10.7205 * CHOOSE(CONTROL!$C$32, $C$9, 100%, $E$9)</f>
        <v>10.720499999999999</v>
      </c>
      <c r="I312" s="9">
        <f>10.7237 * CHOOSE(CONTROL!$C$32, $C$9, 100%, $E$9)</f>
        <v>10.723699999999999</v>
      </c>
      <c r="J312" s="9">
        <f>10.7205 * CHOOSE(CONTROL!$C$32, $C$9, 100%, $E$9)</f>
        <v>10.720499999999999</v>
      </c>
      <c r="K312" s="9">
        <f>10.7237 * CHOOSE(CONTROL!$C$32, $C$9, 100%, $E$9)</f>
        <v>10.723699999999999</v>
      </c>
      <c r="L312" s="9">
        <f>5.5346 * CHOOSE(CONTROL!$C$32, $C$9, 100%, $E$9)</f>
        <v>5.5346000000000002</v>
      </c>
      <c r="M312" s="9">
        <f>5.5378 * CHOOSE(CONTROL!$C$32, $C$9, 100%, $E$9)</f>
        <v>5.5377999999999998</v>
      </c>
      <c r="N312" s="9">
        <f>5.5346 * CHOOSE(CONTROL!$C$32, $C$9, 100%, $E$9)</f>
        <v>5.5346000000000002</v>
      </c>
      <c r="O312" s="9">
        <f>5.5378 * CHOOSE(CONTROL!$C$32, $C$9, 100%, $E$9)</f>
        <v>5.5377999999999998</v>
      </c>
    </row>
    <row r="313" spans="1:15" ht="15" x14ac:dyDescent="0.2">
      <c r="A313" s="15">
        <v>50375</v>
      </c>
      <c r="B313" s="10">
        <f>5.6308 * CHOOSE(CONTROL!$C$32, $C$9, 100%, $E$9)</f>
        <v>5.6307999999999998</v>
      </c>
      <c r="C313" s="10">
        <f>5.6308 * CHOOSE(CONTROL!$C$32, $C$9, 100%, $E$9)</f>
        <v>5.6307999999999998</v>
      </c>
      <c r="D313" s="10">
        <f>5.6318 * CHOOSE(CONTROL!$C$32, $C$9, 100%, $E$9)</f>
        <v>5.6318000000000001</v>
      </c>
      <c r="E313" s="9">
        <f>5.4823 * CHOOSE(CONTROL!$C$32, $C$9, 100%, $E$9)</f>
        <v>5.4823000000000004</v>
      </c>
      <c r="F313" s="9">
        <f>5.4823 * CHOOSE(CONTROL!$C$32, $C$9, 100%, $E$9)</f>
        <v>5.4823000000000004</v>
      </c>
      <c r="G313" s="9">
        <f>5.4855 * CHOOSE(CONTROL!$C$32, $C$9, 100%, $E$9)</f>
        <v>5.4855</v>
      </c>
      <c r="H313" s="9">
        <f>10.7428 * CHOOSE(CONTROL!$C$32, $C$9, 100%, $E$9)</f>
        <v>10.742800000000001</v>
      </c>
      <c r="I313" s="9">
        <f>10.7461 * CHOOSE(CONTROL!$C$32, $C$9, 100%, $E$9)</f>
        <v>10.7461</v>
      </c>
      <c r="J313" s="9">
        <f>10.7428 * CHOOSE(CONTROL!$C$32, $C$9, 100%, $E$9)</f>
        <v>10.742800000000001</v>
      </c>
      <c r="K313" s="9">
        <f>10.7461 * CHOOSE(CONTROL!$C$32, $C$9, 100%, $E$9)</f>
        <v>10.7461</v>
      </c>
      <c r="L313" s="9">
        <f>5.4823 * CHOOSE(CONTROL!$C$32, $C$9, 100%, $E$9)</f>
        <v>5.4823000000000004</v>
      </c>
      <c r="M313" s="9">
        <f>5.4855 * CHOOSE(CONTROL!$C$32, $C$9, 100%, $E$9)</f>
        <v>5.4855</v>
      </c>
      <c r="N313" s="9">
        <f>5.4823 * CHOOSE(CONTROL!$C$32, $C$9, 100%, $E$9)</f>
        <v>5.4823000000000004</v>
      </c>
      <c r="O313" s="9">
        <f>5.4855 * CHOOSE(CONTROL!$C$32, $C$9, 100%, $E$9)</f>
        <v>5.4855</v>
      </c>
    </row>
    <row r="314" spans="1:15" ht="15.75" x14ac:dyDescent="0.25">
      <c r="A314" s="14">
        <v>50436</v>
      </c>
      <c r="B314" s="10">
        <f>5.6787 * CHOOSE(CONTROL!$C$32, $C$9, 100%, $E$9)</f>
        <v>5.6787000000000001</v>
      </c>
      <c r="C314" s="10">
        <f>5.6787 * CHOOSE(CONTROL!$C$32, $C$9, 100%, $E$9)</f>
        <v>5.6787000000000001</v>
      </c>
      <c r="D314" s="10">
        <f>5.6797 * CHOOSE(CONTROL!$C$32, $C$9, 100%, $E$9)</f>
        <v>5.6797000000000004</v>
      </c>
      <c r="E314" s="9">
        <f>5.5584 * CHOOSE(CONTROL!$C$32, $C$9, 100%, $E$9)</f>
        <v>5.5583999999999998</v>
      </c>
      <c r="F314" s="9">
        <f>5.5584 * CHOOSE(CONTROL!$C$32, $C$9, 100%, $E$9)</f>
        <v>5.5583999999999998</v>
      </c>
      <c r="G314" s="9">
        <f>5.5616 * CHOOSE(CONTROL!$C$32, $C$9, 100%, $E$9)</f>
        <v>5.5616000000000003</v>
      </c>
      <c r="H314" s="9">
        <f>10.7652 * CHOOSE(CONTROL!$C$32, $C$9, 100%, $E$9)</f>
        <v>10.7652</v>
      </c>
      <c r="I314" s="9">
        <f>10.7684 * CHOOSE(CONTROL!$C$32, $C$9, 100%, $E$9)</f>
        <v>10.7684</v>
      </c>
      <c r="J314" s="9">
        <f>10.7652 * CHOOSE(CONTROL!$C$32, $C$9, 100%, $E$9)</f>
        <v>10.7652</v>
      </c>
      <c r="K314" s="9">
        <f>10.7684 * CHOOSE(CONTROL!$C$32, $C$9, 100%, $E$9)</f>
        <v>10.7684</v>
      </c>
      <c r="L314" s="9">
        <f>5.5584 * CHOOSE(CONTROL!$C$32, $C$9, 100%, $E$9)</f>
        <v>5.5583999999999998</v>
      </c>
      <c r="M314" s="9">
        <f>5.5616 * CHOOSE(CONTROL!$C$32, $C$9, 100%, $E$9)</f>
        <v>5.5616000000000003</v>
      </c>
      <c r="N314" s="9">
        <f>5.5584 * CHOOSE(CONTROL!$C$32, $C$9, 100%, $E$9)</f>
        <v>5.5583999999999998</v>
      </c>
      <c r="O314" s="9">
        <f>5.5616 * CHOOSE(CONTROL!$C$32, $C$9, 100%, $E$9)</f>
        <v>5.5616000000000003</v>
      </c>
    </row>
    <row r="315" spans="1:15" ht="15.75" x14ac:dyDescent="0.25">
      <c r="A315" s="14">
        <v>50464</v>
      </c>
      <c r="B315" s="10">
        <f>5.6757 * CHOOSE(CONTROL!$C$32, $C$9, 100%, $E$9)</f>
        <v>5.6757</v>
      </c>
      <c r="C315" s="10">
        <f>5.6757 * CHOOSE(CONTROL!$C$32, $C$9, 100%, $E$9)</f>
        <v>5.6757</v>
      </c>
      <c r="D315" s="10">
        <f>5.6767 * CHOOSE(CONTROL!$C$32, $C$9, 100%, $E$9)</f>
        <v>5.6767000000000003</v>
      </c>
      <c r="E315" s="9">
        <f>5.4544 * CHOOSE(CONTROL!$C$32, $C$9, 100%, $E$9)</f>
        <v>5.4543999999999997</v>
      </c>
      <c r="F315" s="9">
        <f>5.4544 * CHOOSE(CONTROL!$C$32, $C$9, 100%, $E$9)</f>
        <v>5.4543999999999997</v>
      </c>
      <c r="G315" s="9">
        <f>5.4576 * CHOOSE(CONTROL!$C$32, $C$9, 100%, $E$9)</f>
        <v>5.4576000000000002</v>
      </c>
      <c r="H315" s="9">
        <f>10.7876 * CHOOSE(CONTROL!$C$32, $C$9, 100%, $E$9)</f>
        <v>10.787599999999999</v>
      </c>
      <c r="I315" s="9">
        <f>10.7909 * CHOOSE(CONTROL!$C$32, $C$9, 100%, $E$9)</f>
        <v>10.790900000000001</v>
      </c>
      <c r="J315" s="9">
        <f>10.7876 * CHOOSE(CONTROL!$C$32, $C$9, 100%, $E$9)</f>
        <v>10.787599999999999</v>
      </c>
      <c r="K315" s="9">
        <f>10.7909 * CHOOSE(CONTROL!$C$32, $C$9, 100%, $E$9)</f>
        <v>10.790900000000001</v>
      </c>
      <c r="L315" s="9">
        <f>5.4544 * CHOOSE(CONTROL!$C$32, $C$9, 100%, $E$9)</f>
        <v>5.4543999999999997</v>
      </c>
      <c r="M315" s="9">
        <f>5.4576 * CHOOSE(CONTROL!$C$32, $C$9, 100%, $E$9)</f>
        <v>5.4576000000000002</v>
      </c>
      <c r="N315" s="9">
        <f>5.4544 * CHOOSE(CONTROL!$C$32, $C$9, 100%, $E$9)</f>
        <v>5.4543999999999997</v>
      </c>
      <c r="O315" s="9">
        <f>5.4576 * CHOOSE(CONTROL!$C$32, $C$9, 100%, $E$9)</f>
        <v>5.4576000000000002</v>
      </c>
    </row>
    <row r="316" spans="1:15" ht="15.75" x14ac:dyDescent="0.25">
      <c r="A316" s="14">
        <v>50495</v>
      </c>
      <c r="B316" s="10">
        <f>5.6727 * CHOOSE(CONTROL!$C$32, $C$9, 100%, $E$9)</f>
        <v>5.6726999999999999</v>
      </c>
      <c r="C316" s="10">
        <f>5.6727 * CHOOSE(CONTROL!$C$32, $C$9, 100%, $E$9)</f>
        <v>5.6726999999999999</v>
      </c>
      <c r="D316" s="10">
        <f>5.6736 * CHOOSE(CONTROL!$C$32, $C$9, 100%, $E$9)</f>
        <v>5.6736000000000004</v>
      </c>
      <c r="E316" s="9">
        <f>5.5326 * CHOOSE(CONTROL!$C$32, $C$9, 100%, $E$9)</f>
        <v>5.5326000000000004</v>
      </c>
      <c r="F316" s="9">
        <f>5.5326 * CHOOSE(CONTROL!$C$32, $C$9, 100%, $E$9)</f>
        <v>5.5326000000000004</v>
      </c>
      <c r="G316" s="9">
        <f>5.5358 * CHOOSE(CONTROL!$C$32, $C$9, 100%, $E$9)</f>
        <v>5.5358000000000001</v>
      </c>
      <c r="H316" s="9">
        <f>10.8101 * CHOOSE(CONTROL!$C$32, $C$9, 100%, $E$9)</f>
        <v>10.8101</v>
      </c>
      <c r="I316" s="9">
        <f>10.8133 * CHOOSE(CONTROL!$C$32, $C$9, 100%, $E$9)</f>
        <v>10.8133</v>
      </c>
      <c r="J316" s="9">
        <f>10.8101 * CHOOSE(CONTROL!$C$32, $C$9, 100%, $E$9)</f>
        <v>10.8101</v>
      </c>
      <c r="K316" s="9">
        <f>10.8133 * CHOOSE(CONTROL!$C$32, $C$9, 100%, $E$9)</f>
        <v>10.8133</v>
      </c>
      <c r="L316" s="9">
        <f>5.5326 * CHOOSE(CONTROL!$C$32, $C$9, 100%, $E$9)</f>
        <v>5.5326000000000004</v>
      </c>
      <c r="M316" s="9">
        <f>5.5358 * CHOOSE(CONTROL!$C$32, $C$9, 100%, $E$9)</f>
        <v>5.5358000000000001</v>
      </c>
      <c r="N316" s="9">
        <f>5.5326 * CHOOSE(CONTROL!$C$32, $C$9, 100%, $E$9)</f>
        <v>5.5326000000000004</v>
      </c>
      <c r="O316" s="9">
        <f>5.5358 * CHOOSE(CONTROL!$C$32, $C$9, 100%, $E$9)</f>
        <v>5.5358000000000001</v>
      </c>
    </row>
    <row r="317" spans="1:15" ht="15.75" x14ac:dyDescent="0.25">
      <c r="A317" s="14">
        <v>50525</v>
      </c>
      <c r="B317" s="10">
        <f>5.6721 * CHOOSE(CONTROL!$C$32, $C$9, 100%, $E$9)</f>
        <v>5.6721000000000004</v>
      </c>
      <c r="C317" s="10">
        <f>5.6721 * CHOOSE(CONTROL!$C$32, $C$9, 100%, $E$9)</f>
        <v>5.6721000000000004</v>
      </c>
      <c r="D317" s="10">
        <f>5.6731 * CHOOSE(CONTROL!$C$32, $C$9, 100%, $E$9)</f>
        <v>5.6730999999999998</v>
      </c>
      <c r="E317" s="9">
        <f>5.6145 * CHOOSE(CONTROL!$C$32, $C$9, 100%, $E$9)</f>
        <v>5.6144999999999996</v>
      </c>
      <c r="F317" s="9">
        <f>5.6145 * CHOOSE(CONTROL!$C$32, $C$9, 100%, $E$9)</f>
        <v>5.6144999999999996</v>
      </c>
      <c r="G317" s="9">
        <f>5.6178 * CHOOSE(CONTROL!$C$32, $C$9, 100%, $E$9)</f>
        <v>5.6177999999999999</v>
      </c>
      <c r="H317" s="9">
        <f>10.8326 * CHOOSE(CONTROL!$C$32, $C$9, 100%, $E$9)</f>
        <v>10.832599999999999</v>
      </c>
      <c r="I317" s="9">
        <f>10.8359 * CHOOSE(CONTROL!$C$32, $C$9, 100%, $E$9)</f>
        <v>10.835900000000001</v>
      </c>
      <c r="J317" s="9">
        <f>10.8326 * CHOOSE(CONTROL!$C$32, $C$9, 100%, $E$9)</f>
        <v>10.832599999999999</v>
      </c>
      <c r="K317" s="9">
        <f>10.8359 * CHOOSE(CONTROL!$C$32, $C$9, 100%, $E$9)</f>
        <v>10.835900000000001</v>
      </c>
      <c r="L317" s="9">
        <f>5.6145 * CHOOSE(CONTROL!$C$32, $C$9, 100%, $E$9)</f>
        <v>5.6144999999999996</v>
      </c>
      <c r="M317" s="9">
        <f>5.6178 * CHOOSE(CONTROL!$C$32, $C$9, 100%, $E$9)</f>
        <v>5.6177999999999999</v>
      </c>
      <c r="N317" s="9">
        <f>5.6145 * CHOOSE(CONTROL!$C$32, $C$9, 100%, $E$9)</f>
        <v>5.6144999999999996</v>
      </c>
      <c r="O317" s="9">
        <f>5.6178 * CHOOSE(CONTROL!$C$32, $C$9, 100%, $E$9)</f>
        <v>5.6177999999999999</v>
      </c>
    </row>
    <row r="318" spans="1:15" ht="15.75" x14ac:dyDescent="0.25">
      <c r="A318" s="14">
        <v>50556</v>
      </c>
      <c r="B318" s="10">
        <f>5.6721 * CHOOSE(CONTROL!$C$32, $C$9, 100%, $E$9)</f>
        <v>5.6721000000000004</v>
      </c>
      <c r="C318" s="10">
        <f>5.6721 * CHOOSE(CONTROL!$C$32, $C$9, 100%, $E$9)</f>
        <v>5.6721000000000004</v>
      </c>
      <c r="D318" s="10">
        <f>5.6734 * CHOOSE(CONTROL!$C$32, $C$9, 100%, $E$9)</f>
        <v>5.6734</v>
      </c>
      <c r="E318" s="9">
        <f>5.6469 * CHOOSE(CONTROL!$C$32, $C$9, 100%, $E$9)</f>
        <v>5.6468999999999996</v>
      </c>
      <c r="F318" s="9">
        <f>5.6469 * CHOOSE(CONTROL!$C$32, $C$9, 100%, $E$9)</f>
        <v>5.6468999999999996</v>
      </c>
      <c r="G318" s="9">
        <f>5.6511 * CHOOSE(CONTROL!$C$32, $C$9, 100%, $E$9)</f>
        <v>5.6510999999999996</v>
      </c>
      <c r="H318" s="9">
        <f>10.8552 * CHOOSE(CONTROL!$C$32, $C$9, 100%, $E$9)</f>
        <v>10.8552</v>
      </c>
      <c r="I318" s="9">
        <f>10.8594 * CHOOSE(CONTROL!$C$32, $C$9, 100%, $E$9)</f>
        <v>10.859400000000001</v>
      </c>
      <c r="J318" s="9">
        <f>10.8552 * CHOOSE(CONTROL!$C$32, $C$9, 100%, $E$9)</f>
        <v>10.8552</v>
      </c>
      <c r="K318" s="9">
        <f>10.8594 * CHOOSE(CONTROL!$C$32, $C$9, 100%, $E$9)</f>
        <v>10.859400000000001</v>
      </c>
      <c r="L318" s="9">
        <f>5.6469 * CHOOSE(CONTROL!$C$32, $C$9, 100%, $E$9)</f>
        <v>5.6468999999999996</v>
      </c>
      <c r="M318" s="9">
        <f>5.6511 * CHOOSE(CONTROL!$C$32, $C$9, 100%, $E$9)</f>
        <v>5.6510999999999996</v>
      </c>
      <c r="N318" s="9">
        <f>5.6469 * CHOOSE(CONTROL!$C$32, $C$9, 100%, $E$9)</f>
        <v>5.6468999999999996</v>
      </c>
      <c r="O318" s="9">
        <f>5.6511 * CHOOSE(CONTROL!$C$32, $C$9, 100%, $E$9)</f>
        <v>5.6510999999999996</v>
      </c>
    </row>
    <row r="319" spans="1:15" ht="15.75" x14ac:dyDescent="0.25">
      <c r="A319" s="14">
        <v>50586</v>
      </c>
      <c r="B319" s="10">
        <f>5.6782 * CHOOSE(CONTROL!$C$32, $C$9, 100%, $E$9)</f>
        <v>5.6782000000000004</v>
      </c>
      <c r="C319" s="10">
        <f>5.6782 * CHOOSE(CONTROL!$C$32, $C$9, 100%, $E$9)</f>
        <v>5.6782000000000004</v>
      </c>
      <c r="D319" s="10">
        <f>5.6794 * CHOOSE(CONTROL!$C$32, $C$9, 100%, $E$9)</f>
        <v>5.6794000000000002</v>
      </c>
      <c r="E319" s="9">
        <f>5.6188 * CHOOSE(CONTROL!$C$32, $C$9, 100%, $E$9)</f>
        <v>5.6188000000000002</v>
      </c>
      <c r="F319" s="9">
        <f>5.6188 * CHOOSE(CONTROL!$C$32, $C$9, 100%, $E$9)</f>
        <v>5.6188000000000002</v>
      </c>
      <c r="G319" s="9">
        <f>5.623 * CHOOSE(CONTROL!$C$32, $C$9, 100%, $E$9)</f>
        <v>5.6230000000000002</v>
      </c>
      <c r="H319" s="9">
        <f>10.8778 * CHOOSE(CONTROL!$C$32, $C$9, 100%, $E$9)</f>
        <v>10.877800000000001</v>
      </c>
      <c r="I319" s="9">
        <f>10.882 * CHOOSE(CONTROL!$C$32, $C$9, 100%, $E$9)</f>
        <v>10.882</v>
      </c>
      <c r="J319" s="9">
        <f>10.8778 * CHOOSE(CONTROL!$C$32, $C$9, 100%, $E$9)</f>
        <v>10.877800000000001</v>
      </c>
      <c r="K319" s="9">
        <f>10.882 * CHOOSE(CONTROL!$C$32, $C$9, 100%, $E$9)</f>
        <v>10.882</v>
      </c>
      <c r="L319" s="9">
        <f>5.6188 * CHOOSE(CONTROL!$C$32, $C$9, 100%, $E$9)</f>
        <v>5.6188000000000002</v>
      </c>
      <c r="M319" s="9">
        <f>5.623 * CHOOSE(CONTROL!$C$32, $C$9, 100%, $E$9)</f>
        <v>5.6230000000000002</v>
      </c>
      <c r="N319" s="9">
        <f>5.6188 * CHOOSE(CONTROL!$C$32, $C$9, 100%, $E$9)</f>
        <v>5.6188000000000002</v>
      </c>
      <c r="O319" s="9">
        <f>5.623 * CHOOSE(CONTROL!$C$32, $C$9, 100%, $E$9)</f>
        <v>5.6230000000000002</v>
      </c>
    </row>
    <row r="320" spans="1:15" ht="15.75" x14ac:dyDescent="0.25">
      <c r="A320" s="14">
        <v>50617</v>
      </c>
      <c r="B320" s="10">
        <f>5.7636 * CHOOSE(CONTROL!$C$32, $C$9, 100%, $E$9)</f>
        <v>5.7636000000000003</v>
      </c>
      <c r="C320" s="10">
        <f>5.7636 * CHOOSE(CONTROL!$C$32, $C$9, 100%, $E$9)</f>
        <v>5.7636000000000003</v>
      </c>
      <c r="D320" s="10">
        <f>5.7648 * CHOOSE(CONTROL!$C$32, $C$9, 100%, $E$9)</f>
        <v>5.7648000000000001</v>
      </c>
      <c r="E320" s="9">
        <f>5.69 * CHOOSE(CONTROL!$C$32, $C$9, 100%, $E$9)</f>
        <v>5.69</v>
      </c>
      <c r="F320" s="9">
        <f>5.69 * CHOOSE(CONTROL!$C$32, $C$9, 100%, $E$9)</f>
        <v>5.69</v>
      </c>
      <c r="G320" s="9">
        <f>5.6942 * CHOOSE(CONTROL!$C$32, $C$9, 100%, $E$9)</f>
        <v>5.6942000000000004</v>
      </c>
      <c r="H320" s="9">
        <f>10.9005 * CHOOSE(CONTROL!$C$32, $C$9, 100%, $E$9)</f>
        <v>10.900499999999999</v>
      </c>
      <c r="I320" s="9">
        <f>10.9047 * CHOOSE(CONTROL!$C$32, $C$9, 100%, $E$9)</f>
        <v>10.9047</v>
      </c>
      <c r="J320" s="9">
        <f>10.9005 * CHOOSE(CONTROL!$C$32, $C$9, 100%, $E$9)</f>
        <v>10.900499999999999</v>
      </c>
      <c r="K320" s="9">
        <f>10.9047 * CHOOSE(CONTROL!$C$32, $C$9, 100%, $E$9)</f>
        <v>10.9047</v>
      </c>
      <c r="L320" s="9">
        <f>5.69 * CHOOSE(CONTROL!$C$32, $C$9, 100%, $E$9)</f>
        <v>5.69</v>
      </c>
      <c r="M320" s="9">
        <f>5.6942 * CHOOSE(CONTROL!$C$32, $C$9, 100%, $E$9)</f>
        <v>5.6942000000000004</v>
      </c>
      <c r="N320" s="9">
        <f>5.69 * CHOOSE(CONTROL!$C$32, $C$9, 100%, $E$9)</f>
        <v>5.69</v>
      </c>
      <c r="O320" s="9">
        <f>5.6942 * CHOOSE(CONTROL!$C$32, $C$9, 100%, $E$9)</f>
        <v>5.6942000000000004</v>
      </c>
    </row>
    <row r="321" spans="1:15" ht="15.75" x14ac:dyDescent="0.25">
      <c r="A321" s="14">
        <v>50648</v>
      </c>
      <c r="B321" s="10">
        <f>5.7703 * CHOOSE(CONTROL!$C$32, $C$9, 100%, $E$9)</f>
        <v>5.7702999999999998</v>
      </c>
      <c r="C321" s="10">
        <f>5.7703 * CHOOSE(CONTROL!$C$32, $C$9, 100%, $E$9)</f>
        <v>5.7702999999999998</v>
      </c>
      <c r="D321" s="10">
        <f>5.7715 * CHOOSE(CONTROL!$C$32, $C$9, 100%, $E$9)</f>
        <v>5.7714999999999996</v>
      </c>
      <c r="E321" s="9">
        <f>5.5977 * CHOOSE(CONTROL!$C$32, $C$9, 100%, $E$9)</f>
        <v>5.5976999999999997</v>
      </c>
      <c r="F321" s="9">
        <f>5.5977 * CHOOSE(CONTROL!$C$32, $C$9, 100%, $E$9)</f>
        <v>5.5976999999999997</v>
      </c>
      <c r="G321" s="9">
        <f>5.6019 * CHOOSE(CONTROL!$C$32, $C$9, 100%, $E$9)</f>
        <v>5.6018999999999997</v>
      </c>
      <c r="H321" s="9">
        <f>10.9232 * CHOOSE(CONTROL!$C$32, $C$9, 100%, $E$9)</f>
        <v>10.9232</v>
      </c>
      <c r="I321" s="9">
        <f>10.9274 * CHOOSE(CONTROL!$C$32, $C$9, 100%, $E$9)</f>
        <v>10.9274</v>
      </c>
      <c r="J321" s="9">
        <f>10.9232 * CHOOSE(CONTROL!$C$32, $C$9, 100%, $E$9)</f>
        <v>10.9232</v>
      </c>
      <c r="K321" s="9">
        <f>10.9274 * CHOOSE(CONTROL!$C$32, $C$9, 100%, $E$9)</f>
        <v>10.9274</v>
      </c>
      <c r="L321" s="9">
        <f>5.5977 * CHOOSE(CONTROL!$C$32, $C$9, 100%, $E$9)</f>
        <v>5.5976999999999997</v>
      </c>
      <c r="M321" s="9">
        <f>5.6019 * CHOOSE(CONTROL!$C$32, $C$9, 100%, $E$9)</f>
        <v>5.6018999999999997</v>
      </c>
      <c r="N321" s="9">
        <f>5.5977 * CHOOSE(CONTROL!$C$32, $C$9, 100%, $E$9)</f>
        <v>5.5976999999999997</v>
      </c>
      <c r="O321" s="9">
        <f>5.6019 * CHOOSE(CONTROL!$C$32, $C$9, 100%, $E$9)</f>
        <v>5.6018999999999997</v>
      </c>
    </row>
    <row r="322" spans="1:15" ht="15.75" x14ac:dyDescent="0.25">
      <c r="A322" s="14">
        <v>50678</v>
      </c>
      <c r="B322" s="10">
        <f>5.7672 * CHOOSE(CONTROL!$C$32, $C$9, 100%, $E$9)</f>
        <v>5.7671999999999999</v>
      </c>
      <c r="C322" s="10">
        <f>5.7672 * CHOOSE(CONTROL!$C$32, $C$9, 100%, $E$9)</f>
        <v>5.7671999999999999</v>
      </c>
      <c r="D322" s="10">
        <f>5.7685 * CHOOSE(CONTROL!$C$32, $C$9, 100%, $E$9)</f>
        <v>5.7685000000000004</v>
      </c>
      <c r="E322" s="9">
        <f>5.5848 * CHOOSE(CONTROL!$C$32, $C$9, 100%, $E$9)</f>
        <v>5.5848000000000004</v>
      </c>
      <c r="F322" s="9">
        <f>5.5848 * CHOOSE(CONTROL!$C$32, $C$9, 100%, $E$9)</f>
        <v>5.5848000000000004</v>
      </c>
      <c r="G322" s="9">
        <f>5.589 * CHOOSE(CONTROL!$C$32, $C$9, 100%, $E$9)</f>
        <v>5.5890000000000004</v>
      </c>
      <c r="H322" s="9">
        <f>10.9459 * CHOOSE(CONTROL!$C$32, $C$9, 100%, $E$9)</f>
        <v>10.9459</v>
      </c>
      <c r="I322" s="9">
        <f>10.9501 * CHOOSE(CONTROL!$C$32, $C$9, 100%, $E$9)</f>
        <v>10.950100000000001</v>
      </c>
      <c r="J322" s="9">
        <f>10.9459 * CHOOSE(CONTROL!$C$32, $C$9, 100%, $E$9)</f>
        <v>10.9459</v>
      </c>
      <c r="K322" s="9">
        <f>10.9501 * CHOOSE(CONTROL!$C$32, $C$9, 100%, $E$9)</f>
        <v>10.950100000000001</v>
      </c>
      <c r="L322" s="9">
        <f>5.5848 * CHOOSE(CONTROL!$C$32, $C$9, 100%, $E$9)</f>
        <v>5.5848000000000004</v>
      </c>
      <c r="M322" s="9">
        <f>5.589 * CHOOSE(CONTROL!$C$32, $C$9, 100%, $E$9)</f>
        <v>5.5890000000000004</v>
      </c>
      <c r="N322" s="9">
        <f>5.5848 * CHOOSE(CONTROL!$C$32, $C$9, 100%, $E$9)</f>
        <v>5.5848000000000004</v>
      </c>
      <c r="O322" s="9">
        <f>5.589 * CHOOSE(CONTROL!$C$32, $C$9, 100%, $E$9)</f>
        <v>5.5890000000000004</v>
      </c>
    </row>
    <row r="323" spans="1:15" ht="15.75" x14ac:dyDescent="0.25">
      <c r="A323" s="14">
        <v>50709</v>
      </c>
      <c r="B323" s="10">
        <f>5.7696 * CHOOSE(CONTROL!$C$32, $C$9, 100%, $E$9)</f>
        <v>5.7695999999999996</v>
      </c>
      <c r="C323" s="10">
        <f>5.7696 * CHOOSE(CONTROL!$C$32, $C$9, 100%, $E$9)</f>
        <v>5.7695999999999996</v>
      </c>
      <c r="D323" s="10">
        <f>5.7705 * CHOOSE(CONTROL!$C$32, $C$9, 100%, $E$9)</f>
        <v>5.7705000000000002</v>
      </c>
      <c r="E323" s="9">
        <f>5.6145 * CHOOSE(CONTROL!$C$32, $C$9, 100%, $E$9)</f>
        <v>5.6144999999999996</v>
      </c>
      <c r="F323" s="9">
        <f>5.6145 * CHOOSE(CONTROL!$C$32, $C$9, 100%, $E$9)</f>
        <v>5.6144999999999996</v>
      </c>
      <c r="G323" s="9">
        <f>5.6177 * CHOOSE(CONTROL!$C$32, $C$9, 100%, $E$9)</f>
        <v>5.6177000000000001</v>
      </c>
      <c r="H323" s="9">
        <f>10.9687 * CHOOSE(CONTROL!$C$32, $C$9, 100%, $E$9)</f>
        <v>10.9687</v>
      </c>
      <c r="I323" s="9">
        <f>10.972 * CHOOSE(CONTROL!$C$32, $C$9, 100%, $E$9)</f>
        <v>10.972</v>
      </c>
      <c r="J323" s="9">
        <f>10.9687 * CHOOSE(CONTROL!$C$32, $C$9, 100%, $E$9)</f>
        <v>10.9687</v>
      </c>
      <c r="K323" s="9">
        <f>10.972 * CHOOSE(CONTROL!$C$32, $C$9, 100%, $E$9)</f>
        <v>10.972</v>
      </c>
      <c r="L323" s="9">
        <f>5.6145 * CHOOSE(CONTROL!$C$32, $C$9, 100%, $E$9)</f>
        <v>5.6144999999999996</v>
      </c>
      <c r="M323" s="9">
        <f>5.6177 * CHOOSE(CONTROL!$C$32, $C$9, 100%, $E$9)</f>
        <v>5.6177000000000001</v>
      </c>
      <c r="N323" s="9">
        <f>5.6145 * CHOOSE(CONTROL!$C$32, $C$9, 100%, $E$9)</f>
        <v>5.6144999999999996</v>
      </c>
      <c r="O323" s="9">
        <f>5.6177 * CHOOSE(CONTROL!$C$32, $C$9, 100%, $E$9)</f>
        <v>5.6177000000000001</v>
      </c>
    </row>
    <row r="324" spans="1:15" ht="15.75" x14ac:dyDescent="0.25">
      <c r="A324" s="14">
        <v>50739</v>
      </c>
      <c r="B324" s="10">
        <f>5.7726 * CHOOSE(CONTROL!$C$32, $C$9, 100%, $E$9)</f>
        <v>5.7725999999999997</v>
      </c>
      <c r="C324" s="10">
        <f>5.7726 * CHOOSE(CONTROL!$C$32, $C$9, 100%, $E$9)</f>
        <v>5.7725999999999997</v>
      </c>
      <c r="D324" s="10">
        <f>5.7736 * CHOOSE(CONTROL!$C$32, $C$9, 100%, $E$9)</f>
        <v>5.7736000000000001</v>
      </c>
      <c r="E324" s="9">
        <f>5.6381 * CHOOSE(CONTROL!$C$32, $C$9, 100%, $E$9)</f>
        <v>5.6380999999999997</v>
      </c>
      <c r="F324" s="9">
        <f>5.6381 * CHOOSE(CONTROL!$C$32, $C$9, 100%, $E$9)</f>
        <v>5.6380999999999997</v>
      </c>
      <c r="G324" s="9">
        <f>5.6414 * CHOOSE(CONTROL!$C$32, $C$9, 100%, $E$9)</f>
        <v>5.6414</v>
      </c>
      <c r="H324" s="9">
        <f>10.9916 * CHOOSE(CONTROL!$C$32, $C$9, 100%, $E$9)</f>
        <v>10.9916</v>
      </c>
      <c r="I324" s="9">
        <f>10.9948 * CHOOSE(CONTROL!$C$32, $C$9, 100%, $E$9)</f>
        <v>10.9948</v>
      </c>
      <c r="J324" s="9">
        <f>10.9916 * CHOOSE(CONTROL!$C$32, $C$9, 100%, $E$9)</f>
        <v>10.9916</v>
      </c>
      <c r="K324" s="9">
        <f>10.9948 * CHOOSE(CONTROL!$C$32, $C$9, 100%, $E$9)</f>
        <v>10.9948</v>
      </c>
      <c r="L324" s="9">
        <f>5.6381 * CHOOSE(CONTROL!$C$32, $C$9, 100%, $E$9)</f>
        <v>5.6380999999999997</v>
      </c>
      <c r="M324" s="9">
        <f>5.6414 * CHOOSE(CONTROL!$C$32, $C$9, 100%, $E$9)</f>
        <v>5.6414</v>
      </c>
      <c r="N324" s="9">
        <f>5.6381 * CHOOSE(CONTROL!$C$32, $C$9, 100%, $E$9)</f>
        <v>5.6380999999999997</v>
      </c>
      <c r="O324" s="9">
        <f>5.6414 * CHOOSE(CONTROL!$C$32, $C$9, 100%, $E$9)</f>
        <v>5.6414</v>
      </c>
    </row>
    <row r="325" spans="1:15" ht="15.75" x14ac:dyDescent="0.25">
      <c r="A325" s="14">
        <v>50770</v>
      </c>
      <c r="B325" s="10">
        <f>5.7726 * CHOOSE(CONTROL!$C$32, $C$9, 100%, $E$9)</f>
        <v>5.7725999999999997</v>
      </c>
      <c r="C325" s="10">
        <f>5.7726 * CHOOSE(CONTROL!$C$32, $C$9, 100%, $E$9)</f>
        <v>5.7725999999999997</v>
      </c>
      <c r="D325" s="10">
        <f>5.7736 * CHOOSE(CONTROL!$C$32, $C$9, 100%, $E$9)</f>
        <v>5.7736000000000001</v>
      </c>
      <c r="E325" s="9">
        <f>5.6156 * CHOOSE(CONTROL!$C$32, $C$9, 100%, $E$9)</f>
        <v>5.6155999999999997</v>
      </c>
      <c r="F325" s="9">
        <f>5.6156 * CHOOSE(CONTROL!$C$32, $C$9, 100%, $E$9)</f>
        <v>5.6155999999999997</v>
      </c>
      <c r="G325" s="9">
        <f>5.6188 * CHOOSE(CONTROL!$C$32, $C$9, 100%, $E$9)</f>
        <v>5.6188000000000002</v>
      </c>
      <c r="H325" s="9">
        <f>11.0145 * CHOOSE(CONTROL!$C$32, $C$9, 100%, $E$9)</f>
        <v>11.0145</v>
      </c>
      <c r="I325" s="9">
        <f>11.0177 * CHOOSE(CONTROL!$C$32, $C$9, 100%, $E$9)</f>
        <v>11.0177</v>
      </c>
      <c r="J325" s="9">
        <f>11.0145 * CHOOSE(CONTROL!$C$32, $C$9, 100%, $E$9)</f>
        <v>11.0145</v>
      </c>
      <c r="K325" s="9">
        <f>11.0177 * CHOOSE(CONTROL!$C$32, $C$9, 100%, $E$9)</f>
        <v>11.0177</v>
      </c>
      <c r="L325" s="9">
        <f>5.6156 * CHOOSE(CONTROL!$C$32, $C$9, 100%, $E$9)</f>
        <v>5.6155999999999997</v>
      </c>
      <c r="M325" s="9">
        <f>5.6188 * CHOOSE(CONTROL!$C$32, $C$9, 100%, $E$9)</f>
        <v>5.6188000000000002</v>
      </c>
      <c r="N325" s="9">
        <f>5.6156 * CHOOSE(CONTROL!$C$32, $C$9, 100%, $E$9)</f>
        <v>5.6155999999999997</v>
      </c>
      <c r="O325" s="9">
        <f>5.6188 * CHOOSE(CONTROL!$C$32, $C$9, 100%, $E$9)</f>
        <v>5.6188000000000002</v>
      </c>
    </row>
    <row r="326" spans="1:15" ht="15.75" x14ac:dyDescent="0.25">
      <c r="A326" s="14">
        <v>50801</v>
      </c>
      <c r="B326" s="10">
        <f>5.822 * CHOOSE(CONTROL!$C$32, $C$9, 100%, $E$9)</f>
        <v>5.8220000000000001</v>
      </c>
      <c r="C326" s="10">
        <f>5.822 * CHOOSE(CONTROL!$C$32, $C$9, 100%, $E$9)</f>
        <v>5.8220000000000001</v>
      </c>
      <c r="D326" s="10">
        <f>5.8229 * CHOOSE(CONTROL!$C$32, $C$9, 100%, $E$9)</f>
        <v>5.8228999999999997</v>
      </c>
      <c r="E326" s="9">
        <f>5.6604 * CHOOSE(CONTROL!$C$32, $C$9, 100%, $E$9)</f>
        <v>5.6604000000000001</v>
      </c>
      <c r="F326" s="9">
        <f>5.6604 * CHOOSE(CONTROL!$C$32, $C$9, 100%, $E$9)</f>
        <v>5.6604000000000001</v>
      </c>
      <c r="G326" s="9">
        <f>5.6636 * CHOOSE(CONTROL!$C$32, $C$9, 100%, $E$9)</f>
        <v>5.6635999999999997</v>
      </c>
      <c r="H326" s="9">
        <f>11.0374 * CHOOSE(CONTROL!$C$32, $C$9, 100%, $E$9)</f>
        <v>11.0374</v>
      </c>
      <c r="I326" s="9">
        <f>11.0407 * CHOOSE(CONTROL!$C$32, $C$9, 100%, $E$9)</f>
        <v>11.040699999999999</v>
      </c>
      <c r="J326" s="9">
        <f>11.0374 * CHOOSE(CONTROL!$C$32, $C$9, 100%, $E$9)</f>
        <v>11.0374</v>
      </c>
      <c r="K326" s="9">
        <f>11.0407 * CHOOSE(CONTROL!$C$32, $C$9, 100%, $E$9)</f>
        <v>11.040699999999999</v>
      </c>
      <c r="L326" s="9">
        <f>5.6604 * CHOOSE(CONTROL!$C$32, $C$9, 100%, $E$9)</f>
        <v>5.6604000000000001</v>
      </c>
      <c r="M326" s="9">
        <f>5.6636 * CHOOSE(CONTROL!$C$32, $C$9, 100%, $E$9)</f>
        <v>5.6635999999999997</v>
      </c>
      <c r="N326" s="9">
        <f>5.6604 * CHOOSE(CONTROL!$C$32, $C$9, 100%, $E$9)</f>
        <v>5.6604000000000001</v>
      </c>
      <c r="O326" s="9">
        <f>5.6636 * CHOOSE(CONTROL!$C$32, $C$9, 100%, $E$9)</f>
        <v>5.6635999999999997</v>
      </c>
    </row>
    <row r="327" spans="1:15" ht="15.75" x14ac:dyDescent="0.25">
      <c r="A327" s="14">
        <v>50829</v>
      </c>
      <c r="B327" s="10">
        <f>5.8189 * CHOOSE(CONTROL!$C$32, $C$9, 100%, $E$9)</f>
        <v>5.8189000000000002</v>
      </c>
      <c r="C327" s="10">
        <f>5.8189 * CHOOSE(CONTROL!$C$32, $C$9, 100%, $E$9)</f>
        <v>5.8189000000000002</v>
      </c>
      <c r="D327" s="10">
        <f>5.8199 * CHOOSE(CONTROL!$C$32, $C$9, 100%, $E$9)</f>
        <v>5.8198999999999996</v>
      </c>
      <c r="E327" s="9">
        <f>5.5534 * CHOOSE(CONTROL!$C$32, $C$9, 100%, $E$9)</f>
        <v>5.5533999999999999</v>
      </c>
      <c r="F327" s="9">
        <f>5.5534 * CHOOSE(CONTROL!$C$32, $C$9, 100%, $E$9)</f>
        <v>5.5533999999999999</v>
      </c>
      <c r="G327" s="9">
        <f>5.5566 * CHOOSE(CONTROL!$C$32, $C$9, 100%, $E$9)</f>
        <v>5.5566000000000004</v>
      </c>
      <c r="H327" s="9">
        <f>11.0604 * CHOOSE(CONTROL!$C$32, $C$9, 100%, $E$9)</f>
        <v>11.0604</v>
      </c>
      <c r="I327" s="9">
        <f>11.0637 * CHOOSE(CONTROL!$C$32, $C$9, 100%, $E$9)</f>
        <v>11.063700000000001</v>
      </c>
      <c r="J327" s="9">
        <f>11.0604 * CHOOSE(CONTROL!$C$32, $C$9, 100%, $E$9)</f>
        <v>11.0604</v>
      </c>
      <c r="K327" s="9">
        <f>11.0637 * CHOOSE(CONTROL!$C$32, $C$9, 100%, $E$9)</f>
        <v>11.063700000000001</v>
      </c>
      <c r="L327" s="9">
        <f>5.5534 * CHOOSE(CONTROL!$C$32, $C$9, 100%, $E$9)</f>
        <v>5.5533999999999999</v>
      </c>
      <c r="M327" s="9">
        <f>5.5566 * CHOOSE(CONTROL!$C$32, $C$9, 100%, $E$9)</f>
        <v>5.5566000000000004</v>
      </c>
      <c r="N327" s="9">
        <f>5.5534 * CHOOSE(CONTROL!$C$32, $C$9, 100%, $E$9)</f>
        <v>5.5533999999999999</v>
      </c>
      <c r="O327" s="9">
        <f>5.5566 * CHOOSE(CONTROL!$C$32, $C$9, 100%, $E$9)</f>
        <v>5.5566000000000004</v>
      </c>
    </row>
    <row r="328" spans="1:15" ht="15.75" x14ac:dyDescent="0.25">
      <c r="A328" s="14">
        <v>50860</v>
      </c>
      <c r="B328" s="10">
        <f>5.8159 * CHOOSE(CONTROL!$C$32, $C$9, 100%, $E$9)</f>
        <v>5.8159000000000001</v>
      </c>
      <c r="C328" s="10">
        <f>5.8159 * CHOOSE(CONTROL!$C$32, $C$9, 100%, $E$9)</f>
        <v>5.8159000000000001</v>
      </c>
      <c r="D328" s="10">
        <f>5.8169 * CHOOSE(CONTROL!$C$32, $C$9, 100%, $E$9)</f>
        <v>5.8169000000000004</v>
      </c>
      <c r="E328" s="9">
        <f>5.634 * CHOOSE(CONTROL!$C$32, $C$9, 100%, $E$9)</f>
        <v>5.6340000000000003</v>
      </c>
      <c r="F328" s="9">
        <f>5.634 * CHOOSE(CONTROL!$C$32, $C$9, 100%, $E$9)</f>
        <v>5.6340000000000003</v>
      </c>
      <c r="G328" s="9">
        <f>5.6372 * CHOOSE(CONTROL!$C$32, $C$9, 100%, $E$9)</f>
        <v>5.6372</v>
      </c>
      <c r="H328" s="9">
        <f>11.0835 * CHOOSE(CONTROL!$C$32, $C$9, 100%, $E$9)</f>
        <v>11.083500000000001</v>
      </c>
      <c r="I328" s="9">
        <f>11.0867 * CHOOSE(CONTROL!$C$32, $C$9, 100%, $E$9)</f>
        <v>11.0867</v>
      </c>
      <c r="J328" s="9">
        <f>11.0835 * CHOOSE(CONTROL!$C$32, $C$9, 100%, $E$9)</f>
        <v>11.083500000000001</v>
      </c>
      <c r="K328" s="9">
        <f>11.0867 * CHOOSE(CONTROL!$C$32, $C$9, 100%, $E$9)</f>
        <v>11.0867</v>
      </c>
      <c r="L328" s="9">
        <f>5.634 * CHOOSE(CONTROL!$C$32, $C$9, 100%, $E$9)</f>
        <v>5.6340000000000003</v>
      </c>
      <c r="M328" s="9">
        <f>5.6372 * CHOOSE(CONTROL!$C$32, $C$9, 100%, $E$9)</f>
        <v>5.6372</v>
      </c>
      <c r="N328" s="9">
        <f>5.634 * CHOOSE(CONTROL!$C$32, $C$9, 100%, $E$9)</f>
        <v>5.6340000000000003</v>
      </c>
      <c r="O328" s="9">
        <f>5.6372 * CHOOSE(CONTROL!$C$32, $C$9, 100%, $E$9)</f>
        <v>5.6372</v>
      </c>
    </row>
    <row r="329" spans="1:15" ht="15.75" x14ac:dyDescent="0.25">
      <c r="A329" s="14">
        <v>50890</v>
      </c>
      <c r="B329" s="10">
        <f>5.8155 * CHOOSE(CONTROL!$C$32, $C$9, 100%, $E$9)</f>
        <v>5.8155000000000001</v>
      </c>
      <c r="C329" s="10">
        <f>5.8155 * CHOOSE(CONTROL!$C$32, $C$9, 100%, $E$9)</f>
        <v>5.8155000000000001</v>
      </c>
      <c r="D329" s="10">
        <f>5.8164 * CHOOSE(CONTROL!$C$32, $C$9, 100%, $E$9)</f>
        <v>5.8163999999999998</v>
      </c>
      <c r="E329" s="9">
        <f>5.7185 * CHOOSE(CONTROL!$C$32, $C$9, 100%, $E$9)</f>
        <v>5.7184999999999997</v>
      </c>
      <c r="F329" s="9">
        <f>5.7185 * CHOOSE(CONTROL!$C$32, $C$9, 100%, $E$9)</f>
        <v>5.7184999999999997</v>
      </c>
      <c r="G329" s="9">
        <f>5.7218 * CHOOSE(CONTROL!$C$32, $C$9, 100%, $E$9)</f>
        <v>5.7218</v>
      </c>
      <c r="H329" s="9">
        <f>11.1066 * CHOOSE(CONTROL!$C$32, $C$9, 100%, $E$9)</f>
        <v>11.1066</v>
      </c>
      <c r="I329" s="9">
        <f>11.1098 * CHOOSE(CONTROL!$C$32, $C$9, 100%, $E$9)</f>
        <v>11.1098</v>
      </c>
      <c r="J329" s="9">
        <f>11.1066 * CHOOSE(CONTROL!$C$32, $C$9, 100%, $E$9)</f>
        <v>11.1066</v>
      </c>
      <c r="K329" s="9">
        <f>11.1098 * CHOOSE(CONTROL!$C$32, $C$9, 100%, $E$9)</f>
        <v>11.1098</v>
      </c>
      <c r="L329" s="9">
        <f>5.7185 * CHOOSE(CONTROL!$C$32, $C$9, 100%, $E$9)</f>
        <v>5.7184999999999997</v>
      </c>
      <c r="M329" s="9">
        <f>5.7218 * CHOOSE(CONTROL!$C$32, $C$9, 100%, $E$9)</f>
        <v>5.7218</v>
      </c>
      <c r="N329" s="9">
        <f>5.7185 * CHOOSE(CONTROL!$C$32, $C$9, 100%, $E$9)</f>
        <v>5.7184999999999997</v>
      </c>
      <c r="O329" s="9">
        <f>5.7218 * CHOOSE(CONTROL!$C$32, $C$9, 100%, $E$9)</f>
        <v>5.7218</v>
      </c>
    </row>
    <row r="330" spans="1:15" ht="15.75" x14ac:dyDescent="0.25">
      <c r="A330" s="14">
        <v>50921</v>
      </c>
      <c r="B330" s="10">
        <f>5.8155 * CHOOSE(CONTROL!$C$32, $C$9, 100%, $E$9)</f>
        <v>5.8155000000000001</v>
      </c>
      <c r="C330" s="10">
        <f>5.8155 * CHOOSE(CONTROL!$C$32, $C$9, 100%, $E$9)</f>
        <v>5.8155000000000001</v>
      </c>
      <c r="D330" s="10">
        <f>5.8167 * CHOOSE(CONTROL!$C$32, $C$9, 100%, $E$9)</f>
        <v>5.8167</v>
      </c>
      <c r="E330" s="9">
        <f>5.7518 * CHOOSE(CONTROL!$C$32, $C$9, 100%, $E$9)</f>
        <v>5.7518000000000002</v>
      </c>
      <c r="F330" s="9">
        <f>5.7518 * CHOOSE(CONTROL!$C$32, $C$9, 100%, $E$9)</f>
        <v>5.7518000000000002</v>
      </c>
      <c r="G330" s="9">
        <f>5.756 * CHOOSE(CONTROL!$C$32, $C$9, 100%, $E$9)</f>
        <v>5.7560000000000002</v>
      </c>
      <c r="H330" s="9">
        <f>11.1297 * CHOOSE(CONTROL!$C$32, $C$9, 100%, $E$9)</f>
        <v>11.1297</v>
      </c>
      <c r="I330" s="9">
        <f>11.1339 * CHOOSE(CONTROL!$C$32, $C$9, 100%, $E$9)</f>
        <v>11.133900000000001</v>
      </c>
      <c r="J330" s="9">
        <f>11.1297 * CHOOSE(CONTROL!$C$32, $C$9, 100%, $E$9)</f>
        <v>11.1297</v>
      </c>
      <c r="K330" s="9">
        <f>11.1339 * CHOOSE(CONTROL!$C$32, $C$9, 100%, $E$9)</f>
        <v>11.133900000000001</v>
      </c>
      <c r="L330" s="9">
        <f>5.7518 * CHOOSE(CONTROL!$C$32, $C$9, 100%, $E$9)</f>
        <v>5.7518000000000002</v>
      </c>
      <c r="M330" s="9">
        <f>5.756 * CHOOSE(CONTROL!$C$32, $C$9, 100%, $E$9)</f>
        <v>5.7560000000000002</v>
      </c>
      <c r="N330" s="9">
        <f>5.7518 * CHOOSE(CONTROL!$C$32, $C$9, 100%, $E$9)</f>
        <v>5.7518000000000002</v>
      </c>
      <c r="O330" s="9">
        <f>5.756 * CHOOSE(CONTROL!$C$32, $C$9, 100%, $E$9)</f>
        <v>5.7560000000000002</v>
      </c>
    </row>
    <row r="331" spans="1:15" ht="15.75" x14ac:dyDescent="0.25">
      <c r="A331" s="14">
        <v>50951</v>
      </c>
      <c r="B331" s="10">
        <f>5.8216 * CHOOSE(CONTROL!$C$32, $C$9, 100%, $E$9)</f>
        <v>5.8216000000000001</v>
      </c>
      <c r="C331" s="10">
        <f>5.8216 * CHOOSE(CONTROL!$C$32, $C$9, 100%, $E$9)</f>
        <v>5.8216000000000001</v>
      </c>
      <c r="D331" s="10">
        <f>5.8228 * CHOOSE(CONTROL!$C$32, $C$9, 100%, $E$9)</f>
        <v>5.8228</v>
      </c>
      <c r="E331" s="9">
        <f>5.7228 * CHOOSE(CONTROL!$C$32, $C$9, 100%, $E$9)</f>
        <v>5.7228000000000003</v>
      </c>
      <c r="F331" s="9">
        <f>5.7228 * CHOOSE(CONTROL!$C$32, $C$9, 100%, $E$9)</f>
        <v>5.7228000000000003</v>
      </c>
      <c r="G331" s="9">
        <f>5.727 * CHOOSE(CONTROL!$C$32, $C$9, 100%, $E$9)</f>
        <v>5.7270000000000003</v>
      </c>
      <c r="H331" s="9">
        <f>11.1529 * CHOOSE(CONTROL!$C$32, $C$9, 100%, $E$9)</f>
        <v>11.152900000000001</v>
      </c>
      <c r="I331" s="9">
        <f>11.1571 * CHOOSE(CONTROL!$C$32, $C$9, 100%, $E$9)</f>
        <v>11.1571</v>
      </c>
      <c r="J331" s="9">
        <f>11.1529 * CHOOSE(CONTROL!$C$32, $C$9, 100%, $E$9)</f>
        <v>11.152900000000001</v>
      </c>
      <c r="K331" s="9">
        <f>11.1571 * CHOOSE(CONTROL!$C$32, $C$9, 100%, $E$9)</f>
        <v>11.1571</v>
      </c>
      <c r="L331" s="9">
        <f>5.7228 * CHOOSE(CONTROL!$C$32, $C$9, 100%, $E$9)</f>
        <v>5.7228000000000003</v>
      </c>
      <c r="M331" s="9">
        <f>5.727 * CHOOSE(CONTROL!$C$32, $C$9, 100%, $E$9)</f>
        <v>5.7270000000000003</v>
      </c>
      <c r="N331" s="9">
        <f>5.7228 * CHOOSE(CONTROL!$C$32, $C$9, 100%, $E$9)</f>
        <v>5.7228000000000003</v>
      </c>
      <c r="O331" s="9">
        <f>5.727 * CHOOSE(CONTROL!$C$32, $C$9, 100%, $E$9)</f>
        <v>5.7270000000000003</v>
      </c>
    </row>
    <row r="332" spans="1:15" ht="15.75" x14ac:dyDescent="0.25">
      <c r="A332" s="14">
        <v>50982</v>
      </c>
      <c r="B332" s="10">
        <f>5.9093 * CHOOSE(CONTROL!$C$32, $C$9, 100%, $E$9)</f>
        <v>5.9093</v>
      </c>
      <c r="C332" s="10">
        <f>5.9093 * CHOOSE(CONTROL!$C$32, $C$9, 100%, $E$9)</f>
        <v>5.9093</v>
      </c>
      <c r="D332" s="10">
        <f>5.9106 * CHOOSE(CONTROL!$C$32, $C$9, 100%, $E$9)</f>
        <v>5.9105999999999996</v>
      </c>
      <c r="E332" s="9">
        <f>5.7906 * CHOOSE(CONTROL!$C$32, $C$9, 100%, $E$9)</f>
        <v>5.7906000000000004</v>
      </c>
      <c r="F332" s="9">
        <f>5.7906 * CHOOSE(CONTROL!$C$32, $C$9, 100%, $E$9)</f>
        <v>5.7906000000000004</v>
      </c>
      <c r="G332" s="9">
        <f>5.7948 * CHOOSE(CONTROL!$C$32, $C$9, 100%, $E$9)</f>
        <v>5.7948000000000004</v>
      </c>
      <c r="H332" s="9">
        <f>11.1761 * CHOOSE(CONTROL!$C$32, $C$9, 100%, $E$9)</f>
        <v>11.1761</v>
      </c>
      <c r="I332" s="9">
        <f>11.1803 * CHOOSE(CONTROL!$C$32, $C$9, 100%, $E$9)</f>
        <v>11.180300000000001</v>
      </c>
      <c r="J332" s="9">
        <f>11.1761 * CHOOSE(CONTROL!$C$32, $C$9, 100%, $E$9)</f>
        <v>11.1761</v>
      </c>
      <c r="K332" s="9">
        <f>11.1803 * CHOOSE(CONTROL!$C$32, $C$9, 100%, $E$9)</f>
        <v>11.180300000000001</v>
      </c>
      <c r="L332" s="9">
        <f>5.7906 * CHOOSE(CONTROL!$C$32, $C$9, 100%, $E$9)</f>
        <v>5.7906000000000004</v>
      </c>
      <c r="M332" s="9">
        <f>5.7948 * CHOOSE(CONTROL!$C$32, $C$9, 100%, $E$9)</f>
        <v>5.7948000000000004</v>
      </c>
      <c r="N332" s="9">
        <f>5.7906 * CHOOSE(CONTROL!$C$32, $C$9, 100%, $E$9)</f>
        <v>5.7906000000000004</v>
      </c>
      <c r="O332" s="9">
        <f>5.7948 * CHOOSE(CONTROL!$C$32, $C$9, 100%, $E$9)</f>
        <v>5.7948000000000004</v>
      </c>
    </row>
    <row r="333" spans="1:15" ht="15.75" x14ac:dyDescent="0.25">
      <c r="A333" s="14">
        <v>51013</v>
      </c>
      <c r="B333" s="10">
        <f>5.916 * CHOOSE(CONTROL!$C$32, $C$9, 100%, $E$9)</f>
        <v>5.9160000000000004</v>
      </c>
      <c r="C333" s="10">
        <f>5.916 * CHOOSE(CONTROL!$C$32, $C$9, 100%, $E$9)</f>
        <v>5.9160000000000004</v>
      </c>
      <c r="D333" s="10">
        <f>5.9173 * CHOOSE(CONTROL!$C$32, $C$9, 100%, $E$9)</f>
        <v>5.9173</v>
      </c>
      <c r="E333" s="9">
        <f>5.6954 * CHOOSE(CONTROL!$C$32, $C$9, 100%, $E$9)</f>
        <v>5.6954000000000002</v>
      </c>
      <c r="F333" s="9">
        <f>5.6954 * CHOOSE(CONTROL!$C$32, $C$9, 100%, $E$9)</f>
        <v>5.6954000000000002</v>
      </c>
      <c r="G333" s="9">
        <f>5.6996 * CHOOSE(CONTROL!$C$32, $C$9, 100%, $E$9)</f>
        <v>5.6996000000000002</v>
      </c>
      <c r="H333" s="9">
        <f>11.1994 * CHOOSE(CONTROL!$C$32, $C$9, 100%, $E$9)</f>
        <v>11.199400000000001</v>
      </c>
      <c r="I333" s="9">
        <f>11.2036 * CHOOSE(CONTROL!$C$32, $C$9, 100%, $E$9)</f>
        <v>11.2036</v>
      </c>
      <c r="J333" s="9">
        <f>11.1994 * CHOOSE(CONTROL!$C$32, $C$9, 100%, $E$9)</f>
        <v>11.199400000000001</v>
      </c>
      <c r="K333" s="9">
        <f>11.2036 * CHOOSE(CONTROL!$C$32, $C$9, 100%, $E$9)</f>
        <v>11.2036</v>
      </c>
      <c r="L333" s="9">
        <f>5.6954 * CHOOSE(CONTROL!$C$32, $C$9, 100%, $E$9)</f>
        <v>5.6954000000000002</v>
      </c>
      <c r="M333" s="9">
        <f>5.6996 * CHOOSE(CONTROL!$C$32, $C$9, 100%, $E$9)</f>
        <v>5.6996000000000002</v>
      </c>
      <c r="N333" s="9">
        <f>5.6954 * CHOOSE(CONTROL!$C$32, $C$9, 100%, $E$9)</f>
        <v>5.6954000000000002</v>
      </c>
      <c r="O333" s="9">
        <f>5.6996 * CHOOSE(CONTROL!$C$32, $C$9, 100%, $E$9)</f>
        <v>5.6996000000000002</v>
      </c>
    </row>
    <row r="334" spans="1:15" ht="15.75" x14ac:dyDescent="0.25">
      <c r="A334" s="14">
        <v>51043</v>
      </c>
      <c r="B334" s="10">
        <f>5.913 * CHOOSE(CONTROL!$C$32, $C$9, 100%, $E$9)</f>
        <v>5.9130000000000003</v>
      </c>
      <c r="C334" s="10">
        <f>5.913 * CHOOSE(CONTROL!$C$32, $C$9, 100%, $E$9)</f>
        <v>5.9130000000000003</v>
      </c>
      <c r="D334" s="10">
        <f>5.9142 * CHOOSE(CONTROL!$C$32, $C$9, 100%, $E$9)</f>
        <v>5.9142000000000001</v>
      </c>
      <c r="E334" s="9">
        <f>5.6822 * CHOOSE(CONTROL!$C$32, $C$9, 100%, $E$9)</f>
        <v>5.6821999999999999</v>
      </c>
      <c r="F334" s="9">
        <f>5.6822 * CHOOSE(CONTROL!$C$32, $C$9, 100%, $E$9)</f>
        <v>5.6821999999999999</v>
      </c>
      <c r="G334" s="9">
        <f>5.6864 * CHOOSE(CONTROL!$C$32, $C$9, 100%, $E$9)</f>
        <v>5.6863999999999999</v>
      </c>
      <c r="H334" s="9">
        <f>11.2228 * CHOOSE(CONTROL!$C$32, $C$9, 100%, $E$9)</f>
        <v>11.222799999999999</v>
      </c>
      <c r="I334" s="9">
        <f>11.227 * CHOOSE(CONTROL!$C$32, $C$9, 100%, $E$9)</f>
        <v>11.227</v>
      </c>
      <c r="J334" s="9">
        <f>11.2228 * CHOOSE(CONTROL!$C$32, $C$9, 100%, $E$9)</f>
        <v>11.222799999999999</v>
      </c>
      <c r="K334" s="9">
        <f>11.227 * CHOOSE(CONTROL!$C$32, $C$9, 100%, $E$9)</f>
        <v>11.227</v>
      </c>
      <c r="L334" s="9">
        <f>5.6822 * CHOOSE(CONTROL!$C$32, $C$9, 100%, $E$9)</f>
        <v>5.6821999999999999</v>
      </c>
      <c r="M334" s="9">
        <f>5.6864 * CHOOSE(CONTROL!$C$32, $C$9, 100%, $E$9)</f>
        <v>5.6863999999999999</v>
      </c>
      <c r="N334" s="9">
        <f>5.6822 * CHOOSE(CONTROL!$C$32, $C$9, 100%, $E$9)</f>
        <v>5.6821999999999999</v>
      </c>
      <c r="O334" s="9">
        <f>5.6864 * CHOOSE(CONTROL!$C$32, $C$9, 100%, $E$9)</f>
        <v>5.6863999999999999</v>
      </c>
    </row>
    <row r="335" spans="1:15" ht="15.75" x14ac:dyDescent="0.25">
      <c r="A335" s="14">
        <v>51074</v>
      </c>
      <c r="B335" s="10">
        <f>5.9159 * CHOOSE(CONTROL!$C$32, $C$9, 100%, $E$9)</f>
        <v>5.9158999999999997</v>
      </c>
      <c r="C335" s="10">
        <f>5.9159 * CHOOSE(CONTROL!$C$32, $C$9, 100%, $E$9)</f>
        <v>5.9158999999999997</v>
      </c>
      <c r="D335" s="10">
        <f>5.9168 * CHOOSE(CONTROL!$C$32, $C$9, 100%, $E$9)</f>
        <v>5.9168000000000003</v>
      </c>
      <c r="E335" s="9">
        <f>5.7131 * CHOOSE(CONTROL!$C$32, $C$9, 100%, $E$9)</f>
        <v>5.7130999999999998</v>
      </c>
      <c r="F335" s="9">
        <f>5.7131 * CHOOSE(CONTROL!$C$32, $C$9, 100%, $E$9)</f>
        <v>5.7130999999999998</v>
      </c>
      <c r="G335" s="9">
        <f>5.7164 * CHOOSE(CONTROL!$C$32, $C$9, 100%, $E$9)</f>
        <v>5.7164000000000001</v>
      </c>
      <c r="H335" s="9">
        <f>11.2461 * CHOOSE(CONTROL!$C$32, $C$9, 100%, $E$9)</f>
        <v>11.2461</v>
      </c>
      <c r="I335" s="9">
        <f>11.2494 * CHOOSE(CONTROL!$C$32, $C$9, 100%, $E$9)</f>
        <v>11.2494</v>
      </c>
      <c r="J335" s="9">
        <f>11.2461 * CHOOSE(CONTROL!$C$32, $C$9, 100%, $E$9)</f>
        <v>11.2461</v>
      </c>
      <c r="K335" s="9">
        <f>11.2494 * CHOOSE(CONTROL!$C$32, $C$9, 100%, $E$9)</f>
        <v>11.2494</v>
      </c>
      <c r="L335" s="9">
        <f>5.7131 * CHOOSE(CONTROL!$C$32, $C$9, 100%, $E$9)</f>
        <v>5.7130999999999998</v>
      </c>
      <c r="M335" s="9">
        <f>5.7164 * CHOOSE(CONTROL!$C$32, $C$9, 100%, $E$9)</f>
        <v>5.7164000000000001</v>
      </c>
      <c r="N335" s="9">
        <f>5.7131 * CHOOSE(CONTROL!$C$32, $C$9, 100%, $E$9)</f>
        <v>5.7130999999999998</v>
      </c>
      <c r="O335" s="9">
        <f>5.7164 * CHOOSE(CONTROL!$C$32, $C$9, 100%, $E$9)</f>
        <v>5.7164000000000001</v>
      </c>
    </row>
    <row r="336" spans="1:15" ht="15.75" x14ac:dyDescent="0.25">
      <c r="A336" s="14">
        <v>51104</v>
      </c>
      <c r="B336" s="10">
        <f>5.9189 * CHOOSE(CONTROL!$C$32, $C$9, 100%, $E$9)</f>
        <v>5.9188999999999998</v>
      </c>
      <c r="C336" s="10">
        <f>5.9189 * CHOOSE(CONTROL!$C$32, $C$9, 100%, $E$9)</f>
        <v>5.9188999999999998</v>
      </c>
      <c r="D336" s="10">
        <f>5.9199 * CHOOSE(CONTROL!$C$32, $C$9, 100%, $E$9)</f>
        <v>5.9199000000000002</v>
      </c>
      <c r="E336" s="9">
        <f>5.7375 * CHOOSE(CONTROL!$C$32, $C$9, 100%, $E$9)</f>
        <v>5.7374999999999998</v>
      </c>
      <c r="F336" s="9">
        <f>5.7375 * CHOOSE(CONTROL!$C$32, $C$9, 100%, $E$9)</f>
        <v>5.7374999999999998</v>
      </c>
      <c r="G336" s="9">
        <f>5.7407 * CHOOSE(CONTROL!$C$32, $C$9, 100%, $E$9)</f>
        <v>5.7407000000000004</v>
      </c>
      <c r="H336" s="9">
        <f>11.2696 * CHOOSE(CONTROL!$C$32, $C$9, 100%, $E$9)</f>
        <v>11.269600000000001</v>
      </c>
      <c r="I336" s="9">
        <f>11.2728 * CHOOSE(CONTROL!$C$32, $C$9, 100%, $E$9)</f>
        <v>11.2728</v>
      </c>
      <c r="J336" s="9">
        <f>11.2696 * CHOOSE(CONTROL!$C$32, $C$9, 100%, $E$9)</f>
        <v>11.269600000000001</v>
      </c>
      <c r="K336" s="9">
        <f>11.2728 * CHOOSE(CONTROL!$C$32, $C$9, 100%, $E$9)</f>
        <v>11.2728</v>
      </c>
      <c r="L336" s="9">
        <f>5.7375 * CHOOSE(CONTROL!$C$32, $C$9, 100%, $E$9)</f>
        <v>5.7374999999999998</v>
      </c>
      <c r="M336" s="9">
        <f>5.7407 * CHOOSE(CONTROL!$C$32, $C$9, 100%, $E$9)</f>
        <v>5.7407000000000004</v>
      </c>
      <c r="N336" s="9">
        <f>5.7375 * CHOOSE(CONTROL!$C$32, $C$9, 100%, $E$9)</f>
        <v>5.7374999999999998</v>
      </c>
      <c r="O336" s="9">
        <f>5.7407 * CHOOSE(CONTROL!$C$32, $C$9, 100%, $E$9)</f>
        <v>5.7407000000000004</v>
      </c>
    </row>
    <row r="337" spans="1:15" ht="15.75" x14ac:dyDescent="0.25">
      <c r="A337" s="14">
        <v>51135</v>
      </c>
      <c r="B337" s="10">
        <f>5.9189 * CHOOSE(CONTROL!$C$32, $C$9, 100%, $E$9)</f>
        <v>5.9188999999999998</v>
      </c>
      <c r="C337" s="10">
        <f>5.9189 * CHOOSE(CONTROL!$C$32, $C$9, 100%, $E$9)</f>
        <v>5.9188999999999998</v>
      </c>
      <c r="D337" s="10">
        <f>5.9199 * CHOOSE(CONTROL!$C$32, $C$9, 100%, $E$9)</f>
        <v>5.9199000000000002</v>
      </c>
      <c r="E337" s="9">
        <f>5.682 * CHOOSE(CONTROL!$C$32, $C$9, 100%, $E$9)</f>
        <v>5.6820000000000004</v>
      </c>
      <c r="F337" s="9">
        <f>5.682 * CHOOSE(CONTROL!$C$32, $C$9, 100%, $E$9)</f>
        <v>5.6820000000000004</v>
      </c>
      <c r="G337" s="9">
        <f>5.6852 * CHOOSE(CONTROL!$C$32, $C$9, 100%, $E$9)</f>
        <v>5.6852</v>
      </c>
      <c r="H337" s="9">
        <f>11.293 * CHOOSE(CONTROL!$C$32, $C$9, 100%, $E$9)</f>
        <v>11.292999999999999</v>
      </c>
      <c r="I337" s="9">
        <f>11.2963 * CHOOSE(CONTROL!$C$32, $C$9, 100%, $E$9)</f>
        <v>11.2963</v>
      </c>
      <c r="J337" s="9">
        <f>11.293 * CHOOSE(CONTROL!$C$32, $C$9, 100%, $E$9)</f>
        <v>11.292999999999999</v>
      </c>
      <c r="K337" s="9">
        <f>11.2963 * CHOOSE(CONTROL!$C$32, $C$9, 100%, $E$9)</f>
        <v>11.2963</v>
      </c>
      <c r="L337" s="9">
        <f>5.682 * CHOOSE(CONTROL!$C$32, $C$9, 100%, $E$9)</f>
        <v>5.6820000000000004</v>
      </c>
      <c r="M337" s="9">
        <f>5.6852 * CHOOSE(CONTROL!$C$32, $C$9, 100%, $E$9)</f>
        <v>5.6852</v>
      </c>
      <c r="N337" s="9">
        <f>5.682 * CHOOSE(CONTROL!$C$32, $C$9, 100%, $E$9)</f>
        <v>5.6820000000000004</v>
      </c>
      <c r="O337" s="9">
        <f>5.6852 * CHOOSE(CONTROL!$C$32, $C$9, 100%, $E$9)</f>
        <v>5.6852</v>
      </c>
    </row>
    <row r="338" spans="1:15" ht="15.75" x14ac:dyDescent="0.25">
      <c r="A338" s="14">
        <v>51166</v>
      </c>
      <c r="B338" s="10">
        <f>5.9692 * CHOOSE(CONTROL!$C$32, $C$9, 100%, $E$9)</f>
        <v>5.9691999999999998</v>
      </c>
      <c r="C338" s="10">
        <f>5.9692 * CHOOSE(CONTROL!$C$32, $C$9, 100%, $E$9)</f>
        <v>5.9691999999999998</v>
      </c>
      <c r="D338" s="10">
        <f>5.9702 * CHOOSE(CONTROL!$C$32, $C$9, 100%, $E$9)</f>
        <v>5.9702000000000002</v>
      </c>
      <c r="E338" s="9">
        <f>5.761 * CHOOSE(CONTROL!$C$32, $C$9, 100%, $E$9)</f>
        <v>5.7610000000000001</v>
      </c>
      <c r="F338" s="9">
        <f>5.761 * CHOOSE(CONTROL!$C$32, $C$9, 100%, $E$9)</f>
        <v>5.7610000000000001</v>
      </c>
      <c r="G338" s="9">
        <f>5.7642 * CHOOSE(CONTROL!$C$32, $C$9, 100%, $E$9)</f>
        <v>5.7641999999999998</v>
      </c>
      <c r="H338" s="9">
        <f>11.3166 * CHOOSE(CONTROL!$C$32, $C$9, 100%, $E$9)</f>
        <v>11.316599999999999</v>
      </c>
      <c r="I338" s="9">
        <f>11.3198 * CHOOSE(CONTROL!$C$32, $C$9, 100%, $E$9)</f>
        <v>11.319800000000001</v>
      </c>
      <c r="J338" s="9">
        <f>11.3166 * CHOOSE(CONTROL!$C$32, $C$9, 100%, $E$9)</f>
        <v>11.316599999999999</v>
      </c>
      <c r="K338" s="9">
        <f>11.3198 * CHOOSE(CONTROL!$C$32, $C$9, 100%, $E$9)</f>
        <v>11.319800000000001</v>
      </c>
      <c r="L338" s="9">
        <f>5.761 * CHOOSE(CONTROL!$C$32, $C$9, 100%, $E$9)</f>
        <v>5.7610000000000001</v>
      </c>
      <c r="M338" s="9">
        <f>5.7642 * CHOOSE(CONTROL!$C$32, $C$9, 100%, $E$9)</f>
        <v>5.7641999999999998</v>
      </c>
      <c r="N338" s="9">
        <f>5.761 * CHOOSE(CONTROL!$C$32, $C$9, 100%, $E$9)</f>
        <v>5.7610000000000001</v>
      </c>
      <c r="O338" s="9">
        <f>5.7642 * CHOOSE(CONTROL!$C$32, $C$9, 100%, $E$9)</f>
        <v>5.7641999999999998</v>
      </c>
    </row>
    <row r="339" spans="1:15" ht="15.75" x14ac:dyDescent="0.25">
      <c r="A339" s="14">
        <v>51194</v>
      </c>
      <c r="B339" s="10">
        <f>5.9662 * CHOOSE(CONTROL!$C$32, $C$9, 100%, $E$9)</f>
        <v>5.9661999999999997</v>
      </c>
      <c r="C339" s="10">
        <f>5.9662 * CHOOSE(CONTROL!$C$32, $C$9, 100%, $E$9)</f>
        <v>5.9661999999999997</v>
      </c>
      <c r="D339" s="10">
        <f>5.9672 * CHOOSE(CONTROL!$C$32, $C$9, 100%, $E$9)</f>
        <v>5.9672000000000001</v>
      </c>
      <c r="E339" s="9">
        <f>5.6509 * CHOOSE(CONTROL!$C$32, $C$9, 100%, $E$9)</f>
        <v>5.6509</v>
      </c>
      <c r="F339" s="9">
        <f>5.6509 * CHOOSE(CONTROL!$C$32, $C$9, 100%, $E$9)</f>
        <v>5.6509</v>
      </c>
      <c r="G339" s="9">
        <f>5.6541 * CHOOSE(CONTROL!$C$32, $C$9, 100%, $E$9)</f>
        <v>5.6540999999999997</v>
      </c>
      <c r="H339" s="9">
        <f>11.3401 * CHOOSE(CONTROL!$C$32, $C$9, 100%, $E$9)</f>
        <v>11.3401</v>
      </c>
      <c r="I339" s="9">
        <f>11.3434 * CHOOSE(CONTROL!$C$32, $C$9, 100%, $E$9)</f>
        <v>11.343400000000001</v>
      </c>
      <c r="J339" s="9">
        <f>11.3401 * CHOOSE(CONTROL!$C$32, $C$9, 100%, $E$9)</f>
        <v>11.3401</v>
      </c>
      <c r="K339" s="9">
        <f>11.3434 * CHOOSE(CONTROL!$C$32, $C$9, 100%, $E$9)</f>
        <v>11.343400000000001</v>
      </c>
      <c r="L339" s="9">
        <f>5.6509 * CHOOSE(CONTROL!$C$32, $C$9, 100%, $E$9)</f>
        <v>5.6509</v>
      </c>
      <c r="M339" s="9">
        <f>5.6541 * CHOOSE(CONTROL!$C$32, $C$9, 100%, $E$9)</f>
        <v>5.6540999999999997</v>
      </c>
      <c r="N339" s="9">
        <f>5.6509 * CHOOSE(CONTROL!$C$32, $C$9, 100%, $E$9)</f>
        <v>5.6509</v>
      </c>
      <c r="O339" s="9">
        <f>5.6541 * CHOOSE(CONTROL!$C$32, $C$9, 100%, $E$9)</f>
        <v>5.6540999999999997</v>
      </c>
    </row>
    <row r="340" spans="1:15" ht="15.75" x14ac:dyDescent="0.25">
      <c r="A340" s="14">
        <v>51226</v>
      </c>
      <c r="B340" s="10">
        <f>5.9632 * CHOOSE(CONTROL!$C$32, $C$9, 100%, $E$9)</f>
        <v>5.9631999999999996</v>
      </c>
      <c r="C340" s="10">
        <f>5.9632 * CHOOSE(CONTROL!$C$32, $C$9, 100%, $E$9)</f>
        <v>5.9631999999999996</v>
      </c>
      <c r="D340" s="10">
        <f>5.9641 * CHOOSE(CONTROL!$C$32, $C$9, 100%, $E$9)</f>
        <v>5.9641000000000002</v>
      </c>
      <c r="E340" s="9">
        <f>5.7339 * CHOOSE(CONTROL!$C$32, $C$9, 100%, $E$9)</f>
        <v>5.7339000000000002</v>
      </c>
      <c r="F340" s="9">
        <f>5.7339 * CHOOSE(CONTROL!$C$32, $C$9, 100%, $E$9)</f>
        <v>5.7339000000000002</v>
      </c>
      <c r="G340" s="9">
        <f>5.7371 * CHOOSE(CONTROL!$C$32, $C$9, 100%, $E$9)</f>
        <v>5.7370999999999999</v>
      </c>
      <c r="H340" s="9">
        <f>11.3638 * CHOOSE(CONTROL!$C$32, $C$9, 100%, $E$9)</f>
        <v>11.363799999999999</v>
      </c>
      <c r="I340" s="9">
        <f>11.367 * CHOOSE(CONTROL!$C$32, $C$9, 100%, $E$9)</f>
        <v>11.367000000000001</v>
      </c>
      <c r="J340" s="9">
        <f>11.3638 * CHOOSE(CONTROL!$C$32, $C$9, 100%, $E$9)</f>
        <v>11.363799999999999</v>
      </c>
      <c r="K340" s="9">
        <f>11.367 * CHOOSE(CONTROL!$C$32, $C$9, 100%, $E$9)</f>
        <v>11.367000000000001</v>
      </c>
      <c r="L340" s="9">
        <f>5.7339 * CHOOSE(CONTROL!$C$32, $C$9, 100%, $E$9)</f>
        <v>5.7339000000000002</v>
      </c>
      <c r="M340" s="9">
        <f>5.7371 * CHOOSE(CONTROL!$C$32, $C$9, 100%, $E$9)</f>
        <v>5.7370999999999999</v>
      </c>
      <c r="N340" s="9">
        <f>5.7339 * CHOOSE(CONTROL!$C$32, $C$9, 100%, $E$9)</f>
        <v>5.7339000000000002</v>
      </c>
      <c r="O340" s="9">
        <f>5.7371 * CHOOSE(CONTROL!$C$32, $C$9, 100%, $E$9)</f>
        <v>5.7370999999999999</v>
      </c>
    </row>
    <row r="341" spans="1:15" ht="15.75" x14ac:dyDescent="0.25">
      <c r="A341" s="14">
        <v>51256</v>
      </c>
      <c r="B341" s="10">
        <f>5.9629 * CHOOSE(CONTROL!$C$32, $C$9, 100%, $E$9)</f>
        <v>5.9629000000000003</v>
      </c>
      <c r="C341" s="10">
        <f>5.9629 * CHOOSE(CONTROL!$C$32, $C$9, 100%, $E$9)</f>
        <v>5.9629000000000003</v>
      </c>
      <c r="D341" s="10">
        <f>5.9639 * CHOOSE(CONTROL!$C$32, $C$9, 100%, $E$9)</f>
        <v>5.9638999999999998</v>
      </c>
      <c r="E341" s="9">
        <f>5.8211 * CHOOSE(CONTROL!$C$32, $C$9, 100%, $E$9)</f>
        <v>5.8211000000000004</v>
      </c>
      <c r="F341" s="9">
        <f>5.8211 * CHOOSE(CONTROL!$C$32, $C$9, 100%, $E$9)</f>
        <v>5.8211000000000004</v>
      </c>
      <c r="G341" s="9">
        <f>5.8244 * CHOOSE(CONTROL!$C$32, $C$9, 100%, $E$9)</f>
        <v>5.8243999999999998</v>
      </c>
      <c r="H341" s="9">
        <f>11.3874 * CHOOSE(CONTROL!$C$32, $C$9, 100%, $E$9)</f>
        <v>11.3874</v>
      </c>
      <c r="I341" s="9">
        <f>11.3907 * CHOOSE(CONTROL!$C$32, $C$9, 100%, $E$9)</f>
        <v>11.390700000000001</v>
      </c>
      <c r="J341" s="9">
        <f>11.3874 * CHOOSE(CONTROL!$C$32, $C$9, 100%, $E$9)</f>
        <v>11.3874</v>
      </c>
      <c r="K341" s="9">
        <f>11.3907 * CHOOSE(CONTROL!$C$32, $C$9, 100%, $E$9)</f>
        <v>11.390700000000001</v>
      </c>
      <c r="L341" s="9">
        <f>5.8211 * CHOOSE(CONTROL!$C$32, $C$9, 100%, $E$9)</f>
        <v>5.8211000000000004</v>
      </c>
      <c r="M341" s="9">
        <f>5.8244 * CHOOSE(CONTROL!$C$32, $C$9, 100%, $E$9)</f>
        <v>5.8243999999999998</v>
      </c>
      <c r="N341" s="9">
        <f>5.8211 * CHOOSE(CONTROL!$C$32, $C$9, 100%, $E$9)</f>
        <v>5.8211000000000004</v>
      </c>
      <c r="O341" s="9">
        <f>5.8244 * CHOOSE(CONTROL!$C$32, $C$9, 100%, $E$9)</f>
        <v>5.8243999999999998</v>
      </c>
    </row>
    <row r="342" spans="1:15" ht="15.75" x14ac:dyDescent="0.25">
      <c r="A342" s="14">
        <v>51287</v>
      </c>
      <c r="B342" s="10">
        <f>5.9629 * CHOOSE(CONTROL!$C$32, $C$9, 100%, $E$9)</f>
        <v>5.9629000000000003</v>
      </c>
      <c r="C342" s="10">
        <f>5.9629 * CHOOSE(CONTROL!$C$32, $C$9, 100%, $E$9)</f>
        <v>5.9629000000000003</v>
      </c>
      <c r="D342" s="10">
        <f>5.9641 * CHOOSE(CONTROL!$C$32, $C$9, 100%, $E$9)</f>
        <v>5.9641000000000002</v>
      </c>
      <c r="E342" s="9">
        <f>5.8555 * CHOOSE(CONTROL!$C$32, $C$9, 100%, $E$9)</f>
        <v>5.8555000000000001</v>
      </c>
      <c r="F342" s="9">
        <f>5.8555 * CHOOSE(CONTROL!$C$32, $C$9, 100%, $E$9)</f>
        <v>5.8555000000000001</v>
      </c>
      <c r="G342" s="9">
        <f>5.8597 * CHOOSE(CONTROL!$C$32, $C$9, 100%, $E$9)</f>
        <v>5.8597000000000001</v>
      </c>
      <c r="H342" s="9">
        <f>11.4112 * CHOOSE(CONTROL!$C$32, $C$9, 100%, $E$9)</f>
        <v>11.411199999999999</v>
      </c>
      <c r="I342" s="9">
        <f>11.4154 * CHOOSE(CONTROL!$C$32, $C$9, 100%, $E$9)</f>
        <v>11.4154</v>
      </c>
      <c r="J342" s="9">
        <f>11.4112 * CHOOSE(CONTROL!$C$32, $C$9, 100%, $E$9)</f>
        <v>11.411199999999999</v>
      </c>
      <c r="K342" s="9">
        <f>11.4154 * CHOOSE(CONTROL!$C$32, $C$9, 100%, $E$9)</f>
        <v>11.4154</v>
      </c>
      <c r="L342" s="9">
        <f>5.8555 * CHOOSE(CONTROL!$C$32, $C$9, 100%, $E$9)</f>
        <v>5.8555000000000001</v>
      </c>
      <c r="M342" s="9">
        <f>5.8597 * CHOOSE(CONTROL!$C$32, $C$9, 100%, $E$9)</f>
        <v>5.8597000000000001</v>
      </c>
      <c r="N342" s="9">
        <f>5.8555 * CHOOSE(CONTROL!$C$32, $C$9, 100%, $E$9)</f>
        <v>5.8555000000000001</v>
      </c>
      <c r="O342" s="9">
        <f>5.8597 * CHOOSE(CONTROL!$C$32, $C$9, 100%, $E$9)</f>
        <v>5.8597000000000001</v>
      </c>
    </row>
    <row r="343" spans="1:15" ht="15.75" x14ac:dyDescent="0.25">
      <c r="A343" s="14">
        <v>51317</v>
      </c>
      <c r="B343" s="10">
        <f>5.969 * CHOOSE(CONTROL!$C$32, $C$9, 100%, $E$9)</f>
        <v>5.9690000000000003</v>
      </c>
      <c r="C343" s="10">
        <f>5.969 * CHOOSE(CONTROL!$C$32, $C$9, 100%, $E$9)</f>
        <v>5.9690000000000003</v>
      </c>
      <c r="D343" s="10">
        <f>5.9702 * CHOOSE(CONTROL!$C$32, $C$9, 100%, $E$9)</f>
        <v>5.9702000000000002</v>
      </c>
      <c r="E343" s="9">
        <f>5.8254 * CHOOSE(CONTROL!$C$32, $C$9, 100%, $E$9)</f>
        <v>5.8254000000000001</v>
      </c>
      <c r="F343" s="9">
        <f>5.8254 * CHOOSE(CONTROL!$C$32, $C$9, 100%, $E$9)</f>
        <v>5.8254000000000001</v>
      </c>
      <c r="G343" s="9">
        <f>5.8296 * CHOOSE(CONTROL!$C$32, $C$9, 100%, $E$9)</f>
        <v>5.8296000000000001</v>
      </c>
      <c r="H343" s="9">
        <f>11.4349 * CHOOSE(CONTROL!$C$32, $C$9, 100%, $E$9)</f>
        <v>11.434900000000001</v>
      </c>
      <c r="I343" s="9">
        <f>11.4391 * CHOOSE(CONTROL!$C$32, $C$9, 100%, $E$9)</f>
        <v>11.4391</v>
      </c>
      <c r="J343" s="9">
        <f>11.4349 * CHOOSE(CONTROL!$C$32, $C$9, 100%, $E$9)</f>
        <v>11.434900000000001</v>
      </c>
      <c r="K343" s="9">
        <f>11.4391 * CHOOSE(CONTROL!$C$32, $C$9, 100%, $E$9)</f>
        <v>11.4391</v>
      </c>
      <c r="L343" s="9">
        <f>5.8254 * CHOOSE(CONTROL!$C$32, $C$9, 100%, $E$9)</f>
        <v>5.8254000000000001</v>
      </c>
      <c r="M343" s="9">
        <f>5.8296 * CHOOSE(CONTROL!$C$32, $C$9, 100%, $E$9)</f>
        <v>5.8296000000000001</v>
      </c>
      <c r="N343" s="9">
        <f>5.8254 * CHOOSE(CONTROL!$C$32, $C$9, 100%, $E$9)</f>
        <v>5.8254000000000001</v>
      </c>
      <c r="O343" s="9">
        <f>5.8296 * CHOOSE(CONTROL!$C$32, $C$9, 100%, $E$9)</f>
        <v>5.8296000000000001</v>
      </c>
    </row>
    <row r="344" spans="1:15" ht="15.75" x14ac:dyDescent="0.25">
      <c r="A344" s="14">
        <v>51348</v>
      </c>
      <c r="B344" s="10">
        <f>6.0583 * CHOOSE(CONTROL!$C$32, $C$9, 100%, $E$9)</f>
        <v>6.0583</v>
      </c>
      <c r="C344" s="10">
        <f>6.0583 * CHOOSE(CONTROL!$C$32, $C$9, 100%, $E$9)</f>
        <v>6.0583</v>
      </c>
      <c r="D344" s="10">
        <f>6.0596 * CHOOSE(CONTROL!$C$32, $C$9, 100%, $E$9)</f>
        <v>6.0595999999999997</v>
      </c>
      <c r="E344" s="9">
        <f>5.8967 * CHOOSE(CONTROL!$C$32, $C$9, 100%, $E$9)</f>
        <v>5.8967000000000001</v>
      </c>
      <c r="F344" s="9">
        <f>5.8967 * CHOOSE(CONTROL!$C$32, $C$9, 100%, $E$9)</f>
        <v>5.8967000000000001</v>
      </c>
      <c r="G344" s="9">
        <f>5.9009 * CHOOSE(CONTROL!$C$32, $C$9, 100%, $E$9)</f>
        <v>5.9009</v>
      </c>
      <c r="H344" s="9">
        <f>11.4588 * CHOOSE(CONTROL!$C$32, $C$9, 100%, $E$9)</f>
        <v>11.4588</v>
      </c>
      <c r="I344" s="9">
        <f>11.463 * CHOOSE(CONTROL!$C$32, $C$9, 100%, $E$9)</f>
        <v>11.462999999999999</v>
      </c>
      <c r="J344" s="9">
        <f>11.4588 * CHOOSE(CONTROL!$C$32, $C$9, 100%, $E$9)</f>
        <v>11.4588</v>
      </c>
      <c r="K344" s="9">
        <f>11.463 * CHOOSE(CONTROL!$C$32, $C$9, 100%, $E$9)</f>
        <v>11.462999999999999</v>
      </c>
      <c r="L344" s="9">
        <f>5.8967 * CHOOSE(CONTROL!$C$32, $C$9, 100%, $E$9)</f>
        <v>5.8967000000000001</v>
      </c>
      <c r="M344" s="9">
        <f>5.9009 * CHOOSE(CONTROL!$C$32, $C$9, 100%, $E$9)</f>
        <v>5.9009</v>
      </c>
      <c r="N344" s="9">
        <f>5.8967 * CHOOSE(CONTROL!$C$32, $C$9, 100%, $E$9)</f>
        <v>5.8967000000000001</v>
      </c>
      <c r="O344" s="9">
        <f>5.9009 * CHOOSE(CONTROL!$C$32, $C$9, 100%, $E$9)</f>
        <v>5.9009</v>
      </c>
    </row>
    <row r="345" spans="1:15" ht="15.75" x14ac:dyDescent="0.25">
      <c r="A345" s="14">
        <v>51379</v>
      </c>
      <c r="B345" s="10">
        <f>6.065 * CHOOSE(CONTROL!$C$32, $C$9, 100%, $E$9)</f>
        <v>6.0650000000000004</v>
      </c>
      <c r="C345" s="10">
        <f>6.065 * CHOOSE(CONTROL!$C$32, $C$9, 100%, $E$9)</f>
        <v>6.0650000000000004</v>
      </c>
      <c r="D345" s="10">
        <f>6.0663 * CHOOSE(CONTROL!$C$32, $C$9, 100%, $E$9)</f>
        <v>6.0663</v>
      </c>
      <c r="E345" s="9">
        <f>5.7985 * CHOOSE(CONTROL!$C$32, $C$9, 100%, $E$9)</f>
        <v>5.7984999999999998</v>
      </c>
      <c r="F345" s="9">
        <f>5.7985 * CHOOSE(CONTROL!$C$32, $C$9, 100%, $E$9)</f>
        <v>5.7984999999999998</v>
      </c>
      <c r="G345" s="9">
        <f>5.8027 * CHOOSE(CONTROL!$C$32, $C$9, 100%, $E$9)</f>
        <v>5.8026999999999997</v>
      </c>
      <c r="H345" s="9">
        <f>11.4826 * CHOOSE(CONTROL!$C$32, $C$9, 100%, $E$9)</f>
        <v>11.4826</v>
      </c>
      <c r="I345" s="9">
        <f>11.4868 * CHOOSE(CONTROL!$C$32, $C$9, 100%, $E$9)</f>
        <v>11.486800000000001</v>
      </c>
      <c r="J345" s="9">
        <f>11.4826 * CHOOSE(CONTROL!$C$32, $C$9, 100%, $E$9)</f>
        <v>11.4826</v>
      </c>
      <c r="K345" s="9">
        <f>11.4868 * CHOOSE(CONTROL!$C$32, $C$9, 100%, $E$9)</f>
        <v>11.486800000000001</v>
      </c>
      <c r="L345" s="9">
        <f>5.7985 * CHOOSE(CONTROL!$C$32, $C$9, 100%, $E$9)</f>
        <v>5.7984999999999998</v>
      </c>
      <c r="M345" s="9">
        <f>5.8027 * CHOOSE(CONTROL!$C$32, $C$9, 100%, $E$9)</f>
        <v>5.8026999999999997</v>
      </c>
      <c r="N345" s="9">
        <f>5.7985 * CHOOSE(CONTROL!$C$32, $C$9, 100%, $E$9)</f>
        <v>5.7984999999999998</v>
      </c>
      <c r="O345" s="9">
        <f>5.8027 * CHOOSE(CONTROL!$C$32, $C$9, 100%, $E$9)</f>
        <v>5.8026999999999997</v>
      </c>
    </row>
    <row r="346" spans="1:15" ht="15.75" x14ac:dyDescent="0.25">
      <c r="A346" s="14">
        <v>51409</v>
      </c>
      <c r="B346" s="10">
        <f>6.062 * CHOOSE(CONTROL!$C$32, $C$9, 100%, $E$9)</f>
        <v>6.0620000000000003</v>
      </c>
      <c r="C346" s="10">
        <f>6.062 * CHOOSE(CONTROL!$C$32, $C$9, 100%, $E$9)</f>
        <v>6.0620000000000003</v>
      </c>
      <c r="D346" s="10">
        <f>6.0632 * CHOOSE(CONTROL!$C$32, $C$9, 100%, $E$9)</f>
        <v>6.0632000000000001</v>
      </c>
      <c r="E346" s="9">
        <f>5.7849 * CHOOSE(CONTROL!$C$32, $C$9, 100%, $E$9)</f>
        <v>5.7849000000000004</v>
      </c>
      <c r="F346" s="9">
        <f>5.7849 * CHOOSE(CONTROL!$C$32, $C$9, 100%, $E$9)</f>
        <v>5.7849000000000004</v>
      </c>
      <c r="G346" s="9">
        <f>5.7891 * CHOOSE(CONTROL!$C$32, $C$9, 100%, $E$9)</f>
        <v>5.7891000000000004</v>
      </c>
      <c r="H346" s="9">
        <f>11.5066 * CHOOSE(CONTROL!$C$32, $C$9, 100%, $E$9)</f>
        <v>11.506600000000001</v>
      </c>
      <c r="I346" s="9">
        <f>11.5108 * CHOOSE(CONTROL!$C$32, $C$9, 100%, $E$9)</f>
        <v>11.5108</v>
      </c>
      <c r="J346" s="9">
        <f>11.5066 * CHOOSE(CONTROL!$C$32, $C$9, 100%, $E$9)</f>
        <v>11.506600000000001</v>
      </c>
      <c r="K346" s="9">
        <f>11.5108 * CHOOSE(CONTROL!$C$32, $C$9, 100%, $E$9)</f>
        <v>11.5108</v>
      </c>
      <c r="L346" s="9">
        <f>5.7849 * CHOOSE(CONTROL!$C$32, $C$9, 100%, $E$9)</f>
        <v>5.7849000000000004</v>
      </c>
      <c r="M346" s="9">
        <f>5.7891 * CHOOSE(CONTROL!$C$32, $C$9, 100%, $E$9)</f>
        <v>5.7891000000000004</v>
      </c>
      <c r="N346" s="9">
        <f>5.7849 * CHOOSE(CONTROL!$C$32, $C$9, 100%, $E$9)</f>
        <v>5.7849000000000004</v>
      </c>
      <c r="O346" s="9">
        <f>5.7891 * CHOOSE(CONTROL!$C$32, $C$9, 100%, $E$9)</f>
        <v>5.7891000000000004</v>
      </c>
    </row>
    <row r="347" spans="1:15" ht="15.75" x14ac:dyDescent="0.25">
      <c r="A347" s="14">
        <v>51440</v>
      </c>
      <c r="B347" s="10">
        <f>6.0654 * CHOOSE(CONTROL!$C$32, $C$9, 100%, $E$9)</f>
        <v>6.0654000000000003</v>
      </c>
      <c r="C347" s="10">
        <f>6.0654 * CHOOSE(CONTROL!$C$32, $C$9, 100%, $E$9)</f>
        <v>6.0654000000000003</v>
      </c>
      <c r="D347" s="10">
        <f>6.0664 * CHOOSE(CONTROL!$C$32, $C$9, 100%, $E$9)</f>
        <v>6.0663999999999998</v>
      </c>
      <c r="E347" s="9">
        <f>5.8172 * CHOOSE(CONTROL!$C$32, $C$9, 100%, $E$9)</f>
        <v>5.8171999999999997</v>
      </c>
      <c r="F347" s="9">
        <f>5.8172 * CHOOSE(CONTROL!$C$32, $C$9, 100%, $E$9)</f>
        <v>5.8171999999999997</v>
      </c>
      <c r="G347" s="9">
        <f>5.8205 * CHOOSE(CONTROL!$C$32, $C$9, 100%, $E$9)</f>
        <v>5.8205</v>
      </c>
      <c r="H347" s="9">
        <f>11.5305 * CHOOSE(CONTROL!$C$32, $C$9, 100%, $E$9)</f>
        <v>11.5305</v>
      </c>
      <c r="I347" s="9">
        <f>11.5338 * CHOOSE(CONTROL!$C$32, $C$9, 100%, $E$9)</f>
        <v>11.533799999999999</v>
      </c>
      <c r="J347" s="9">
        <f>11.5305 * CHOOSE(CONTROL!$C$32, $C$9, 100%, $E$9)</f>
        <v>11.5305</v>
      </c>
      <c r="K347" s="9">
        <f>11.5338 * CHOOSE(CONTROL!$C$32, $C$9, 100%, $E$9)</f>
        <v>11.533799999999999</v>
      </c>
      <c r="L347" s="9">
        <f>5.8172 * CHOOSE(CONTROL!$C$32, $C$9, 100%, $E$9)</f>
        <v>5.8171999999999997</v>
      </c>
      <c r="M347" s="9">
        <f>5.8205 * CHOOSE(CONTROL!$C$32, $C$9, 100%, $E$9)</f>
        <v>5.8205</v>
      </c>
      <c r="N347" s="9">
        <f>5.8172 * CHOOSE(CONTROL!$C$32, $C$9, 100%, $E$9)</f>
        <v>5.8171999999999997</v>
      </c>
      <c r="O347" s="9">
        <f>5.8205 * CHOOSE(CONTROL!$C$32, $C$9, 100%, $E$9)</f>
        <v>5.8205</v>
      </c>
    </row>
    <row r="348" spans="1:15" ht="15.75" x14ac:dyDescent="0.25">
      <c r="A348" s="14">
        <v>51470</v>
      </c>
      <c r="B348" s="10">
        <f>6.0685 * CHOOSE(CONTROL!$C$32, $C$9, 100%, $E$9)</f>
        <v>6.0685000000000002</v>
      </c>
      <c r="C348" s="10">
        <f>6.0685 * CHOOSE(CONTROL!$C$32, $C$9, 100%, $E$9)</f>
        <v>6.0685000000000002</v>
      </c>
      <c r="D348" s="10">
        <f>6.0694 * CHOOSE(CONTROL!$C$32, $C$9, 100%, $E$9)</f>
        <v>6.0693999999999999</v>
      </c>
      <c r="E348" s="9">
        <f>5.8422 * CHOOSE(CONTROL!$C$32, $C$9, 100%, $E$9)</f>
        <v>5.8422000000000001</v>
      </c>
      <c r="F348" s="9">
        <f>5.8422 * CHOOSE(CONTROL!$C$32, $C$9, 100%, $E$9)</f>
        <v>5.8422000000000001</v>
      </c>
      <c r="G348" s="9">
        <f>5.8455 * CHOOSE(CONTROL!$C$32, $C$9, 100%, $E$9)</f>
        <v>5.8455000000000004</v>
      </c>
      <c r="H348" s="9">
        <f>11.5546 * CHOOSE(CONTROL!$C$32, $C$9, 100%, $E$9)</f>
        <v>11.554600000000001</v>
      </c>
      <c r="I348" s="9">
        <f>11.5578 * CHOOSE(CONTROL!$C$32, $C$9, 100%, $E$9)</f>
        <v>11.5578</v>
      </c>
      <c r="J348" s="9">
        <f>11.5546 * CHOOSE(CONTROL!$C$32, $C$9, 100%, $E$9)</f>
        <v>11.554600000000001</v>
      </c>
      <c r="K348" s="9">
        <f>11.5578 * CHOOSE(CONTROL!$C$32, $C$9, 100%, $E$9)</f>
        <v>11.5578</v>
      </c>
      <c r="L348" s="9">
        <f>5.8422 * CHOOSE(CONTROL!$C$32, $C$9, 100%, $E$9)</f>
        <v>5.8422000000000001</v>
      </c>
      <c r="M348" s="9">
        <f>5.8455 * CHOOSE(CONTROL!$C$32, $C$9, 100%, $E$9)</f>
        <v>5.8455000000000004</v>
      </c>
      <c r="N348" s="9">
        <f>5.8422 * CHOOSE(CONTROL!$C$32, $C$9, 100%, $E$9)</f>
        <v>5.8422000000000001</v>
      </c>
      <c r="O348" s="9">
        <f>5.8455 * CHOOSE(CONTROL!$C$32, $C$9, 100%, $E$9)</f>
        <v>5.8455000000000004</v>
      </c>
    </row>
    <row r="349" spans="1:15" ht="15.75" x14ac:dyDescent="0.25">
      <c r="A349" s="14">
        <v>51501</v>
      </c>
      <c r="B349" s="10">
        <f>6.0685 * CHOOSE(CONTROL!$C$32, $C$9, 100%, $E$9)</f>
        <v>6.0685000000000002</v>
      </c>
      <c r="C349" s="10">
        <f>6.0685 * CHOOSE(CONTROL!$C$32, $C$9, 100%, $E$9)</f>
        <v>6.0685000000000002</v>
      </c>
      <c r="D349" s="10">
        <f>6.0694 * CHOOSE(CONTROL!$C$32, $C$9, 100%, $E$9)</f>
        <v>6.0693999999999999</v>
      </c>
      <c r="E349" s="9">
        <f>5.7851 * CHOOSE(CONTROL!$C$32, $C$9, 100%, $E$9)</f>
        <v>5.7850999999999999</v>
      </c>
      <c r="F349" s="9">
        <f>5.7851 * CHOOSE(CONTROL!$C$32, $C$9, 100%, $E$9)</f>
        <v>5.7850999999999999</v>
      </c>
      <c r="G349" s="9">
        <f>5.7883 * CHOOSE(CONTROL!$C$32, $C$9, 100%, $E$9)</f>
        <v>5.7882999999999996</v>
      </c>
      <c r="H349" s="9">
        <f>11.5786 * CHOOSE(CONTROL!$C$32, $C$9, 100%, $E$9)</f>
        <v>11.5786</v>
      </c>
      <c r="I349" s="9">
        <f>11.5819 * CHOOSE(CONTROL!$C$32, $C$9, 100%, $E$9)</f>
        <v>11.581899999999999</v>
      </c>
      <c r="J349" s="9">
        <f>11.5786 * CHOOSE(CONTROL!$C$32, $C$9, 100%, $E$9)</f>
        <v>11.5786</v>
      </c>
      <c r="K349" s="9">
        <f>11.5819 * CHOOSE(CONTROL!$C$32, $C$9, 100%, $E$9)</f>
        <v>11.581899999999999</v>
      </c>
      <c r="L349" s="9">
        <f>5.7851 * CHOOSE(CONTROL!$C$32, $C$9, 100%, $E$9)</f>
        <v>5.7850999999999999</v>
      </c>
      <c r="M349" s="9">
        <f>5.7883 * CHOOSE(CONTROL!$C$32, $C$9, 100%, $E$9)</f>
        <v>5.7882999999999996</v>
      </c>
      <c r="N349" s="9">
        <f>5.7851 * CHOOSE(CONTROL!$C$32, $C$9, 100%, $E$9)</f>
        <v>5.7850999999999999</v>
      </c>
      <c r="O349" s="9">
        <f>5.7883 * CHOOSE(CONTROL!$C$32, $C$9, 100%, $E$9)</f>
        <v>5.7882999999999996</v>
      </c>
    </row>
    <row r="350" spans="1:15" ht="15.75" x14ac:dyDescent="0.25">
      <c r="A350" s="14">
        <v>51532</v>
      </c>
      <c r="B350" s="10">
        <f>6.12 * CHOOSE(CONTROL!$C$32, $C$9, 100%, $E$9)</f>
        <v>6.12</v>
      </c>
      <c r="C350" s="10">
        <f>6.12 * CHOOSE(CONTROL!$C$32, $C$9, 100%, $E$9)</f>
        <v>6.12</v>
      </c>
      <c r="D350" s="10">
        <f>6.121 * CHOOSE(CONTROL!$C$32, $C$9, 100%, $E$9)</f>
        <v>6.1210000000000004</v>
      </c>
      <c r="E350" s="9">
        <f>5.8655 * CHOOSE(CONTROL!$C$32, $C$9, 100%, $E$9)</f>
        <v>5.8654999999999999</v>
      </c>
      <c r="F350" s="9">
        <f>5.8655 * CHOOSE(CONTROL!$C$32, $C$9, 100%, $E$9)</f>
        <v>5.8654999999999999</v>
      </c>
      <c r="G350" s="9">
        <f>5.8688 * CHOOSE(CONTROL!$C$32, $C$9, 100%, $E$9)</f>
        <v>5.8688000000000002</v>
      </c>
      <c r="H350" s="9">
        <f>11.6027 * CHOOSE(CONTROL!$C$32, $C$9, 100%, $E$9)</f>
        <v>11.6027</v>
      </c>
      <c r="I350" s="9">
        <f>11.606 * CHOOSE(CONTROL!$C$32, $C$9, 100%, $E$9)</f>
        <v>11.606</v>
      </c>
      <c r="J350" s="9">
        <f>11.6027 * CHOOSE(CONTROL!$C$32, $C$9, 100%, $E$9)</f>
        <v>11.6027</v>
      </c>
      <c r="K350" s="9">
        <f>11.606 * CHOOSE(CONTROL!$C$32, $C$9, 100%, $E$9)</f>
        <v>11.606</v>
      </c>
      <c r="L350" s="9">
        <f>5.8655 * CHOOSE(CONTROL!$C$32, $C$9, 100%, $E$9)</f>
        <v>5.8654999999999999</v>
      </c>
      <c r="M350" s="9">
        <f>5.8688 * CHOOSE(CONTROL!$C$32, $C$9, 100%, $E$9)</f>
        <v>5.8688000000000002</v>
      </c>
      <c r="N350" s="9">
        <f>5.8655 * CHOOSE(CONTROL!$C$32, $C$9, 100%, $E$9)</f>
        <v>5.8654999999999999</v>
      </c>
      <c r="O350" s="9">
        <f>5.8688 * CHOOSE(CONTROL!$C$32, $C$9, 100%, $E$9)</f>
        <v>5.8688000000000002</v>
      </c>
    </row>
    <row r="351" spans="1:15" ht="15.75" x14ac:dyDescent="0.25">
      <c r="A351" s="14">
        <v>51560</v>
      </c>
      <c r="B351" s="10">
        <f>6.117 * CHOOSE(CONTROL!$C$32, $C$9, 100%, $E$9)</f>
        <v>6.117</v>
      </c>
      <c r="C351" s="10">
        <f>6.117 * CHOOSE(CONTROL!$C$32, $C$9, 100%, $E$9)</f>
        <v>6.117</v>
      </c>
      <c r="D351" s="10">
        <f>6.118 * CHOOSE(CONTROL!$C$32, $C$9, 100%, $E$9)</f>
        <v>6.1180000000000003</v>
      </c>
      <c r="E351" s="9">
        <f>5.7521 * CHOOSE(CONTROL!$C$32, $C$9, 100%, $E$9)</f>
        <v>5.7521000000000004</v>
      </c>
      <c r="F351" s="9">
        <f>5.7521 * CHOOSE(CONTROL!$C$32, $C$9, 100%, $E$9)</f>
        <v>5.7521000000000004</v>
      </c>
      <c r="G351" s="9">
        <f>5.7554 * CHOOSE(CONTROL!$C$32, $C$9, 100%, $E$9)</f>
        <v>5.7553999999999998</v>
      </c>
      <c r="H351" s="9">
        <f>11.6269 * CHOOSE(CONTROL!$C$32, $C$9, 100%, $E$9)</f>
        <v>11.626899999999999</v>
      </c>
      <c r="I351" s="9">
        <f>11.6301 * CHOOSE(CONTROL!$C$32, $C$9, 100%, $E$9)</f>
        <v>11.630100000000001</v>
      </c>
      <c r="J351" s="9">
        <f>11.6269 * CHOOSE(CONTROL!$C$32, $C$9, 100%, $E$9)</f>
        <v>11.626899999999999</v>
      </c>
      <c r="K351" s="9">
        <f>11.6301 * CHOOSE(CONTROL!$C$32, $C$9, 100%, $E$9)</f>
        <v>11.630100000000001</v>
      </c>
      <c r="L351" s="9">
        <f>5.7521 * CHOOSE(CONTROL!$C$32, $C$9, 100%, $E$9)</f>
        <v>5.7521000000000004</v>
      </c>
      <c r="M351" s="9">
        <f>5.7554 * CHOOSE(CONTROL!$C$32, $C$9, 100%, $E$9)</f>
        <v>5.7553999999999998</v>
      </c>
      <c r="N351" s="9">
        <f>5.7521 * CHOOSE(CONTROL!$C$32, $C$9, 100%, $E$9)</f>
        <v>5.7521000000000004</v>
      </c>
      <c r="O351" s="9">
        <f>5.7554 * CHOOSE(CONTROL!$C$32, $C$9, 100%, $E$9)</f>
        <v>5.7553999999999998</v>
      </c>
    </row>
    <row r="352" spans="1:15" ht="15.75" x14ac:dyDescent="0.25">
      <c r="A352" s="14">
        <v>51591</v>
      </c>
      <c r="B352" s="10">
        <f>6.114 * CHOOSE(CONTROL!$C$32, $C$9, 100%, $E$9)</f>
        <v>6.1139999999999999</v>
      </c>
      <c r="C352" s="10">
        <f>6.114 * CHOOSE(CONTROL!$C$32, $C$9, 100%, $E$9)</f>
        <v>6.1139999999999999</v>
      </c>
      <c r="D352" s="10">
        <f>6.1149 * CHOOSE(CONTROL!$C$32, $C$9, 100%, $E$9)</f>
        <v>6.1148999999999996</v>
      </c>
      <c r="E352" s="9">
        <f>5.8377 * CHOOSE(CONTROL!$C$32, $C$9, 100%, $E$9)</f>
        <v>5.8376999999999999</v>
      </c>
      <c r="F352" s="9">
        <f>5.8377 * CHOOSE(CONTROL!$C$32, $C$9, 100%, $E$9)</f>
        <v>5.8376999999999999</v>
      </c>
      <c r="G352" s="9">
        <f>5.841 * CHOOSE(CONTROL!$C$32, $C$9, 100%, $E$9)</f>
        <v>5.8410000000000002</v>
      </c>
      <c r="H352" s="9">
        <f>11.6511 * CHOOSE(CONTROL!$C$32, $C$9, 100%, $E$9)</f>
        <v>11.6511</v>
      </c>
      <c r="I352" s="9">
        <f>11.6544 * CHOOSE(CONTROL!$C$32, $C$9, 100%, $E$9)</f>
        <v>11.654400000000001</v>
      </c>
      <c r="J352" s="9">
        <f>11.6511 * CHOOSE(CONTROL!$C$32, $C$9, 100%, $E$9)</f>
        <v>11.6511</v>
      </c>
      <c r="K352" s="9">
        <f>11.6544 * CHOOSE(CONTROL!$C$32, $C$9, 100%, $E$9)</f>
        <v>11.654400000000001</v>
      </c>
      <c r="L352" s="9">
        <f>5.8377 * CHOOSE(CONTROL!$C$32, $C$9, 100%, $E$9)</f>
        <v>5.8376999999999999</v>
      </c>
      <c r="M352" s="9">
        <f>5.841 * CHOOSE(CONTROL!$C$32, $C$9, 100%, $E$9)</f>
        <v>5.8410000000000002</v>
      </c>
      <c r="N352" s="9">
        <f>5.8377 * CHOOSE(CONTROL!$C$32, $C$9, 100%, $E$9)</f>
        <v>5.8376999999999999</v>
      </c>
      <c r="O352" s="9">
        <f>5.841 * CHOOSE(CONTROL!$C$32, $C$9, 100%, $E$9)</f>
        <v>5.8410000000000002</v>
      </c>
    </row>
    <row r="353" spans="1:15" ht="15.75" x14ac:dyDescent="0.25">
      <c r="A353" s="14">
        <v>51621</v>
      </c>
      <c r="B353" s="10">
        <f>6.1139 * CHOOSE(CONTROL!$C$32, $C$9, 100%, $E$9)</f>
        <v>6.1139000000000001</v>
      </c>
      <c r="C353" s="10">
        <f>6.1139 * CHOOSE(CONTROL!$C$32, $C$9, 100%, $E$9)</f>
        <v>6.1139000000000001</v>
      </c>
      <c r="D353" s="10">
        <f>6.1148 * CHOOSE(CONTROL!$C$32, $C$9, 100%, $E$9)</f>
        <v>6.1147999999999998</v>
      </c>
      <c r="E353" s="9">
        <f>5.9277 * CHOOSE(CONTROL!$C$32, $C$9, 100%, $E$9)</f>
        <v>5.9276999999999997</v>
      </c>
      <c r="F353" s="9">
        <f>5.9277 * CHOOSE(CONTROL!$C$32, $C$9, 100%, $E$9)</f>
        <v>5.9276999999999997</v>
      </c>
      <c r="G353" s="9">
        <f>5.931 * CHOOSE(CONTROL!$C$32, $C$9, 100%, $E$9)</f>
        <v>5.931</v>
      </c>
      <c r="H353" s="9">
        <f>11.6754 * CHOOSE(CONTROL!$C$32, $C$9, 100%, $E$9)</f>
        <v>11.6754</v>
      </c>
      <c r="I353" s="9">
        <f>11.6786 * CHOOSE(CONTROL!$C$32, $C$9, 100%, $E$9)</f>
        <v>11.678599999999999</v>
      </c>
      <c r="J353" s="9">
        <f>11.6754 * CHOOSE(CONTROL!$C$32, $C$9, 100%, $E$9)</f>
        <v>11.6754</v>
      </c>
      <c r="K353" s="9">
        <f>11.6786 * CHOOSE(CONTROL!$C$32, $C$9, 100%, $E$9)</f>
        <v>11.678599999999999</v>
      </c>
      <c r="L353" s="9">
        <f>5.9277 * CHOOSE(CONTROL!$C$32, $C$9, 100%, $E$9)</f>
        <v>5.9276999999999997</v>
      </c>
      <c r="M353" s="9">
        <f>5.931 * CHOOSE(CONTROL!$C$32, $C$9, 100%, $E$9)</f>
        <v>5.931</v>
      </c>
      <c r="N353" s="9">
        <f>5.9277 * CHOOSE(CONTROL!$C$32, $C$9, 100%, $E$9)</f>
        <v>5.9276999999999997</v>
      </c>
      <c r="O353" s="9">
        <f>5.931 * CHOOSE(CONTROL!$C$32, $C$9, 100%, $E$9)</f>
        <v>5.931</v>
      </c>
    </row>
    <row r="354" spans="1:15" ht="15.75" x14ac:dyDescent="0.25">
      <c r="A354" s="14">
        <v>51652</v>
      </c>
      <c r="B354" s="10">
        <f>6.1139 * CHOOSE(CONTROL!$C$32, $C$9, 100%, $E$9)</f>
        <v>6.1139000000000001</v>
      </c>
      <c r="C354" s="10">
        <f>6.1139 * CHOOSE(CONTROL!$C$32, $C$9, 100%, $E$9)</f>
        <v>6.1139000000000001</v>
      </c>
      <c r="D354" s="10">
        <f>6.1151 * CHOOSE(CONTROL!$C$32, $C$9, 100%, $E$9)</f>
        <v>6.1151</v>
      </c>
      <c r="E354" s="9">
        <f>5.9631 * CHOOSE(CONTROL!$C$32, $C$9, 100%, $E$9)</f>
        <v>5.9630999999999998</v>
      </c>
      <c r="F354" s="9">
        <f>5.9631 * CHOOSE(CONTROL!$C$32, $C$9, 100%, $E$9)</f>
        <v>5.9630999999999998</v>
      </c>
      <c r="G354" s="9">
        <f>5.9673 * CHOOSE(CONTROL!$C$32, $C$9, 100%, $E$9)</f>
        <v>5.9672999999999998</v>
      </c>
      <c r="H354" s="9">
        <f>11.6997 * CHOOSE(CONTROL!$C$32, $C$9, 100%, $E$9)</f>
        <v>11.6997</v>
      </c>
      <c r="I354" s="9">
        <f>11.7039 * CHOOSE(CONTROL!$C$32, $C$9, 100%, $E$9)</f>
        <v>11.703900000000001</v>
      </c>
      <c r="J354" s="9">
        <f>11.6997 * CHOOSE(CONTROL!$C$32, $C$9, 100%, $E$9)</f>
        <v>11.6997</v>
      </c>
      <c r="K354" s="9">
        <f>11.7039 * CHOOSE(CONTROL!$C$32, $C$9, 100%, $E$9)</f>
        <v>11.703900000000001</v>
      </c>
      <c r="L354" s="9">
        <f>5.9631 * CHOOSE(CONTROL!$C$32, $C$9, 100%, $E$9)</f>
        <v>5.9630999999999998</v>
      </c>
      <c r="M354" s="9">
        <f>5.9673 * CHOOSE(CONTROL!$C$32, $C$9, 100%, $E$9)</f>
        <v>5.9672999999999998</v>
      </c>
      <c r="N354" s="9">
        <f>5.9631 * CHOOSE(CONTROL!$C$32, $C$9, 100%, $E$9)</f>
        <v>5.9630999999999998</v>
      </c>
      <c r="O354" s="9">
        <f>5.9673 * CHOOSE(CONTROL!$C$32, $C$9, 100%, $E$9)</f>
        <v>5.9672999999999998</v>
      </c>
    </row>
    <row r="355" spans="1:15" ht="15.75" x14ac:dyDescent="0.25">
      <c r="A355" s="14">
        <v>51682</v>
      </c>
      <c r="B355" s="10">
        <f>6.1199 * CHOOSE(CONTROL!$C$32, $C$9, 100%, $E$9)</f>
        <v>6.1199000000000003</v>
      </c>
      <c r="C355" s="10">
        <f>6.1199 * CHOOSE(CONTROL!$C$32, $C$9, 100%, $E$9)</f>
        <v>6.1199000000000003</v>
      </c>
      <c r="D355" s="10">
        <f>6.1212 * CHOOSE(CONTROL!$C$32, $C$9, 100%, $E$9)</f>
        <v>6.1212</v>
      </c>
      <c r="E355" s="9">
        <f>5.932 * CHOOSE(CONTROL!$C$32, $C$9, 100%, $E$9)</f>
        <v>5.9320000000000004</v>
      </c>
      <c r="F355" s="9">
        <f>5.932 * CHOOSE(CONTROL!$C$32, $C$9, 100%, $E$9)</f>
        <v>5.9320000000000004</v>
      </c>
      <c r="G355" s="9">
        <f>5.9362 * CHOOSE(CONTROL!$C$32, $C$9, 100%, $E$9)</f>
        <v>5.9362000000000004</v>
      </c>
      <c r="H355" s="9">
        <f>11.7241 * CHOOSE(CONTROL!$C$32, $C$9, 100%, $E$9)</f>
        <v>11.7241</v>
      </c>
      <c r="I355" s="9">
        <f>11.7283 * CHOOSE(CONTROL!$C$32, $C$9, 100%, $E$9)</f>
        <v>11.728300000000001</v>
      </c>
      <c r="J355" s="9">
        <f>11.7241 * CHOOSE(CONTROL!$C$32, $C$9, 100%, $E$9)</f>
        <v>11.7241</v>
      </c>
      <c r="K355" s="9">
        <f>11.7283 * CHOOSE(CONTROL!$C$32, $C$9, 100%, $E$9)</f>
        <v>11.728300000000001</v>
      </c>
      <c r="L355" s="9">
        <f>5.932 * CHOOSE(CONTROL!$C$32, $C$9, 100%, $E$9)</f>
        <v>5.9320000000000004</v>
      </c>
      <c r="M355" s="9">
        <f>5.9362 * CHOOSE(CONTROL!$C$32, $C$9, 100%, $E$9)</f>
        <v>5.9362000000000004</v>
      </c>
      <c r="N355" s="9">
        <f>5.932 * CHOOSE(CONTROL!$C$32, $C$9, 100%, $E$9)</f>
        <v>5.9320000000000004</v>
      </c>
      <c r="O355" s="9">
        <f>5.9362 * CHOOSE(CONTROL!$C$32, $C$9, 100%, $E$9)</f>
        <v>5.9362000000000004</v>
      </c>
    </row>
    <row r="356" spans="1:15" ht="15.75" x14ac:dyDescent="0.25">
      <c r="A356" s="14">
        <v>51713</v>
      </c>
      <c r="B356" s="10">
        <f>6.2113 * CHOOSE(CONTROL!$C$32, $C$9, 100%, $E$9)</f>
        <v>6.2112999999999996</v>
      </c>
      <c r="C356" s="10">
        <f>6.2113 * CHOOSE(CONTROL!$C$32, $C$9, 100%, $E$9)</f>
        <v>6.2112999999999996</v>
      </c>
      <c r="D356" s="10">
        <f>6.2125 * CHOOSE(CONTROL!$C$32, $C$9, 100%, $E$9)</f>
        <v>6.2125000000000004</v>
      </c>
      <c r="E356" s="9">
        <f>6.0031 * CHOOSE(CONTROL!$C$32, $C$9, 100%, $E$9)</f>
        <v>6.0030999999999999</v>
      </c>
      <c r="F356" s="9">
        <f>6.0031 * CHOOSE(CONTROL!$C$32, $C$9, 100%, $E$9)</f>
        <v>6.0030999999999999</v>
      </c>
      <c r="G356" s="9">
        <f>6.0073 * CHOOSE(CONTROL!$C$32, $C$9, 100%, $E$9)</f>
        <v>6.0072999999999999</v>
      </c>
      <c r="H356" s="9">
        <f>11.7485 * CHOOSE(CONTROL!$C$32, $C$9, 100%, $E$9)</f>
        <v>11.7485</v>
      </c>
      <c r="I356" s="9">
        <f>11.7527 * CHOOSE(CONTROL!$C$32, $C$9, 100%, $E$9)</f>
        <v>11.752700000000001</v>
      </c>
      <c r="J356" s="9">
        <f>11.7485 * CHOOSE(CONTROL!$C$32, $C$9, 100%, $E$9)</f>
        <v>11.7485</v>
      </c>
      <c r="K356" s="9">
        <f>11.7527 * CHOOSE(CONTROL!$C$32, $C$9, 100%, $E$9)</f>
        <v>11.752700000000001</v>
      </c>
      <c r="L356" s="9">
        <f>6.0031 * CHOOSE(CONTROL!$C$32, $C$9, 100%, $E$9)</f>
        <v>6.0030999999999999</v>
      </c>
      <c r="M356" s="9">
        <f>6.0073 * CHOOSE(CONTROL!$C$32, $C$9, 100%, $E$9)</f>
        <v>6.0072999999999999</v>
      </c>
      <c r="N356" s="9">
        <f>6.0031 * CHOOSE(CONTROL!$C$32, $C$9, 100%, $E$9)</f>
        <v>6.0030999999999999</v>
      </c>
      <c r="O356" s="9">
        <f>6.0073 * CHOOSE(CONTROL!$C$32, $C$9, 100%, $E$9)</f>
        <v>6.0072999999999999</v>
      </c>
    </row>
    <row r="357" spans="1:15" ht="15.75" x14ac:dyDescent="0.25">
      <c r="A357" s="14">
        <v>51744</v>
      </c>
      <c r="B357" s="10">
        <f>6.218 * CHOOSE(CONTROL!$C$32, $C$9, 100%, $E$9)</f>
        <v>6.218</v>
      </c>
      <c r="C357" s="10">
        <f>6.218 * CHOOSE(CONTROL!$C$32, $C$9, 100%, $E$9)</f>
        <v>6.218</v>
      </c>
      <c r="D357" s="10">
        <f>6.2192 * CHOOSE(CONTROL!$C$32, $C$9, 100%, $E$9)</f>
        <v>6.2191999999999998</v>
      </c>
      <c r="E357" s="9">
        <f>5.9017 * CHOOSE(CONTROL!$C$32, $C$9, 100%, $E$9)</f>
        <v>5.9016999999999999</v>
      </c>
      <c r="F357" s="9">
        <f>5.9017 * CHOOSE(CONTROL!$C$32, $C$9, 100%, $E$9)</f>
        <v>5.9016999999999999</v>
      </c>
      <c r="G357" s="9">
        <f>5.9059 * CHOOSE(CONTROL!$C$32, $C$9, 100%, $E$9)</f>
        <v>5.9058999999999999</v>
      </c>
      <c r="H357" s="9">
        <f>11.773 * CHOOSE(CONTROL!$C$32, $C$9, 100%, $E$9)</f>
        <v>11.773</v>
      </c>
      <c r="I357" s="9">
        <f>11.7772 * CHOOSE(CONTROL!$C$32, $C$9, 100%, $E$9)</f>
        <v>11.777200000000001</v>
      </c>
      <c r="J357" s="9">
        <f>11.773 * CHOOSE(CONTROL!$C$32, $C$9, 100%, $E$9)</f>
        <v>11.773</v>
      </c>
      <c r="K357" s="9">
        <f>11.7772 * CHOOSE(CONTROL!$C$32, $C$9, 100%, $E$9)</f>
        <v>11.777200000000001</v>
      </c>
      <c r="L357" s="9">
        <f>5.9017 * CHOOSE(CONTROL!$C$32, $C$9, 100%, $E$9)</f>
        <v>5.9016999999999999</v>
      </c>
      <c r="M357" s="9">
        <f>5.9059 * CHOOSE(CONTROL!$C$32, $C$9, 100%, $E$9)</f>
        <v>5.9058999999999999</v>
      </c>
      <c r="N357" s="9">
        <f>5.9017 * CHOOSE(CONTROL!$C$32, $C$9, 100%, $E$9)</f>
        <v>5.9016999999999999</v>
      </c>
      <c r="O357" s="9">
        <f>5.9059 * CHOOSE(CONTROL!$C$32, $C$9, 100%, $E$9)</f>
        <v>5.9058999999999999</v>
      </c>
    </row>
    <row r="358" spans="1:15" ht="15.75" x14ac:dyDescent="0.25">
      <c r="A358" s="14">
        <v>51774</v>
      </c>
      <c r="B358" s="10">
        <f>6.2149 * CHOOSE(CONTROL!$C$32, $C$9, 100%, $E$9)</f>
        <v>6.2149000000000001</v>
      </c>
      <c r="C358" s="10">
        <f>6.2149 * CHOOSE(CONTROL!$C$32, $C$9, 100%, $E$9)</f>
        <v>6.2149000000000001</v>
      </c>
      <c r="D358" s="10">
        <f>6.2162 * CHOOSE(CONTROL!$C$32, $C$9, 100%, $E$9)</f>
        <v>6.2161999999999997</v>
      </c>
      <c r="E358" s="9">
        <f>5.8878 * CHOOSE(CONTROL!$C$32, $C$9, 100%, $E$9)</f>
        <v>5.8878000000000004</v>
      </c>
      <c r="F358" s="9">
        <f>5.8878 * CHOOSE(CONTROL!$C$32, $C$9, 100%, $E$9)</f>
        <v>5.8878000000000004</v>
      </c>
      <c r="G358" s="9">
        <f>5.892 * CHOOSE(CONTROL!$C$32, $C$9, 100%, $E$9)</f>
        <v>5.8920000000000003</v>
      </c>
      <c r="H358" s="9">
        <f>11.7975 * CHOOSE(CONTROL!$C$32, $C$9, 100%, $E$9)</f>
        <v>11.797499999999999</v>
      </c>
      <c r="I358" s="9">
        <f>11.8017 * CHOOSE(CONTROL!$C$32, $C$9, 100%, $E$9)</f>
        <v>11.8017</v>
      </c>
      <c r="J358" s="9">
        <f>11.7975 * CHOOSE(CONTROL!$C$32, $C$9, 100%, $E$9)</f>
        <v>11.797499999999999</v>
      </c>
      <c r="K358" s="9">
        <f>11.8017 * CHOOSE(CONTROL!$C$32, $C$9, 100%, $E$9)</f>
        <v>11.8017</v>
      </c>
      <c r="L358" s="9">
        <f>5.8878 * CHOOSE(CONTROL!$C$32, $C$9, 100%, $E$9)</f>
        <v>5.8878000000000004</v>
      </c>
      <c r="M358" s="9">
        <f>5.892 * CHOOSE(CONTROL!$C$32, $C$9, 100%, $E$9)</f>
        <v>5.8920000000000003</v>
      </c>
      <c r="N358" s="9">
        <f>5.8878 * CHOOSE(CONTROL!$C$32, $C$9, 100%, $E$9)</f>
        <v>5.8878000000000004</v>
      </c>
      <c r="O358" s="9">
        <f>5.892 * CHOOSE(CONTROL!$C$32, $C$9, 100%, $E$9)</f>
        <v>5.8920000000000003</v>
      </c>
    </row>
    <row r="359" spans="1:15" ht="15.75" x14ac:dyDescent="0.25">
      <c r="A359" s="14">
        <v>51805</v>
      </c>
      <c r="B359" s="10">
        <f>6.219 * CHOOSE(CONTROL!$C$32, $C$9, 100%, $E$9)</f>
        <v>6.2190000000000003</v>
      </c>
      <c r="C359" s="10">
        <f>6.219 * CHOOSE(CONTROL!$C$32, $C$9, 100%, $E$9)</f>
        <v>6.2190000000000003</v>
      </c>
      <c r="D359" s="10">
        <f>6.22 * CHOOSE(CONTROL!$C$32, $C$9, 100%, $E$9)</f>
        <v>6.22</v>
      </c>
      <c r="E359" s="9">
        <f>5.9215 * CHOOSE(CONTROL!$C$32, $C$9, 100%, $E$9)</f>
        <v>5.9215</v>
      </c>
      <c r="F359" s="9">
        <f>5.9215 * CHOOSE(CONTROL!$C$32, $C$9, 100%, $E$9)</f>
        <v>5.9215</v>
      </c>
      <c r="G359" s="9">
        <f>5.9248 * CHOOSE(CONTROL!$C$32, $C$9, 100%, $E$9)</f>
        <v>5.9248000000000003</v>
      </c>
      <c r="H359" s="9">
        <f>11.8221 * CHOOSE(CONTROL!$C$32, $C$9, 100%, $E$9)</f>
        <v>11.822100000000001</v>
      </c>
      <c r="I359" s="9">
        <f>11.8253 * CHOOSE(CONTROL!$C$32, $C$9, 100%, $E$9)</f>
        <v>11.8253</v>
      </c>
      <c r="J359" s="9">
        <f>11.8221 * CHOOSE(CONTROL!$C$32, $C$9, 100%, $E$9)</f>
        <v>11.822100000000001</v>
      </c>
      <c r="K359" s="9">
        <f>11.8253 * CHOOSE(CONTROL!$C$32, $C$9, 100%, $E$9)</f>
        <v>11.8253</v>
      </c>
      <c r="L359" s="9">
        <f>5.9215 * CHOOSE(CONTROL!$C$32, $C$9, 100%, $E$9)</f>
        <v>5.9215</v>
      </c>
      <c r="M359" s="9">
        <f>5.9248 * CHOOSE(CONTROL!$C$32, $C$9, 100%, $E$9)</f>
        <v>5.9248000000000003</v>
      </c>
      <c r="N359" s="9">
        <f>5.9215 * CHOOSE(CONTROL!$C$32, $C$9, 100%, $E$9)</f>
        <v>5.9215</v>
      </c>
      <c r="O359" s="9">
        <f>5.9248 * CHOOSE(CONTROL!$C$32, $C$9, 100%, $E$9)</f>
        <v>5.9248000000000003</v>
      </c>
    </row>
    <row r="360" spans="1:15" ht="15.75" x14ac:dyDescent="0.25">
      <c r="A360" s="14">
        <v>51835</v>
      </c>
      <c r="B360" s="10">
        <f>6.222 * CHOOSE(CONTROL!$C$32, $C$9, 100%, $E$9)</f>
        <v>6.2220000000000004</v>
      </c>
      <c r="C360" s="10">
        <f>6.222 * CHOOSE(CONTROL!$C$32, $C$9, 100%, $E$9)</f>
        <v>6.2220000000000004</v>
      </c>
      <c r="D360" s="10">
        <f>6.223 * CHOOSE(CONTROL!$C$32, $C$9, 100%, $E$9)</f>
        <v>6.2229999999999999</v>
      </c>
      <c r="E360" s="9">
        <f>5.9472 * CHOOSE(CONTROL!$C$32, $C$9, 100%, $E$9)</f>
        <v>5.9471999999999996</v>
      </c>
      <c r="F360" s="9">
        <f>5.9472 * CHOOSE(CONTROL!$C$32, $C$9, 100%, $E$9)</f>
        <v>5.9471999999999996</v>
      </c>
      <c r="G360" s="9">
        <f>5.9504 * CHOOSE(CONTROL!$C$32, $C$9, 100%, $E$9)</f>
        <v>5.9504000000000001</v>
      </c>
      <c r="H360" s="9">
        <f>11.8467 * CHOOSE(CONTROL!$C$32, $C$9, 100%, $E$9)</f>
        <v>11.8467</v>
      </c>
      <c r="I360" s="9">
        <f>11.85 * CHOOSE(CONTROL!$C$32, $C$9, 100%, $E$9)</f>
        <v>11.85</v>
      </c>
      <c r="J360" s="9">
        <f>11.8467 * CHOOSE(CONTROL!$C$32, $C$9, 100%, $E$9)</f>
        <v>11.8467</v>
      </c>
      <c r="K360" s="9">
        <f>11.85 * CHOOSE(CONTROL!$C$32, $C$9, 100%, $E$9)</f>
        <v>11.85</v>
      </c>
      <c r="L360" s="9">
        <f>5.9472 * CHOOSE(CONTROL!$C$32, $C$9, 100%, $E$9)</f>
        <v>5.9471999999999996</v>
      </c>
      <c r="M360" s="9">
        <f>5.9504 * CHOOSE(CONTROL!$C$32, $C$9, 100%, $E$9)</f>
        <v>5.9504000000000001</v>
      </c>
      <c r="N360" s="9">
        <f>5.9472 * CHOOSE(CONTROL!$C$32, $C$9, 100%, $E$9)</f>
        <v>5.9471999999999996</v>
      </c>
      <c r="O360" s="9">
        <f>5.9504 * CHOOSE(CONTROL!$C$32, $C$9, 100%, $E$9)</f>
        <v>5.9504000000000001</v>
      </c>
    </row>
    <row r="361" spans="1:15" ht="15.75" x14ac:dyDescent="0.25">
      <c r="A361" s="14">
        <v>51866</v>
      </c>
      <c r="B361" s="10">
        <f>6.222 * CHOOSE(CONTROL!$C$32, $C$9, 100%, $E$9)</f>
        <v>6.2220000000000004</v>
      </c>
      <c r="C361" s="10">
        <f>6.222 * CHOOSE(CONTROL!$C$32, $C$9, 100%, $E$9)</f>
        <v>6.2220000000000004</v>
      </c>
      <c r="D361" s="10">
        <f>6.223 * CHOOSE(CONTROL!$C$32, $C$9, 100%, $E$9)</f>
        <v>6.2229999999999999</v>
      </c>
      <c r="E361" s="9">
        <f>5.8883 * CHOOSE(CONTROL!$C$32, $C$9, 100%, $E$9)</f>
        <v>5.8883000000000001</v>
      </c>
      <c r="F361" s="9">
        <f>5.8883 * CHOOSE(CONTROL!$C$32, $C$9, 100%, $E$9)</f>
        <v>5.8883000000000001</v>
      </c>
      <c r="G361" s="9">
        <f>5.8915 * CHOOSE(CONTROL!$C$32, $C$9, 100%, $E$9)</f>
        <v>5.8914999999999997</v>
      </c>
      <c r="H361" s="9">
        <f>11.8714 * CHOOSE(CONTROL!$C$32, $C$9, 100%, $E$9)</f>
        <v>11.8714</v>
      </c>
      <c r="I361" s="9">
        <f>11.8747 * CHOOSE(CONTROL!$C$32, $C$9, 100%, $E$9)</f>
        <v>11.874700000000001</v>
      </c>
      <c r="J361" s="9">
        <f>11.8714 * CHOOSE(CONTROL!$C$32, $C$9, 100%, $E$9)</f>
        <v>11.8714</v>
      </c>
      <c r="K361" s="9">
        <f>11.8747 * CHOOSE(CONTROL!$C$32, $C$9, 100%, $E$9)</f>
        <v>11.874700000000001</v>
      </c>
      <c r="L361" s="9">
        <f>5.8883 * CHOOSE(CONTROL!$C$32, $C$9, 100%, $E$9)</f>
        <v>5.8883000000000001</v>
      </c>
      <c r="M361" s="9">
        <f>5.8915 * CHOOSE(CONTROL!$C$32, $C$9, 100%, $E$9)</f>
        <v>5.8914999999999997</v>
      </c>
      <c r="N361" s="9">
        <f>5.8883 * CHOOSE(CONTROL!$C$32, $C$9, 100%, $E$9)</f>
        <v>5.8883000000000001</v>
      </c>
      <c r="O361" s="9">
        <f>5.8915 * CHOOSE(CONTROL!$C$32, $C$9, 100%, $E$9)</f>
        <v>5.8914999999999997</v>
      </c>
    </row>
    <row r="362" spans="1:15" ht="15.75" x14ac:dyDescent="0.25">
      <c r="A362" s="14">
        <v>51897</v>
      </c>
      <c r="B362" s="10">
        <f>6.2748 * CHOOSE(CONTROL!$C$32, $C$9, 100%, $E$9)</f>
        <v>6.2747999999999999</v>
      </c>
      <c r="C362" s="10">
        <f>6.2748 * CHOOSE(CONTROL!$C$32, $C$9, 100%, $E$9)</f>
        <v>6.2747999999999999</v>
      </c>
      <c r="D362" s="10">
        <f>6.2757 * CHOOSE(CONTROL!$C$32, $C$9, 100%, $E$9)</f>
        <v>6.2756999999999996</v>
      </c>
      <c r="E362" s="9">
        <f>5.9711 * CHOOSE(CONTROL!$C$32, $C$9, 100%, $E$9)</f>
        <v>5.9710999999999999</v>
      </c>
      <c r="F362" s="9">
        <f>5.9711 * CHOOSE(CONTROL!$C$32, $C$9, 100%, $E$9)</f>
        <v>5.9710999999999999</v>
      </c>
      <c r="G362" s="9">
        <f>5.9743 * CHOOSE(CONTROL!$C$32, $C$9, 100%, $E$9)</f>
        <v>5.9743000000000004</v>
      </c>
      <c r="H362" s="9">
        <f>11.8962 * CHOOSE(CONTROL!$C$32, $C$9, 100%, $E$9)</f>
        <v>11.8962</v>
      </c>
      <c r="I362" s="9">
        <f>11.8994 * CHOOSE(CONTROL!$C$32, $C$9, 100%, $E$9)</f>
        <v>11.8994</v>
      </c>
      <c r="J362" s="9">
        <f>11.8962 * CHOOSE(CONTROL!$C$32, $C$9, 100%, $E$9)</f>
        <v>11.8962</v>
      </c>
      <c r="K362" s="9">
        <f>11.8994 * CHOOSE(CONTROL!$C$32, $C$9, 100%, $E$9)</f>
        <v>11.8994</v>
      </c>
      <c r="L362" s="9">
        <f>5.9711 * CHOOSE(CONTROL!$C$32, $C$9, 100%, $E$9)</f>
        <v>5.9710999999999999</v>
      </c>
      <c r="M362" s="9">
        <f>5.9743 * CHOOSE(CONTROL!$C$32, $C$9, 100%, $E$9)</f>
        <v>5.9743000000000004</v>
      </c>
      <c r="N362" s="9">
        <f>5.9711 * CHOOSE(CONTROL!$C$32, $C$9, 100%, $E$9)</f>
        <v>5.9710999999999999</v>
      </c>
      <c r="O362" s="9">
        <f>5.9743 * CHOOSE(CONTROL!$C$32, $C$9, 100%, $E$9)</f>
        <v>5.9743000000000004</v>
      </c>
    </row>
    <row r="363" spans="1:15" ht="15.75" x14ac:dyDescent="0.25">
      <c r="A363" s="14">
        <v>51925</v>
      </c>
      <c r="B363" s="10">
        <f>6.2717 * CHOOSE(CONTROL!$C$32, $C$9, 100%, $E$9)</f>
        <v>6.2717000000000001</v>
      </c>
      <c r="C363" s="10">
        <f>6.2717 * CHOOSE(CONTROL!$C$32, $C$9, 100%, $E$9)</f>
        <v>6.2717000000000001</v>
      </c>
      <c r="D363" s="10">
        <f>6.2727 * CHOOSE(CONTROL!$C$32, $C$9, 100%, $E$9)</f>
        <v>6.2727000000000004</v>
      </c>
      <c r="E363" s="9">
        <f>5.8544 * CHOOSE(CONTROL!$C$32, $C$9, 100%, $E$9)</f>
        <v>5.8544</v>
      </c>
      <c r="F363" s="9">
        <f>5.8544 * CHOOSE(CONTROL!$C$32, $C$9, 100%, $E$9)</f>
        <v>5.8544</v>
      </c>
      <c r="G363" s="9">
        <f>5.8576 * CHOOSE(CONTROL!$C$32, $C$9, 100%, $E$9)</f>
        <v>5.8575999999999997</v>
      </c>
      <c r="H363" s="9">
        <f>11.9209 * CHOOSE(CONTROL!$C$32, $C$9, 100%, $E$9)</f>
        <v>11.9209</v>
      </c>
      <c r="I363" s="9">
        <f>11.9242 * CHOOSE(CONTROL!$C$32, $C$9, 100%, $E$9)</f>
        <v>11.924200000000001</v>
      </c>
      <c r="J363" s="9">
        <f>11.9209 * CHOOSE(CONTROL!$C$32, $C$9, 100%, $E$9)</f>
        <v>11.9209</v>
      </c>
      <c r="K363" s="9">
        <f>11.9242 * CHOOSE(CONTROL!$C$32, $C$9, 100%, $E$9)</f>
        <v>11.924200000000001</v>
      </c>
      <c r="L363" s="9">
        <f>5.8544 * CHOOSE(CONTROL!$C$32, $C$9, 100%, $E$9)</f>
        <v>5.8544</v>
      </c>
      <c r="M363" s="9">
        <f>5.8576 * CHOOSE(CONTROL!$C$32, $C$9, 100%, $E$9)</f>
        <v>5.8575999999999997</v>
      </c>
      <c r="N363" s="9">
        <f>5.8544 * CHOOSE(CONTROL!$C$32, $C$9, 100%, $E$9)</f>
        <v>5.8544</v>
      </c>
      <c r="O363" s="9">
        <f>5.8576 * CHOOSE(CONTROL!$C$32, $C$9, 100%, $E$9)</f>
        <v>5.8575999999999997</v>
      </c>
    </row>
    <row r="364" spans="1:15" ht="15.75" x14ac:dyDescent="0.25">
      <c r="A364" s="14">
        <v>51956</v>
      </c>
      <c r="B364" s="10">
        <f>6.2687 * CHOOSE(CONTROL!$C$32, $C$9, 100%, $E$9)</f>
        <v>6.2686999999999999</v>
      </c>
      <c r="C364" s="10">
        <f>6.2687 * CHOOSE(CONTROL!$C$32, $C$9, 100%, $E$9)</f>
        <v>6.2686999999999999</v>
      </c>
      <c r="D364" s="10">
        <f>6.2696 * CHOOSE(CONTROL!$C$32, $C$9, 100%, $E$9)</f>
        <v>6.2695999999999996</v>
      </c>
      <c r="E364" s="9">
        <f>5.9426 * CHOOSE(CONTROL!$C$32, $C$9, 100%, $E$9)</f>
        <v>5.9425999999999997</v>
      </c>
      <c r="F364" s="9">
        <f>5.9426 * CHOOSE(CONTROL!$C$32, $C$9, 100%, $E$9)</f>
        <v>5.9425999999999997</v>
      </c>
      <c r="G364" s="9">
        <f>5.9458 * CHOOSE(CONTROL!$C$32, $C$9, 100%, $E$9)</f>
        <v>5.9458000000000002</v>
      </c>
      <c r="H364" s="9">
        <f>11.9458 * CHOOSE(CONTROL!$C$32, $C$9, 100%, $E$9)</f>
        <v>11.9458</v>
      </c>
      <c r="I364" s="9">
        <f>11.949 * CHOOSE(CONTROL!$C$32, $C$9, 100%, $E$9)</f>
        <v>11.949</v>
      </c>
      <c r="J364" s="9">
        <f>11.9458 * CHOOSE(CONTROL!$C$32, $C$9, 100%, $E$9)</f>
        <v>11.9458</v>
      </c>
      <c r="K364" s="9">
        <f>11.949 * CHOOSE(CONTROL!$C$32, $C$9, 100%, $E$9)</f>
        <v>11.949</v>
      </c>
      <c r="L364" s="9">
        <f>5.9426 * CHOOSE(CONTROL!$C$32, $C$9, 100%, $E$9)</f>
        <v>5.9425999999999997</v>
      </c>
      <c r="M364" s="9">
        <f>5.9458 * CHOOSE(CONTROL!$C$32, $C$9, 100%, $E$9)</f>
        <v>5.9458000000000002</v>
      </c>
      <c r="N364" s="9">
        <f>5.9426 * CHOOSE(CONTROL!$C$32, $C$9, 100%, $E$9)</f>
        <v>5.9425999999999997</v>
      </c>
      <c r="O364" s="9">
        <f>5.9458 * CHOOSE(CONTROL!$C$32, $C$9, 100%, $E$9)</f>
        <v>5.9458000000000002</v>
      </c>
    </row>
    <row r="365" spans="1:15" ht="15.75" x14ac:dyDescent="0.25">
      <c r="A365" s="14">
        <v>51986</v>
      </c>
      <c r="B365" s="10">
        <f>6.2687 * CHOOSE(CONTROL!$C$32, $C$9, 100%, $E$9)</f>
        <v>6.2686999999999999</v>
      </c>
      <c r="C365" s="10">
        <f>6.2687 * CHOOSE(CONTROL!$C$32, $C$9, 100%, $E$9)</f>
        <v>6.2686999999999999</v>
      </c>
      <c r="D365" s="10">
        <f>6.2697 * CHOOSE(CONTROL!$C$32, $C$9, 100%, $E$9)</f>
        <v>6.2697000000000003</v>
      </c>
      <c r="E365" s="9">
        <f>6.0354 * CHOOSE(CONTROL!$C$32, $C$9, 100%, $E$9)</f>
        <v>6.0354000000000001</v>
      </c>
      <c r="F365" s="9">
        <f>6.0354 * CHOOSE(CONTROL!$C$32, $C$9, 100%, $E$9)</f>
        <v>6.0354000000000001</v>
      </c>
      <c r="G365" s="9">
        <f>6.0386 * CHOOSE(CONTROL!$C$32, $C$9, 100%, $E$9)</f>
        <v>6.0385999999999997</v>
      </c>
      <c r="H365" s="9">
        <f>11.9707 * CHOOSE(CONTROL!$C$32, $C$9, 100%, $E$9)</f>
        <v>11.970700000000001</v>
      </c>
      <c r="I365" s="9">
        <f>11.9739 * CHOOSE(CONTROL!$C$32, $C$9, 100%, $E$9)</f>
        <v>11.9739</v>
      </c>
      <c r="J365" s="9">
        <f>11.9707 * CHOOSE(CONTROL!$C$32, $C$9, 100%, $E$9)</f>
        <v>11.970700000000001</v>
      </c>
      <c r="K365" s="9">
        <f>11.9739 * CHOOSE(CONTROL!$C$32, $C$9, 100%, $E$9)</f>
        <v>11.9739</v>
      </c>
      <c r="L365" s="9">
        <f>6.0354 * CHOOSE(CONTROL!$C$32, $C$9, 100%, $E$9)</f>
        <v>6.0354000000000001</v>
      </c>
      <c r="M365" s="9">
        <f>6.0386 * CHOOSE(CONTROL!$C$32, $C$9, 100%, $E$9)</f>
        <v>6.0385999999999997</v>
      </c>
      <c r="N365" s="9">
        <f>6.0354 * CHOOSE(CONTROL!$C$32, $C$9, 100%, $E$9)</f>
        <v>6.0354000000000001</v>
      </c>
      <c r="O365" s="9">
        <f>6.0386 * CHOOSE(CONTROL!$C$32, $C$9, 100%, $E$9)</f>
        <v>6.0385999999999997</v>
      </c>
    </row>
    <row r="366" spans="1:15" ht="15.75" x14ac:dyDescent="0.25">
      <c r="A366" s="14">
        <v>52017</v>
      </c>
      <c r="B366" s="10">
        <f>6.2687 * CHOOSE(CONTROL!$C$32, $C$9, 100%, $E$9)</f>
        <v>6.2686999999999999</v>
      </c>
      <c r="C366" s="10">
        <f>6.2687 * CHOOSE(CONTROL!$C$32, $C$9, 100%, $E$9)</f>
        <v>6.2686999999999999</v>
      </c>
      <c r="D366" s="10">
        <f>6.27 * CHOOSE(CONTROL!$C$32, $C$9, 100%, $E$9)</f>
        <v>6.27</v>
      </c>
      <c r="E366" s="9">
        <f>6.0718 * CHOOSE(CONTROL!$C$32, $C$9, 100%, $E$9)</f>
        <v>6.0717999999999996</v>
      </c>
      <c r="F366" s="9">
        <f>6.0718 * CHOOSE(CONTROL!$C$32, $C$9, 100%, $E$9)</f>
        <v>6.0717999999999996</v>
      </c>
      <c r="G366" s="9">
        <f>6.076 * CHOOSE(CONTROL!$C$32, $C$9, 100%, $E$9)</f>
        <v>6.0759999999999996</v>
      </c>
      <c r="H366" s="9">
        <f>11.9956 * CHOOSE(CONTROL!$C$32, $C$9, 100%, $E$9)</f>
        <v>11.9956</v>
      </c>
      <c r="I366" s="9">
        <f>11.9998 * CHOOSE(CONTROL!$C$32, $C$9, 100%, $E$9)</f>
        <v>11.9998</v>
      </c>
      <c r="J366" s="9">
        <f>11.9956 * CHOOSE(CONTROL!$C$32, $C$9, 100%, $E$9)</f>
        <v>11.9956</v>
      </c>
      <c r="K366" s="9">
        <f>11.9998 * CHOOSE(CONTROL!$C$32, $C$9, 100%, $E$9)</f>
        <v>11.9998</v>
      </c>
      <c r="L366" s="9">
        <f>6.0718 * CHOOSE(CONTROL!$C$32, $C$9, 100%, $E$9)</f>
        <v>6.0717999999999996</v>
      </c>
      <c r="M366" s="9">
        <f>6.076 * CHOOSE(CONTROL!$C$32, $C$9, 100%, $E$9)</f>
        <v>6.0759999999999996</v>
      </c>
      <c r="N366" s="9">
        <f>6.0718 * CHOOSE(CONTROL!$C$32, $C$9, 100%, $E$9)</f>
        <v>6.0717999999999996</v>
      </c>
      <c r="O366" s="9">
        <f>6.076 * CHOOSE(CONTROL!$C$32, $C$9, 100%, $E$9)</f>
        <v>6.0759999999999996</v>
      </c>
    </row>
    <row r="367" spans="1:15" ht="15.75" x14ac:dyDescent="0.25">
      <c r="A367" s="14">
        <v>52047</v>
      </c>
      <c r="B367" s="10">
        <f>6.2748 * CHOOSE(CONTROL!$C$32, $C$9, 100%, $E$9)</f>
        <v>6.2747999999999999</v>
      </c>
      <c r="C367" s="10">
        <f>6.2748 * CHOOSE(CONTROL!$C$32, $C$9, 100%, $E$9)</f>
        <v>6.2747999999999999</v>
      </c>
      <c r="D367" s="10">
        <f>6.2761 * CHOOSE(CONTROL!$C$32, $C$9, 100%, $E$9)</f>
        <v>6.2760999999999996</v>
      </c>
      <c r="E367" s="9">
        <f>6.0396 * CHOOSE(CONTROL!$C$32, $C$9, 100%, $E$9)</f>
        <v>6.0396000000000001</v>
      </c>
      <c r="F367" s="9">
        <f>6.0396 * CHOOSE(CONTROL!$C$32, $C$9, 100%, $E$9)</f>
        <v>6.0396000000000001</v>
      </c>
      <c r="G367" s="9">
        <f>6.0438 * CHOOSE(CONTROL!$C$32, $C$9, 100%, $E$9)</f>
        <v>6.0438000000000001</v>
      </c>
      <c r="H367" s="9">
        <f>12.0206 * CHOOSE(CONTROL!$C$32, $C$9, 100%, $E$9)</f>
        <v>12.0206</v>
      </c>
      <c r="I367" s="9">
        <f>12.0248 * CHOOSE(CONTROL!$C$32, $C$9, 100%, $E$9)</f>
        <v>12.024800000000001</v>
      </c>
      <c r="J367" s="9">
        <f>12.0206 * CHOOSE(CONTROL!$C$32, $C$9, 100%, $E$9)</f>
        <v>12.0206</v>
      </c>
      <c r="K367" s="9">
        <f>12.0248 * CHOOSE(CONTROL!$C$32, $C$9, 100%, $E$9)</f>
        <v>12.024800000000001</v>
      </c>
      <c r="L367" s="9">
        <f>6.0396 * CHOOSE(CONTROL!$C$32, $C$9, 100%, $E$9)</f>
        <v>6.0396000000000001</v>
      </c>
      <c r="M367" s="9">
        <f>6.0438 * CHOOSE(CONTROL!$C$32, $C$9, 100%, $E$9)</f>
        <v>6.0438000000000001</v>
      </c>
      <c r="N367" s="9">
        <f>6.0396 * CHOOSE(CONTROL!$C$32, $C$9, 100%, $E$9)</f>
        <v>6.0396000000000001</v>
      </c>
      <c r="O367" s="9">
        <f>6.0438 * CHOOSE(CONTROL!$C$32, $C$9, 100%, $E$9)</f>
        <v>6.0438000000000001</v>
      </c>
    </row>
    <row r="368" spans="1:15" ht="15.75" x14ac:dyDescent="0.25">
      <c r="A368" s="14">
        <v>52078</v>
      </c>
      <c r="B368" s="10">
        <f>6.3681 * CHOOSE(CONTROL!$C$32, $C$9, 100%, $E$9)</f>
        <v>6.3681000000000001</v>
      </c>
      <c r="C368" s="10">
        <f>6.3681 * CHOOSE(CONTROL!$C$32, $C$9, 100%, $E$9)</f>
        <v>6.3681000000000001</v>
      </c>
      <c r="D368" s="10">
        <f>6.3693 * CHOOSE(CONTROL!$C$32, $C$9, 100%, $E$9)</f>
        <v>6.3693</v>
      </c>
      <c r="E368" s="9">
        <f>6.1126 * CHOOSE(CONTROL!$C$32, $C$9, 100%, $E$9)</f>
        <v>6.1125999999999996</v>
      </c>
      <c r="F368" s="9">
        <f>6.1126 * CHOOSE(CONTROL!$C$32, $C$9, 100%, $E$9)</f>
        <v>6.1125999999999996</v>
      </c>
      <c r="G368" s="9">
        <f>6.1168 * CHOOSE(CONTROL!$C$32, $C$9, 100%, $E$9)</f>
        <v>6.1167999999999996</v>
      </c>
      <c r="H368" s="9">
        <f>12.0456 * CHOOSE(CONTROL!$C$32, $C$9, 100%, $E$9)</f>
        <v>12.0456</v>
      </c>
      <c r="I368" s="9">
        <f>12.0498 * CHOOSE(CONTROL!$C$32, $C$9, 100%, $E$9)</f>
        <v>12.049799999999999</v>
      </c>
      <c r="J368" s="9">
        <f>12.0456 * CHOOSE(CONTROL!$C$32, $C$9, 100%, $E$9)</f>
        <v>12.0456</v>
      </c>
      <c r="K368" s="9">
        <f>12.0498 * CHOOSE(CONTROL!$C$32, $C$9, 100%, $E$9)</f>
        <v>12.049799999999999</v>
      </c>
      <c r="L368" s="9">
        <f>6.1126 * CHOOSE(CONTROL!$C$32, $C$9, 100%, $E$9)</f>
        <v>6.1125999999999996</v>
      </c>
      <c r="M368" s="9">
        <f>6.1168 * CHOOSE(CONTROL!$C$32, $C$9, 100%, $E$9)</f>
        <v>6.1167999999999996</v>
      </c>
      <c r="N368" s="9">
        <f>6.1126 * CHOOSE(CONTROL!$C$32, $C$9, 100%, $E$9)</f>
        <v>6.1125999999999996</v>
      </c>
      <c r="O368" s="9">
        <f>6.1168 * CHOOSE(CONTROL!$C$32, $C$9, 100%, $E$9)</f>
        <v>6.1167999999999996</v>
      </c>
    </row>
    <row r="369" spans="1:15" ht="15.75" x14ac:dyDescent="0.25">
      <c r="A369" s="14">
        <v>52109</v>
      </c>
      <c r="B369" s="10">
        <f>6.3747 * CHOOSE(CONTROL!$C$32, $C$9, 100%, $E$9)</f>
        <v>6.3746999999999998</v>
      </c>
      <c r="C369" s="10">
        <f>6.3747 * CHOOSE(CONTROL!$C$32, $C$9, 100%, $E$9)</f>
        <v>6.3746999999999998</v>
      </c>
      <c r="D369" s="10">
        <f>6.376 * CHOOSE(CONTROL!$C$32, $C$9, 100%, $E$9)</f>
        <v>6.3760000000000003</v>
      </c>
      <c r="E369" s="9">
        <f>6.0081 * CHOOSE(CONTROL!$C$32, $C$9, 100%, $E$9)</f>
        <v>6.0080999999999998</v>
      </c>
      <c r="F369" s="9">
        <f>6.0081 * CHOOSE(CONTROL!$C$32, $C$9, 100%, $E$9)</f>
        <v>6.0080999999999998</v>
      </c>
      <c r="G369" s="9">
        <f>6.0123 * CHOOSE(CONTROL!$C$32, $C$9, 100%, $E$9)</f>
        <v>6.0122999999999998</v>
      </c>
      <c r="H369" s="9">
        <f>12.0707 * CHOOSE(CONTROL!$C$32, $C$9, 100%, $E$9)</f>
        <v>12.0707</v>
      </c>
      <c r="I369" s="9">
        <f>12.0749 * CHOOSE(CONTROL!$C$32, $C$9, 100%, $E$9)</f>
        <v>12.0749</v>
      </c>
      <c r="J369" s="9">
        <f>12.0707 * CHOOSE(CONTROL!$C$32, $C$9, 100%, $E$9)</f>
        <v>12.0707</v>
      </c>
      <c r="K369" s="9">
        <f>12.0749 * CHOOSE(CONTROL!$C$32, $C$9, 100%, $E$9)</f>
        <v>12.0749</v>
      </c>
      <c r="L369" s="9">
        <f>6.0081 * CHOOSE(CONTROL!$C$32, $C$9, 100%, $E$9)</f>
        <v>6.0080999999999998</v>
      </c>
      <c r="M369" s="9">
        <f>6.0123 * CHOOSE(CONTROL!$C$32, $C$9, 100%, $E$9)</f>
        <v>6.0122999999999998</v>
      </c>
      <c r="N369" s="9">
        <f>6.0081 * CHOOSE(CONTROL!$C$32, $C$9, 100%, $E$9)</f>
        <v>6.0080999999999998</v>
      </c>
      <c r="O369" s="9">
        <f>6.0123 * CHOOSE(CONTROL!$C$32, $C$9, 100%, $E$9)</f>
        <v>6.0122999999999998</v>
      </c>
    </row>
    <row r="370" spans="1:15" ht="15.75" x14ac:dyDescent="0.25">
      <c r="A370" s="14">
        <v>52139</v>
      </c>
      <c r="B370" s="10">
        <f>6.3717 * CHOOSE(CONTROL!$C$32, $C$9, 100%, $E$9)</f>
        <v>6.3716999999999997</v>
      </c>
      <c r="C370" s="10">
        <f>6.3717 * CHOOSE(CONTROL!$C$32, $C$9, 100%, $E$9)</f>
        <v>6.3716999999999997</v>
      </c>
      <c r="D370" s="10">
        <f>6.3729 * CHOOSE(CONTROL!$C$32, $C$9, 100%, $E$9)</f>
        <v>6.3728999999999996</v>
      </c>
      <c r="E370" s="9">
        <f>5.9938 * CHOOSE(CONTROL!$C$32, $C$9, 100%, $E$9)</f>
        <v>5.9938000000000002</v>
      </c>
      <c r="F370" s="9">
        <f>5.9938 * CHOOSE(CONTROL!$C$32, $C$9, 100%, $E$9)</f>
        <v>5.9938000000000002</v>
      </c>
      <c r="G370" s="9">
        <f>5.998 * CHOOSE(CONTROL!$C$32, $C$9, 100%, $E$9)</f>
        <v>5.9980000000000002</v>
      </c>
      <c r="H370" s="9">
        <f>12.0959 * CHOOSE(CONTROL!$C$32, $C$9, 100%, $E$9)</f>
        <v>12.0959</v>
      </c>
      <c r="I370" s="9">
        <f>12.1001 * CHOOSE(CONTROL!$C$32, $C$9, 100%, $E$9)</f>
        <v>12.100099999999999</v>
      </c>
      <c r="J370" s="9">
        <f>12.0959 * CHOOSE(CONTROL!$C$32, $C$9, 100%, $E$9)</f>
        <v>12.0959</v>
      </c>
      <c r="K370" s="9">
        <f>12.1001 * CHOOSE(CONTROL!$C$32, $C$9, 100%, $E$9)</f>
        <v>12.100099999999999</v>
      </c>
      <c r="L370" s="9">
        <f>5.9938 * CHOOSE(CONTROL!$C$32, $C$9, 100%, $E$9)</f>
        <v>5.9938000000000002</v>
      </c>
      <c r="M370" s="9">
        <f>5.998 * CHOOSE(CONTROL!$C$32, $C$9, 100%, $E$9)</f>
        <v>5.9980000000000002</v>
      </c>
      <c r="N370" s="9">
        <f>5.9938 * CHOOSE(CONTROL!$C$32, $C$9, 100%, $E$9)</f>
        <v>5.9938000000000002</v>
      </c>
      <c r="O370" s="9">
        <f>5.998 * CHOOSE(CONTROL!$C$32, $C$9, 100%, $E$9)</f>
        <v>5.9980000000000002</v>
      </c>
    </row>
    <row r="371" spans="1:15" ht="15.75" x14ac:dyDescent="0.25">
      <c r="A371" s="14">
        <v>52170</v>
      </c>
      <c r="B371" s="10">
        <f>6.3764 * CHOOSE(CONTROL!$C$32, $C$9, 100%, $E$9)</f>
        <v>6.3764000000000003</v>
      </c>
      <c r="C371" s="10">
        <f>6.3764 * CHOOSE(CONTROL!$C$32, $C$9, 100%, $E$9)</f>
        <v>6.3764000000000003</v>
      </c>
      <c r="D371" s="10">
        <f>6.3773 * CHOOSE(CONTROL!$C$32, $C$9, 100%, $E$9)</f>
        <v>6.3773</v>
      </c>
      <c r="E371" s="9">
        <f>6.0289 * CHOOSE(CONTROL!$C$32, $C$9, 100%, $E$9)</f>
        <v>6.0289000000000001</v>
      </c>
      <c r="F371" s="9">
        <f>6.0289 * CHOOSE(CONTROL!$C$32, $C$9, 100%, $E$9)</f>
        <v>6.0289000000000001</v>
      </c>
      <c r="G371" s="9">
        <f>6.0322 * CHOOSE(CONTROL!$C$32, $C$9, 100%, $E$9)</f>
        <v>6.0321999999999996</v>
      </c>
      <c r="H371" s="9">
        <f>12.1211 * CHOOSE(CONTROL!$C$32, $C$9, 100%, $E$9)</f>
        <v>12.1211</v>
      </c>
      <c r="I371" s="9">
        <f>12.1243 * CHOOSE(CONTROL!$C$32, $C$9, 100%, $E$9)</f>
        <v>12.1243</v>
      </c>
      <c r="J371" s="9">
        <f>12.1211 * CHOOSE(CONTROL!$C$32, $C$9, 100%, $E$9)</f>
        <v>12.1211</v>
      </c>
      <c r="K371" s="9">
        <f>12.1243 * CHOOSE(CONTROL!$C$32, $C$9, 100%, $E$9)</f>
        <v>12.1243</v>
      </c>
      <c r="L371" s="9">
        <f>6.0289 * CHOOSE(CONTROL!$C$32, $C$9, 100%, $E$9)</f>
        <v>6.0289000000000001</v>
      </c>
      <c r="M371" s="9">
        <f>6.0322 * CHOOSE(CONTROL!$C$32, $C$9, 100%, $E$9)</f>
        <v>6.0321999999999996</v>
      </c>
      <c r="N371" s="9">
        <f>6.0289 * CHOOSE(CONTROL!$C$32, $C$9, 100%, $E$9)</f>
        <v>6.0289000000000001</v>
      </c>
      <c r="O371" s="9">
        <f>6.0322 * CHOOSE(CONTROL!$C$32, $C$9, 100%, $E$9)</f>
        <v>6.0321999999999996</v>
      </c>
    </row>
    <row r="372" spans="1:15" ht="15.75" x14ac:dyDescent="0.25">
      <c r="A372" s="14">
        <v>52200</v>
      </c>
      <c r="B372" s="10">
        <f>6.3794 * CHOOSE(CONTROL!$C$32, $C$9, 100%, $E$9)</f>
        <v>6.3794000000000004</v>
      </c>
      <c r="C372" s="10">
        <f>6.3794 * CHOOSE(CONTROL!$C$32, $C$9, 100%, $E$9)</f>
        <v>6.3794000000000004</v>
      </c>
      <c r="D372" s="10">
        <f>6.3804 * CHOOSE(CONTROL!$C$32, $C$9, 100%, $E$9)</f>
        <v>6.3803999999999998</v>
      </c>
      <c r="E372" s="9">
        <f>6.0553 * CHOOSE(CONTROL!$C$32, $C$9, 100%, $E$9)</f>
        <v>6.0552999999999999</v>
      </c>
      <c r="F372" s="9">
        <f>6.0553 * CHOOSE(CONTROL!$C$32, $C$9, 100%, $E$9)</f>
        <v>6.0552999999999999</v>
      </c>
      <c r="G372" s="9">
        <f>6.0585 * CHOOSE(CONTROL!$C$32, $C$9, 100%, $E$9)</f>
        <v>6.0585000000000004</v>
      </c>
      <c r="H372" s="9">
        <f>12.1463 * CHOOSE(CONTROL!$C$32, $C$9, 100%, $E$9)</f>
        <v>12.1463</v>
      </c>
      <c r="I372" s="9">
        <f>12.1496 * CHOOSE(CONTROL!$C$32, $C$9, 100%, $E$9)</f>
        <v>12.1496</v>
      </c>
      <c r="J372" s="9">
        <f>12.1463 * CHOOSE(CONTROL!$C$32, $C$9, 100%, $E$9)</f>
        <v>12.1463</v>
      </c>
      <c r="K372" s="9">
        <f>12.1496 * CHOOSE(CONTROL!$C$32, $C$9, 100%, $E$9)</f>
        <v>12.1496</v>
      </c>
      <c r="L372" s="9">
        <f>6.0553 * CHOOSE(CONTROL!$C$32, $C$9, 100%, $E$9)</f>
        <v>6.0552999999999999</v>
      </c>
      <c r="M372" s="9">
        <f>6.0585 * CHOOSE(CONTROL!$C$32, $C$9, 100%, $E$9)</f>
        <v>6.0585000000000004</v>
      </c>
      <c r="N372" s="9">
        <f>6.0553 * CHOOSE(CONTROL!$C$32, $C$9, 100%, $E$9)</f>
        <v>6.0552999999999999</v>
      </c>
      <c r="O372" s="9">
        <f>6.0585 * CHOOSE(CONTROL!$C$32, $C$9, 100%, $E$9)</f>
        <v>6.0585000000000004</v>
      </c>
    </row>
    <row r="373" spans="1:15" ht="15.75" x14ac:dyDescent="0.25">
      <c r="A373" s="14">
        <v>52231</v>
      </c>
      <c r="B373" s="10">
        <f>6.3794 * CHOOSE(CONTROL!$C$32, $C$9, 100%, $E$9)</f>
        <v>6.3794000000000004</v>
      </c>
      <c r="C373" s="10">
        <f>6.3794 * CHOOSE(CONTROL!$C$32, $C$9, 100%, $E$9)</f>
        <v>6.3794000000000004</v>
      </c>
      <c r="D373" s="10">
        <f>6.3804 * CHOOSE(CONTROL!$C$32, $C$9, 100%, $E$9)</f>
        <v>6.3803999999999998</v>
      </c>
      <c r="E373" s="9">
        <f>5.9947 * CHOOSE(CONTROL!$C$32, $C$9, 100%, $E$9)</f>
        <v>5.9946999999999999</v>
      </c>
      <c r="F373" s="9">
        <f>5.9947 * CHOOSE(CONTROL!$C$32, $C$9, 100%, $E$9)</f>
        <v>5.9946999999999999</v>
      </c>
      <c r="G373" s="9">
        <f>5.9979 * CHOOSE(CONTROL!$C$32, $C$9, 100%, $E$9)</f>
        <v>5.9978999999999996</v>
      </c>
      <c r="H373" s="9">
        <f>12.1716 * CHOOSE(CONTROL!$C$32, $C$9, 100%, $E$9)</f>
        <v>12.1716</v>
      </c>
      <c r="I373" s="9">
        <f>12.1749 * CHOOSE(CONTROL!$C$32, $C$9, 100%, $E$9)</f>
        <v>12.174899999999999</v>
      </c>
      <c r="J373" s="9">
        <f>12.1716 * CHOOSE(CONTROL!$C$32, $C$9, 100%, $E$9)</f>
        <v>12.1716</v>
      </c>
      <c r="K373" s="9">
        <f>12.1749 * CHOOSE(CONTROL!$C$32, $C$9, 100%, $E$9)</f>
        <v>12.174899999999999</v>
      </c>
      <c r="L373" s="9">
        <f>5.9947 * CHOOSE(CONTROL!$C$32, $C$9, 100%, $E$9)</f>
        <v>5.9946999999999999</v>
      </c>
      <c r="M373" s="9">
        <f>5.9979 * CHOOSE(CONTROL!$C$32, $C$9, 100%, $E$9)</f>
        <v>5.9978999999999996</v>
      </c>
      <c r="N373" s="9">
        <f>5.9947 * CHOOSE(CONTROL!$C$32, $C$9, 100%, $E$9)</f>
        <v>5.9946999999999999</v>
      </c>
      <c r="O373" s="9">
        <f>5.9979 * CHOOSE(CONTROL!$C$32, $C$9, 100%, $E$9)</f>
        <v>5.9978999999999996</v>
      </c>
    </row>
    <row r="374" spans="1:15" ht="15.75" x14ac:dyDescent="0.25">
      <c r="A374" s="14">
        <v>52262</v>
      </c>
      <c r="B374" s="10">
        <f>6.4334 * CHOOSE(CONTROL!$C$32, $C$9, 100%, $E$9)</f>
        <v>6.4333999999999998</v>
      </c>
      <c r="C374" s="10">
        <f>6.4334 * CHOOSE(CONTROL!$C$32, $C$9, 100%, $E$9)</f>
        <v>6.4333999999999998</v>
      </c>
      <c r="D374" s="10">
        <f>6.4343 * CHOOSE(CONTROL!$C$32, $C$9, 100%, $E$9)</f>
        <v>6.4343000000000004</v>
      </c>
      <c r="E374" s="9">
        <f>6.0794 * CHOOSE(CONTROL!$C$32, $C$9, 100%, $E$9)</f>
        <v>6.0793999999999997</v>
      </c>
      <c r="F374" s="9">
        <f>6.0794 * CHOOSE(CONTROL!$C$32, $C$9, 100%, $E$9)</f>
        <v>6.0793999999999997</v>
      </c>
      <c r="G374" s="9">
        <f>6.0826 * CHOOSE(CONTROL!$C$32, $C$9, 100%, $E$9)</f>
        <v>6.0826000000000002</v>
      </c>
      <c r="H374" s="9">
        <f>12.197 * CHOOSE(CONTROL!$C$32, $C$9, 100%, $E$9)</f>
        <v>12.196999999999999</v>
      </c>
      <c r="I374" s="9">
        <f>12.2002 * CHOOSE(CONTROL!$C$32, $C$9, 100%, $E$9)</f>
        <v>12.200200000000001</v>
      </c>
      <c r="J374" s="9">
        <f>12.197 * CHOOSE(CONTROL!$C$32, $C$9, 100%, $E$9)</f>
        <v>12.196999999999999</v>
      </c>
      <c r="K374" s="9">
        <f>12.2002 * CHOOSE(CONTROL!$C$32, $C$9, 100%, $E$9)</f>
        <v>12.200200000000001</v>
      </c>
      <c r="L374" s="9">
        <f>6.0794 * CHOOSE(CONTROL!$C$32, $C$9, 100%, $E$9)</f>
        <v>6.0793999999999997</v>
      </c>
      <c r="M374" s="9">
        <f>6.0826 * CHOOSE(CONTROL!$C$32, $C$9, 100%, $E$9)</f>
        <v>6.0826000000000002</v>
      </c>
      <c r="N374" s="9">
        <f>6.0794 * CHOOSE(CONTROL!$C$32, $C$9, 100%, $E$9)</f>
        <v>6.0793999999999997</v>
      </c>
      <c r="O374" s="9">
        <f>6.0826 * CHOOSE(CONTROL!$C$32, $C$9, 100%, $E$9)</f>
        <v>6.0826000000000002</v>
      </c>
    </row>
    <row r="375" spans="1:15" ht="15.75" x14ac:dyDescent="0.25">
      <c r="A375" s="14">
        <v>52290</v>
      </c>
      <c r="B375" s="10">
        <f>6.4303 * CHOOSE(CONTROL!$C$32, $C$9, 100%, $E$9)</f>
        <v>6.4302999999999999</v>
      </c>
      <c r="C375" s="10">
        <f>6.4303 * CHOOSE(CONTROL!$C$32, $C$9, 100%, $E$9)</f>
        <v>6.4302999999999999</v>
      </c>
      <c r="D375" s="10">
        <f>6.4313 * CHOOSE(CONTROL!$C$32, $C$9, 100%, $E$9)</f>
        <v>6.4313000000000002</v>
      </c>
      <c r="E375" s="9">
        <f>5.9592 * CHOOSE(CONTROL!$C$32, $C$9, 100%, $E$9)</f>
        <v>5.9592000000000001</v>
      </c>
      <c r="F375" s="9">
        <f>5.9592 * CHOOSE(CONTROL!$C$32, $C$9, 100%, $E$9)</f>
        <v>5.9592000000000001</v>
      </c>
      <c r="G375" s="9">
        <f>5.9624 * CHOOSE(CONTROL!$C$32, $C$9, 100%, $E$9)</f>
        <v>5.9623999999999997</v>
      </c>
      <c r="H375" s="9">
        <f>12.2224 * CHOOSE(CONTROL!$C$32, $C$9, 100%, $E$9)</f>
        <v>12.2224</v>
      </c>
      <c r="I375" s="9">
        <f>12.2256 * CHOOSE(CONTROL!$C$32, $C$9, 100%, $E$9)</f>
        <v>12.2256</v>
      </c>
      <c r="J375" s="9">
        <f>12.2224 * CHOOSE(CONTROL!$C$32, $C$9, 100%, $E$9)</f>
        <v>12.2224</v>
      </c>
      <c r="K375" s="9">
        <f>12.2256 * CHOOSE(CONTROL!$C$32, $C$9, 100%, $E$9)</f>
        <v>12.2256</v>
      </c>
      <c r="L375" s="9">
        <f>5.9592 * CHOOSE(CONTROL!$C$32, $C$9, 100%, $E$9)</f>
        <v>5.9592000000000001</v>
      </c>
      <c r="M375" s="9">
        <f>5.9624 * CHOOSE(CONTROL!$C$32, $C$9, 100%, $E$9)</f>
        <v>5.9623999999999997</v>
      </c>
      <c r="N375" s="9">
        <f>5.9592 * CHOOSE(CONTROL!$C$32, $C$9, 100%, $E$9)</f>
        <v>5.9592000000000001</v>
      </c>
      <c r="O375" s="9">
        <f>5.9624 * CHOOSE(CONTROL!$C$32, $C$9, 100%, $E$9)</f>
        <v>5.9623999999999997</v>
      </c>
    </row>
    <row r="376" spans="1:15" ht="15.75" x14ac:dyDescent="0.25">
      <c r="A376" s="14">
        <v>52321</v>
      </c>
      <c r="B376" s="10">
        <f>6.4273 * CHOOSE(CONTROL!$C$32, $C$9, 100%, $E$9)</f>
        <v>6.4272999999999998</v>
      </c>
      <c r="C376" s="10">
        <f>6.4273 * CHOOSE(CONTROL!$C$32, $C$9, 100%, $E$9)</f>
        <v>6.4272999999999998</v>
      </c>
      <c r="D376" s="10">
        <f>6.4282 * CHOOSE(CONTROL!$C$32, $C$9, 100%, $E$9)</f>
        <v>6.4282000000000004</v>
      </c>
      <c r="E376" s="9">
        <f>6.0501 * CHOOSE(CONTROL!$C$32, $C$9, 100%, $E$9)</f>
        <v>6.0500999999999996</v>
      </c>
      <c r="F376" s="9">
        <f>6.0501 * CHOOSE(CONTROL!$C$32, $C$9, 100%, $E$9)</f>
        <v>6.0500999999999996</v>
      </c>
      <c r="G376" s="9">
        <f>6.0534 * CHOOSE(CONTROL!$C$32, $C$9, 100%, $E$9)</f>
        <v>6.0533999999999999</v>
      </c>
      <c r="H376" s="9">
        <f>12.2479 * CHOOSE(CONTROL!$C$32, $C$9, 100%, $E$9)</f>
        <v>12.2479</v>
      </c>
      <c r="I376" s="9">
        <f>12.2511 * CHOOSE(CONTROL!$C$32, $C$9, 100%, $E$9)</f>
        <v>12.251099999999999</v>
      </c>
      <c r="J376" s="9">
        <f>12.2479 * CHOOSE(CONTROL!$C$32, $C$9, 100%, $E$9)</f>
        <v>12.2479</v>
      </c>
      <c r="K376" s="9">
        <f>12.2511 * CHOOSE(CONTROL!$C$32, $C$9, 100%, $E$9)</f>
        <v>12.251099999999999</v>
      </c>
      <c r="L376" s="9">
        <f>6.0501 * CHOOSE(CONTROL!$C$32, $C$9, 100%, $E$9)</f>
        <v>6.0500999999999996</v>
      </c>
      <c r="M376" s="9">
        <f>6.0534 * CHOOSE(CONTROL!$C$32, $C$9, 100%, $E$9)</f>
        <v>6.0533999999999999</v>
      </c>
      <c r="N376" s="9">
        <f>6.0501 * CHOOSE(CONTROL!$C$32, $C$9, 100%, $E$9)</f>
        <v>6.0500999999999996</v>
      </c>
      <c r="O376" s="9">
        <f>6.0534 * CHOOSE(CONTROL!$C$32, $C$9, 100%, $E$9)</f>
        <v>6.0533999999999999</v>
      </c>
    </row>
    <row r="377" spans="1:15" ht="15.75" x14ac:dyDescent="0.25">
      <c r="A377" s="14">
        <v>52351</v>
      </c>
      <c r="B377" s="10">
        <f>6.4275 * CHOOSE(CONTROL!$C$32, $C$9, 100%, $E$9)</f>
        <v>6.4275000000000002</v>
      </c>
      <c r="C377" s="10">
        <f>6.4275 * CHOOSE(CONTROL!$C$32, $C$9, 100%, $E$9)</f>
        <v>6.4275000000000002</v>
      </c>
      <c r="D377" s="10">
        <f>6.4284 * CHOOSE(CONTROL!$C$32, $C$9, 100%, $E$9)</f>
        <v>6.4283999999999999</v>
      </c>
      <c r="E377" s="9">
        <f>6.1458 * CHOOSE(CONTROL!$C$32, $C$9, 100%, $E$9)</f>
        <v>6.1458000000000004</v>
      </c>
      <c r="F377" s="9">
        <f>6.1458 * CHOOSE(CONTROL!$C$32, $C$9, 100%, $E$9)</f>
        <v>6.1458000000000004</v>
      </c>
      <c r="G377" s="9">
        <f>6.1491 * CHOOSE(CONTROL!$C$32, $C$9, 100%, $E$9)</f>
        <v>6.1490999999999998</v>
      </c>
      <c r="H377" s="9">
        <f>12.2734 * CHOOSE(CONTROL!$C$32, $C$9, 100%, $E$9)</f>
        <v>12.273400000000001</v>
      </c>
      <c r="I377" s="9">
        <f>12.2766 * CHOOSE(CONTROL!$C$32, $C$9, 100%, $E$9)</f>
        <v>12.2766</v>
      </c>
      <c r="J377" s="9">
        <f>12.2734 * CHOOSE(CONTROL!$C$32, $C$9, 100%, $E$9)</f>
        <v>12.273400000000001</v>
      </c>
      <c r="K377" s="9">
        <f>12.2766 * CHOOSE(CONTROL!$C$32, $C$9, 100%, $E$9)</f>
        <v>12.2766</v>
      </c>
      <c r="L377" s="9">
        <f>6.1458 * CHOOSE(CONTROL!$C$32, $C$9, 100%, $E$9)</f>
        <v>6.1458000000000004</v>
      </c>
      <c r="M377" s="9">
        <f>6.1491 * CHOOSE(CONTROL!$C$32, $C$9, 100%, $E$9)</f>
        <v>6.1490999999999998</v>
      </c>
      <c r="N377" s="9">
        <f>6.1458 * CHOOSE(CONTROL!$C$32, $C$9, 100%, $E$9)</f>
        <v>6.1458000000000004</v>
      </c>
      <c r="O377" s="9">
        <f>6.1491 * CHOOSE(CONTROL!$C$32, $C$9, 100%, $E$9)</f>
        <v>6.1490999999999998</v>
      </c>
    </row>
    <row r="378" spans="1:15" ht="15.75" x14ac:dyDescent="0.25">
      <c r="A378" s="14">
        <v>52382</v>
      </c>
      <c r="B378" s="10">
        <f>6.4275 * CHOOSE(CONTROL!$C$32, $C$9, 100%, $E$9)</f>
        <v>6.4275000000000002</v>
      </c>
      <c r="C378" s="10">
        <f>6.4275 * CHOOSE(CONTROL!$C$32, $C$9, 100%, $E$9)</f>
        <v>6.4275000000000002</v>
      </c>
      <c r="D378" s="10">
        <f>6.4287 * CHOOSE(CONTROL!$C$32, $C$9, 100%, $E$9)</f>
        <v>6.4287000000000001</v>
      </c>
      <c r="E378" s="9">
        <f>6.1833 * CHOOSE(CONTROL!$C$32, $C$9, 100%, $E$9)</f>
        <v>6.1833</v>
      </c>
      <c r="F378" s="9">
        <f>6.1833 * CHOOSE(CONTROL!$C$32, $C$9, 100%, $E$9)</f>
        <v>6.1833</v>
      </c>
      <c r="G378" s="9">
        <f>6.1875 * CHOOSE(CONTROL!$C$32, $C$9, 100%, $E$9)</f>
        <v>6.1875</v>
      </c>
      <c r="H378" s="9">
        <f>12.299 * CHOOSE(CONTROL!$C$32, $C$9, 100%, $E$9)</f>
        <v>12.298999999999999</v>
      </c>
      <c r="I378" s="9">
        <f>12.3032 * CHOOSE(CONTROL!$C$32, $C$9, 100%, $E$9)</f>
        <v>12.3032</v>
      </c>
      <c r="J378" s="9">
        <f>12.299 * CHOOSE(CONTROL!$C$32, $C$9, 100%, $E$9)</f>
        <v>12.298999999999999</v>
      </c>
      <c r="K378" s="9">
        <f>12.3032 * CHOOSE(CONTROL!$C$32, $C$9, 100%, $E$9)</f>
        <v>12.3032</v>
      </c>
      <c r="L378" s="9">
        <f>6.1833 * CHOOSE(CONTROL!$C$32, $C$9, 100%, $E$9)</f>
        <v>6.1833</v>
      </c>
      <c r="M378" s="9">
        <f>6.1875 * CHOOSE(CONTROL!$C$32, $C$9, 100%, $E$9)</f>
        <v>6.1875</v>
      </c>
      <c r="N378" s="9">
        <f>6.1833 * CHOOSE(CONTROL!$C$32, $C$9, 100%, $E$9)</f>
        <v>6.1833</v>
      </c>
      <c r="O378" s="9">
        <f>6.1875 * CHOOSE(CONTROL!$C$32, $C$9, 100%, $E$9)</f>
        <v>6.1875</v>
      </c>
    </row>
    <row r="379" spans="1:15" ht="15.75" x14ac:dyDescent="0.25">
      <c r="A379" s="14">
        <v>52412</v>
      </c>
      <c r="B379" s="10">
        <f>6.4336 * CHOOSE(CONTROL!$C$32, $C$9, 100%, $E$9)</f>
        <v>6.4336000000000002</v>
      </c>
      <c r="C379" s="10">
        <f>6.4336 * CHOOSE(CONTROL!$C$32, $C$9, 100%, $E$9)</f>
        <v>6.4336000000000002</v>
      </c>
      <c r="D379" s="10">
        <f>6.4348 * CHOOSE(CONTROL!$C$32, $C$9, 100%, $E$9)</f>
        <v>6.4348000000000001</v>
      </c>
      <c r="E379" s="9">
        <f>6.1501 * CHOOSE(CONTROL!$C$32, $C$9, 100%, $E$9)</f>
        <v>6.1501000000000001</v>
      </c>
      <c r="F379" s="9">
        <f>6.1501 * CHOOSE(CONTROL!$C$32, $C$9, 100%, $E$9)</f>
        <v>6.1501000000000001</v>
      </c>
      <c r="G379" s="9">
        <f>6.1543 * CHOOSE(CONTROL!$C$32, $C$9, 100%, $E$9)</f>
        <v>6.1543000000000001</v>
      </c>
      <c r="H379" s="9">
        <f>12.3246 * CHOOSE(CONTROL!$C$32, $C$9, 100%, $E$9)</f>
        <v>12.3246</v>
      </c>
      <c r="I379" s="9">
        <f>12.3288 * CHOOSE(CONTROL!$C$32, $C$9, 100%, $E$9)</f>
        <v>12.328799999999999</v>
      </c>
      <c r="J379" s="9">
        <f>12.3246 * CHOOSE(CONTROL!$C$32, $C$9, 100%, $E$9)</f>
        <v>12.3246</v>
      </c>
      <c r="K379" s="9">
        <f>12.3288 * CHOOSE(CONTROL!$C$32, $C$9, 100%, $E$9)</f>
        <v>12.328799999999999</v>
      </c>
      <c r="L379" s="9">
        <f>6.1501 * CHOOSE(CONTROL!$C$32, $C$9, 100%, $E$9)</f>
        <v>6.1501000000000001</v>
      </c>
      <c r="M379" s="9">
        <f>6.1543 * CHOOSE(CONTROL!$C$32, $C$9, 100%, $E$9)</f>
        <v>6.1543000000000001</v>
      </c>
      <c r="N379" s="9">
        <f>6.1501 * CHOOSE(CONTROL!$C$32, $C$9, 100%, $E$9)</f>
        <v>6.1501000000000001</v>
      </c>
      <c r="O379" s="9">
        <f>6.1543 * CHOOSE(CONTROL!$C$32, $C$9, 100%, $E$9)</f>
        <v>6.1543000000000001</v>
      </c>
    </row>
    <row r="380" spans="1:15" ht="15.75" x14ac:dyDescent="0.25">
      <c r="A380" s="14">
        <v>52443</v>
      </c>
      <c r="B380" s="10">
        <f>6.5288 * CHOOSE(CONTROL!$C$32, $C$9, 100%, $E$9)</f>
        <v>6.5288000000000004</v>
      </c>
      <c r="C380" s="10">
        <f>6.5288 * CHOOSE(CONTROL!$C$32, $C$9, 100%, $E$9)</f>
        <v>6.5288000000000004</v>
      </c>
      <c r="D380" s="10">
        <f>6.5301 * CHOOSE(CONTROL!$C$32, $C$9, 100%, $E$9)</f>
        <v>6.5301</v>
      </c>
      <c r="E380" s="9">
        <f>6.2238 * CHOOSE(CONTROL!$C$32, $C$9, 100%, $E$9)</f>
        <v>6.2237999999999998</v>
      </c>
      <c r="F380" s="9">
        <f>6.2238 * CHOOSE(CONTROL!$C$32, $C$9, 100%, $E$9)</f>
        <v>6.2237999999999998</v>
      </c>
      <c r="G380" s="9">
        <f>6.228 * CHOOSE(CONTROL!$C$32, $C$9, 100%, $E$9)</f>
        <v>6.2279999999999998</v>
      </c>
      <c r="H380" s="9">
        <f>12.3503 * CHOOSE(CONTROL!$C$32, $C$9, 100%, $E$9)</f>
        <v>12.350300000000001</v>
      </c>
      <c r="I380" s="9">
        <f>12.3545 * CHOOSE(CONTROL!$C$32, $C$9, 100%, $E$9)</f>
        <v>12.3545</v>
      </c>
      <c r="J380" s="9">
        <f>12.3503 * CHOOSE(CONTROL!$C$32, $C$9, 100%, $E$9)</f>
        <v>12.350300000000001</v>
      </c>
      <c r="K380" s="9">
        <f>12.3545 * CHOOSE(CONTROL!$C$32, $C$9, 100%, $E$9)</f>
        <v>12.3545</v>
      </c>
      <c r="L380" s="9">
        <f>6.2238 * CHOOSE(CONTROL!$C$32, $C$9, 100%, $E$9)</f>
        <v>6.2237999999999998</v>
      </c>
      <c r="M380" s="9">
        <f>6.228 * CHOOSE(CONTROL!$C$32, $C$9, 100%, $E$9)</f>
        <v>6.2279999999999998</v>
      </c>
      <c r="N380" s="9">
        <f>6.2238 * CHOOSE(CONTROL!$C$32, $C$9, 100%, $E$9)</f>
        <v>6.2237999999999998</v>
      </c>
      <c r="O380" s="9">
        <f>6.228 * CHOOSE(CONTROL!$C$32, $C$9, 100%, $E$9)</f>
        <v>6.2279999999999998</v>
      </c>
    </row>
    <row r="381" spans="1:15" ht="15.75" x14ac:dyDescent="0.25">
      <c r="A381" s="14">
        <v>52474</v>
      </c>
      <c r="B381" s="10">
        <f>6.5355 * CHOOSE(CONTROL!$C$32, $C$9, 100%, $E$9)</f>
        <v>6.5354999999999999</v>
      </c>
      <c r="C381" s="10">
        <f>6.5355 * CHOOSE(CONTROL!$C$32, $C$9, 100%, $E$9)</f>
        <v>6.5354999999999999</v>
      </c>
      <c r="D381" s="10">
        <f>6.5368 * CHOOSE(CONTROL!$C$32, $C$9, 100%, $E$9)</f>
        <v>6.5368000000000004</v>
      </c>
      <c r="E381" s="9">
        <f>6.116 * CHOOSE(CONTROL!$C$32, $C$9, 100%, $E$9)</f>
        <v>6.1159999999999997</v>
      </c>
      <c r="F381" s="9">
        <f>6.116 * CHOOSE(CONTROL!$C$32, $C$9, 100%, $E$9)</f>
        <v>6.1159999999999997</v>
      </c>
      <c r="G381" s="9">
        <f>6.1202 * CHOOSE(CONTROL!$C$32, $C$9, 100%, $E$9)</f>
        <v>6.1201999999999996</v>
      </c>
      <c r="H381" s="9">
        <f>12.376 * CHOOSE(CONTROL!$C$32, $C$9, 100%, $E$9)</f>
        <v>12.375999999999999</v>
      </c>
      <c r="I381" s="9">
        <f>12.3802 * CHOOSE(CONTROL!$C$32, $C$9, 100%, $E$9)</f>
        <v>12.3802</v>
      </c>
      <c r="J381" s="9">
        <f>12.376 * CHOOSE(CONTROL!$C$32, $C$9, 100%, $E$9)</f>
        <v>12.375999999999999</v>
      </c>
      <c r="K381" s="9">
        <f>12.3802 * CHOOSE(CONTROL!$C$32, $C$9, 100%, $E$9)</f>
        <v>12.3802</v>
      </c>
      <c r="L381" s="9">
        <f>6.116 * CHOOSE(CONTROL!$C$32, $C$9, 100%, $E$9)</f>
        <v>6.1159999999999997</v>
      </c>
      <c r="M381" s="9">
        <f>6.1202 * CHOOSE(CONTROL!$C$32, $C$9, 100%, $E$9)</f>
        <v>6.1201999999999996</v>
      </c>
      <c r="N381" s="9">
        <f>6.116 * CHOOSE(CONTROL!$C$32, $C$9, 100%, $E$9)</f>
        <v>6.1159999999999997</v>
      </c>
      <c r="O381" s="9">
        <f>6.1202 * CHOOSE(CONTROL!$C$32, $C$9, 100%, $E$9)</f>
        <v>6.1201999999999996</v>
      </c>
    </row>
    <row r="382" spans="1:15" ht="15.75" x14ac:dyDescent="0.25">
      <c r="A382" s="14">
        <v>52504</v>
      </c>
      <c r="B382" s="10">
        <f>6.5325 * CHOOSE(CONTROL!$C$32, $C$9, 100%, $E$9)</f>
        <v>6.5324999999999998</v>
      </c>
      <c r="C382" s="10">
        <f>6.5325 * CHOOSE(CONTROL!$C$32, $C$9, 100%, $E$9)</f>
        <v>6.5324999999999998</v>
      </c>
      <c r="D382" s="10">
        <f>6.5337 * CHOOSE(CONTROL!$C$32, $C$9, 100%, $E$9)</f>
        <v>6.5336999999999996</v>
      </c>
      <c r="E382" s="9">
        <f>6.1014 * CHOOSE(CONTROL!$C$32, $C$9, 100%, $E$9)</f>
        <v>6.1013999999999999</v>
      </c>
      <c r="F382" s="9">
        <f>6.1014 * CHOOSE(CONTROL!$C$32, $C$9, 100%, $E$9)</f>
        <v>6.1013999999999999</v>
      </c>
      <c r="G382" s="9">
        <f>6.1056 * CHOOSE(CONTROL!$C$32, $C$9, 100%, $E$9)</f>
        <v>6.1055999999999999</v>
      </c>
      <c r="H382" s="9">
        <f>12.4018 * CHOOSE(CONTROL!$C$32, $C$9, 100%, $E$9)</f>
        <v>12.4018</v>
      </c>
      <c r="I382" s="9">
        <f>12.406 * CHOOSE(CONTROL!$C$32, $C$9, 100%, $E$9)</f>
        <v>12.406000000000001</v>
      </c>
      <c r="J382" s="9">
        <f>12.4018 * CHOOSE(CONTROL!$C$32, $C$9, 100%, $E$9)</f>
        <v>12.4018</v>
      </c>
      <c r="K382" s="9">
        <f>12.406 * CHOOSE(CONTROL!$C$32, $C$9, 100%, $E$9)</f>
        <v>12.406000000000001</v>
      </c>
      <c r="L382" s="9">
        <f>6.1014 * CHOOSE(CONTROL!$C$32, $C$9, 100%, $E$9)</f>
        <v>6.1013999999999999</v>
      </c>
      <c r="M382" s="9">
        <f>6.1056 * CHOOSE(CONTROL!$C$32, $C$9, 100%, $E$9)</f>
        <v>6.1055999999999999</v>
      </c>
      <c r="N382" s="9">
        <f>6.1014 * CHOOSE(CONTROL!$C$32, $C$9, 100%, $E$9)</f>
        <v>6.1013999999999999</v>
      </c>
      <c r="O382" s="9">
        <f>6.1056 * CHOOSE(CONTROL!$C$32, $C$9, 100%, $E$9)</f>
        <v>6.1055999999999999</v>
      </c>
    </row>
    <row r="383" spans="1:15" ht="15.75" x14ac:dyDescent="0.25">
      <c r="A383" s="14">
        <v>52535</v>
      </c>
      <c r="B383" s="10">
        <f>6.5378 * CHOOSE(CONTROL!$C$32, $C$9, 100%, $E$9)</f>
        <v>6.5377999999999998</v>
      </c>
      <c r="C383" s="10">
        <f>6.5378 * CHOOSE(CONTROL!$C$32, $C$9, 100%, $E$9)</f>
        <v>6.5377999999999998</v>
      </c>
      <c r="D383" s="10">
        <f>6.5387 * CHOOSE(CONTROL!$C$32, $C$9, 100%, $E$9)</f>
        <v>6.5387000000000004</v>
      </c>
      <c r="E383" s="9">
        <f>6.1379 * CHOOSE(CONTROL!$C$32, $C$9, 100%, $E$9)</f>
        <v>6.1379000000000001</v>
      </c>
      <c r="F383" s="9">
        <f>6.1379 * CHOOSE(CONTROL!$C$32, $C$9, 100%, $E$9)</f>
        <v>6.1379000000000001</v>
      </c>
      <c r="G383" s="9">
        <f>6.1411 * CHOOSE(CONTROL!$C$32, $C$9, 100%, $E$9)</f>
        <v>6.1410999999999998</v>
      </c>
      <c r="H383" s="9">
        <f>12.4276 * CHOOSE(CONTROL!$C$32, $C$9, 100%, $E$9)</f>
        <v>12.4276</v>
      </c>
      <c r="I383" s="9">
        <f>12.4308 * CHOOSE(CONTROL!$C$32, $C$9, 100%, $E$9)</f>
        <v>12.4308</v>
      </c>
      <c r="J383" s="9">
        <f>12.4276 * CHOOSE(CONTROL!$C$32, $C$9, 100%, $E$9)</f>
        <v>12.4276</v>
      </c>
      <c r="K383" s="9">
        <f>12.4308 * CHOOSE(CONTROL!$C$32, $C$9, 100%, $E$9)</f>
        <v>12.4308</v>
      </c>
      <c r="L383" s="9">
        <f>6.1379 * CHOOSE(CONTROL!$C$32, $C$9, 100%, $E$9)</f>
        <v>6.1379000000000001</v>
      </c>
      <c r="M383" s="9">
        <f>6.1411 * CHOOSE(CONTROL!$C$32, $C$9, 100%, $E$9)</f>
        <v>6.1410999999999998</v>
      </c>
      <c r="N383" s="9">
        <f>6.1379 * CHOOSE(CONTROL!$C$32, $C$9, 100%, $E$9)</f>
        <v>6.1379000000000001</v>
      </c>
      <c r="O383" s="9">
        <f>6.1411 * CHOOSE(CONTROL!$C$32, $C$9, 100%, $E$9)</f>
        <v>6.1410999999999998</v>
      </c>
    </row>
    <row r="384" spans="1:15" ht="15.75" x14ac:dyDescent="0.25">
      <c r="A384" s="14">
        <v>52565</v>
      </c>
      <c r="B384" s="10">
        <f>6.5408 * CHOOSE(CONTROL!$C$32, $C$9, 100%, $E$9)</f>
        <v>6.5407999999999999</v>
      </c>
      <c r="C384" s="10">
        <f>6.5408 * CHOOSE(CONTROL!$C$32, $C$9, 100%, $E$9)</f>
        <v>6.5407999999999999</v>
      </c>
      <c r="D384" s="10">
        <f>6.5417 * CHOOSE(CONTROL!$C$32, $C$9, 100%, $E$9)</f>
        <v>6.5416999999999996</v>
      </c>
      <c r="E384" s="9">
        <f>6.165 * CHOOSE(CONTROL!$C$32, $C$9, 100%, $E$9)</f>
        <v>6.165</v>
      </c>
      <c r="F384" s="9">
        <f>6.165 * CHOOSE(CONTROL!$C$32, $C$9, 100%, $E$9)</f>
        <v>6.165</v>
      </c>
      <c r="G384" s="9">
        <f>6.1682 * CHOOSE(CONTROL!$C$32, $C$9, 100%, $E$9)</f>
        <v>6.1681999999999997</v>
      </c>
      <c r="H384" s="9">
        <f>12.4535 * CHOOSE(CONTROL!$C$32, $C$9, 100%, $E$9)</f>
        <v>12.4535</v>
      </c>
      <c r="I384" s="9">
        <f>12.4567 * CHOOSE(CONTROL!$C$32, $C$9, 100%, $E$9)</f>
        <v>12.4567</v>
      </c>
      <c r="J384" s="9">
        <f>12.4535 * CHOOSE(CONTROL!$C$32, $C$9, 100%, $E$9)</f>
        <v>12.4535</v>
      </c>
      <c r="K384" s="9">
        <f>12.4567 * CHOOSE(CONTROL!$C$32, $C$9, 100%, $E$9)</f>
        <v>12.4567</v>
      </c>
      <c r="L384" s="9">
        <f>6.165 * CHOOSE(CONTROL!$C$32, $C$9, 100%, $E$9)</f>
        <v>6.165</v>
      </c>
      <c r="M384" s="9">
        <f>6.1682 * CHOOSE(CONTROL!$C$32, $C$9, 100%, $E$9)</f>
        <v>6.1681999999999997</v>
      </c>
      <c r="N384" s="9">
        <f>6.165 * CHOOSE(CONTROL!$C$32, $C$9, 100%, $E$9)</f>
        <v>6.165</v>
      </c>
      <c r="O384" s="9">
        <f>6.1682 * CHOOSE(CONTROL!$C$32, $C$9, 100%, $E$9)</f>
        <v>6.1681999999999997</v>
      </c>
    </row>
    <row r="385" spans="1:15" ht="15.75" x14ac:dyDescent="0.25">
      <c r="A385" s="14">
        <v>52596</v>
      </c>
      <c r="B385" s="10">
        <f>6.5408 * CHOOSE(CONTROL!$C$32, $C$9, 100%, $E$9)</f>
        <v>6.5407999999999999</v>
      </c>
      <c r="C385" s="10">
        <f>6.5408 * CHOOSE(CONTROL!$C$32, $C$9, 100%, $E$9)</f>
        <v>6.5407999999999999</v>
      </c>
      <c r="D385" s="10">
        <f>6.5417 * CHOOSE(CONTROL!$C$32, $C$9, 100%, $E$9)</f>
        <v>6.5416999999999996</v>
      </c>
      <c r="E385" s="9">
        <f>6.1025 * CHOOSE(CONTROL!$C$32, $C$9, 100%, $E$9)</f>
        <v>6.1025</v>
      </c>
      <c r="F385" s="9">
        <f>6.1025 * CHOOSE(CONTROL!$C$32, $C$9, 100%, $E$9)</f>
        <v>6.1025</v>
      </c>
      <c r="G385" s="9">
        <f>6.1058 * CHOOSE(CONTROL!$C$32, $C$9, 100%, $E$9)</f>
        <v>6.1058000000000003</v>
      </c>
      <c r="H385" s="9">
        <f>12.4794 * CHOOSE(CONTROL!$C$32, $C$9, 100%, $E$9)</f>
        <v>12.4794</v>
      </c>
      <c r="I385" s="9">
        <f>12.4827 * CHOOSE(CONTROL!$C$32, $C$9, 100%, $E$9)</f>
        <v>12.482699999999999</v>
      </c>
      <c r="J385" s="9">
        <f>12.4794 * CHOOSE(CONTROL!$C$32, $C$9, 100%, $E$9)</f>
        <v>12.4794</v>
      </c>
      <c r="K385" s="9">
        <f>12.4827 * CHOOSE(CONTROL!$C$32, $C$9, 100%, $E$9)</f>
        <v>12.482699999999999</v>
      </c>
      <c r="L385" s="9">
        <f>6.1025 * CHOOSE(CONTROL!$C$32, $C$9, 100%, $E$9)</f>
        <v>6.1025</v>
      </c>
      <c r="M385" s="9">
        <f>6.1058 * CHOOSE(CONTROL!$C$32, $C$9, 100%, $E$9)</f>
        <v>6.1058000000000003</v>
      </c>
      <c r="N385" s="9">
        <f>6.1025 * CHOOSE(CONTROL!$C$32, $C$9, 100%, $E$9)</f>
        <v>6.1025</v>
      </c>
      <c r="O385" s="9">
        <f>6.1058 * CHOOSE(CONTROL!$C$32, $C$9, 100%, $E$9)</f>
        <v>6.1058000000000003</v>
      </c>
    </row>
    <row r="386" spans="1:15" ht="15.75" x14ac:dyDescent="0.25">
      <c r="A386" s="14">
        <v>52627</v>
      </c>
      <c r="B386" s="10">
        <f>6.596 * CHOOSE(CONTROL!$C$32, $C$9, 100%, $E$9)</f>
        <v>6.5960000000000001</v>
      </c>
      <c r="C386" s="10">
        <f>6.596 * CHOOSE(CONTROL!$C$32, $C$9, 100%, $E$9)</f>
        <v>6.5960000000000001</v>
      </c>
      <c r="D386" s="10">
        <f>6.5969 * CHOOSE(CONTROL!$C$32, $C$9, 100%, $E$9)</f>
        <v>6.5968999999999998</v>
      </c>
      <c r="E386" s="9">
        <f>6.1895 * CHOOSE(CONTROL!$C$32, $C$9, 100%, $E$9)</f>
        <v>6.1894999999999998</v>
      </c>
      <c r="F386" s="9">
        <f>6.1895 * CHOOSE(CONTROL!$C$32, $C$9, 100%, $E$9)</f>
        <v>6.1894999999999998</v>
      </c>
      <c r="G386" s="9">
        <f>6.1927 * CHOOSE(CONTROL!$C$32, $C$9, 100%, $E$9)</f>
        <v>6.1927000000000003</v>
      </c>
      <c r="H386" s="9">
        <f>12.5054 * CHOOSE(CONTROL!$C$32, $C$9, 100%, $E$9)</f>
        <v>12.5054</v>
      </c>
      <c r="I386" s="9">
        <f>12.5087 * CHOOSE(CONTROL!$C$32, $C$9, 100%, $E$9)</f>
        <v>12.508699999999999</v>
      </c>
      <c r="J386" s="9">
        <f>12.5054 * CHOOSE(CONTROL!$C$32, $C$9, 100%, $E$9)</f>
        <v>12.5054</v>
      </c>
      <c r="K386" s="9">
        <f>12.5087 * CHOOSE(CONTROL!$C$32, $C$9, 100%, $E$9)</f>
        <v>12.508699999999999</v>
      </c>
      <c r="L386" s="9">
        <f>6.1895 * CHOOSE(CONTROL!$C$32, $C$9, 100%, $E$9)</f>
        <v>6.1894999999999998</v>
      </c>
      <c r="M386" s="9">
        <f>6.1927 * CHOOSE(CONTROL!$C$32, $C$9, 100%, $E$9)</f>
        <v>6.1927000000000003</v>
      </c>
      <c r="N386" s="9">
        <f>6.1895 * CHOOSE(CONTROL!$C$32, $C$9, 100%, $E$9)</f>
        <v>6.1894999999999998</v>
      </c>
      <c r="O386" s="9">
        <f>6.1927 * CHOOSE(CONTROL!$C$32, $C$9, 100%, $E$9)</f>
        <v>6.1927000000000003</v>
      </c>
    </row>
    <row r="387" spans="1:15" ht="15.75" x14ac:dyDescent="0.25">
      <c r="A387" s="14">
        <v>52655</v>
      </c>
      <c r="B387" s="10">
        <f>6.5929 * CHOOSE(CONTROL!$C$32, $C$9, 100%, $E$9)</f>
        <v>6.5929000000000002</v>
      </c>
      <c r="C387" s="10">
        <f>6.5929 * CHOOSE(CONTROL!$C$32, $C$9, 100%, $E$9)</f>
        <v>6.5929000000000002</v>
      </c>
      <c r="D387" s="10">
        <f>6.5939 * CHOOSE(CONTROL!$C$32, $C$9, 100%, $E$9)</f>
        <v>6.5938999999999997</v>
      </c>
      <c r="E387" s="9">
        <f>6.0657 * CHOOSE(CONTROL!$C$32, $C$9, 100%, $E$9)</f>
        <v>6.0656999999999996</v>
      </c>
      <c r="F387" s="9">
        <f>6.0657 * CHOOSE(CONTROL!$C$32, $C$9, 100%, $E$9)</f>
        <v>6.0656999999999996</v>
      </c>
      <c r="G387" s="9">
        <f>6.069 * CHOOSE(CONTROL!$C$32, $C$9, 100%, $E$9)</f>
        <v>6.069</v>
      </c>
      <c r="H387" s="9">
        <f>12.5315 * CHOOSE(CONTROL!$C$32, $C$9, 100%, $E$9)</f>
        <v>12.531499999999999</v>
      </c>
      <c r="I387" s="9">
        <f>12.5347 * CHOOSE(CONTROL!$C$32, $C$9, 100%, $E$9)</f>
        <v>12.534700000000001</v>
      </c>
      <c r="J387" s="9">
        <f>12.5315 * CHOOSE(CONTROL!$C$32, $C$9, 100%, $E$9)</f>
        <v>12.531499999999999</v>
      </c>
      <c r="K387" s="9">
        <f>12.5347 * CHOOSE(CONTROL!$C$32, $C$9, 100%, $E$9)</f>
        <v>12.534700000000001</v>
      </c>
      <c r="L387" s="9">
        <f>6.0657 * CHOOSE(CONTROL!$C$32, $C$9, 100%, $E$9)</f>
        <v>6.0656999999999996</v>
      </c>
      <c r="M387" s="9">
        <f>6.069 * CHOOSE(CONTROL!$C$32, $C$9, 100%, $E$9)</f>
        <v>6.069</v>
      </c>
      <c r="N387" s="9">
        <f>6.0657 * CHOOSE(CONTROL!$C$32, $C$9, 100%, $E$9)</f>
        <v>6.0656999999999996</v>
      </c>
      <c r="O387" s="9">
        <f>6.069 * CHOOSE(CONTROL!$C$32, $C$9, 100%, $E$9)</f>
        <v>6.069</v>
      </c>
    </row>
    <row r="388" spans="1:15" ht="15.75" x14ac:dyDescent="0.25">
      <c r="A388" s="14">
        <v>52687</v>
      </c>
      <c r="B388" s="10">
        <f>6.5899 * CHOOSE(CONTROL!$C$32, $C$9, 100%, $E$9)</f>
        <v>6.5899000000000001</v>
      </c>
      <c r="C388" s="10">
        <f>6.5899 * CHOOSE(CONTROL!$C$32, $C$9, 100%, $E$9)</f>
        <v>6.5899000000000001</v>
      </c>
      <c r="D388" s="10">
        <f>6.5909 * CHOOSE(CONTROL!$C$32, $C$9, 100%, $E$9)</f>
        <v>6.5909000000000004</v>
      </c>
      <c r="E388" s="9">
        <f>6.1595 * CHOOSE(CONTROL!$C$32, $C$9, 100%, $E$9)</f>
        <v>6.1595000000000004</v>
      </c>
      <c r="F388" s="9">
        <f>6.1595 * CHOOSE(CONTROL!$C$32, $C$9, 100%, $E$9)</f>
        <v>6.1595000000000004</v>
      </c>
      <c r="G388" s="9">
        <f>6.1627 * CHOOSE(CONTROL!$C$32, $C$9, 100%, $E$9)</f>
        <v>6.1627000000000001</v>
      </c>
      <c r="H388" s="9">
        <f>12.5576 * CHOOSE(CONTROL!$C$32, $C$9, 100%, $E$9)</f>
        <v>12.557600000000001</v>
      </c>
      <c r="I388" s="9">
        <f>12.5608 * CHOOSE(CONTROL!$C$32, $C$9, 100%, $E$9)</f>
        <v>12.5608</v>
      </c>
      <c r="J388" s="9">
        <f>12.5576 * CHOOSE(CONTROL!$C$32, $C$9, 100%, $E$9)</f>
        <v>12.557600000000001</v>
      </c>
      <c r="K388" s="9">
        <f>12.5608 * CHOOSE(CONTROL!$C$32, $C$9, 100%, $E$9)</f>
        <v>12.5608</v>
      </c>
      <c r="L388" s="9">
        <f>6.1595 * CHOOSE(CONTROL!$C$32, $C$9, 100%, $E$9)</f>
        <v>6.1595000000000004</v>
      </c>
      <c r="M388" s="9">
        <f>6.1627 * CHOOSE(CONTROL!$C$32, $C$9, 100%, $E$9)</f>
        <v>6.1627000000000001</v>
      </c>
      <c r="N388" s="9">
        <f>6.1595 * CHOOSE(CONTROL!$C$32, $C$9, 100%, $E$9)</f>
        <v>6.1595000000000004</v>
      </c>
      <c r="O388" s="9">
        <f>6.1627 * CHOOSE(CONTROL!$C$32, $C$9, 100%, $E$9)</f>
        <v>6.1627000000000001</v>
      </c>
    </row>
    <row r="389" spans="1:15" ht="15.75" x14ac:dyDescent="0.25">
      <c r="A389" s="14">
        <v>52717</v>
      </c>
      <c r="B389" s="10">
        <f>6.5903 * CHOOSE(CONTROL!$C$32, $C$9, 100%, $E$9)</f>
        <v>6.5903</v>
      </c>
      <c r="C389" s="10">
        <f>6.5903 * CHOOSE(CONTROL!$C$32, $C$9, 100%, $E$9)</f>
        <v>6.5903</v>
      </c>
      <c r="D389" s="10">
        <f>6.5912 * CHOOSE(CONTROL!$C$32, $C$9, 100%, $E$9)</f>
        <v>6.5911999999999997</v>
      </c>
      <c r="E389" s="9">
        <f>6.2582 * CHOOSE(CONTROL!$C$32, $C$9, 100%, $E$9)</f>
        <v>6.2582000000000004</v>
      </c>
      <c r="F389" s="9">
        <f>6.2582 * CHOOSE(CONTROL!$C$32, $C$9, 100%, $E$9)</f>
        <v>6.2582000000000004</v>
      </c>
      <c r="G389" s="9">
        <f>6.2614 * CHOOSE(CONTROL!$C$32, $C$9, 100%, $E$9)</f>
        <v>6.2614000000000001</v>
      </c>
      <c r="H389" s="9">
        <f>12.5838 * CHOOSE(CONTROL!$C$32, $C$9, 100%, $E$9)</f>
        <v>12.5838</v>
      </c>
      <c r="I389" s="9">
        <f>12.587 * CHOOSE(CONTROL!$C$32, $C$9, 100%, $E$9)</f>
        <v>12.587</v>
      </c>
      <c r="J389" s="9">
        <f>12.5838 * CHOOSE(CONTROL!$C$32, $C$9, 100%, $E$9)</f>
        <v>12.5838</v>
      </c>
      <c r="K389" s="9">
        <f>12.587 * CHOOSE(CONTROL!$C$32, $C$9, 100%, $E$9)</f>
        <v>12.587</v>
      </c>
      <c r="L389" s="9">
        <f>6.2582 * CHOOSE(CONTROL!$C$32, $C$9, 100%, $E$9)</f>
        <v>6.2582000000000004</v>
      </c>
      <c r="M389" s="9">
        <f>6.2614 * CHOOSE(CONTROL!$C$32, $C$9, 100%, $E$9)</f>
        <v>6.2614000000000001</v>
      </c>
      <c r="N389" s="9">
        <f>6.2582 * CHOOSE(CONTROL!$C$32, $C$9, 100%, $E$9)</f>
        <v>6.2582000000000004</v>
      </c>
      <c r="O389" s="9">
        <f>6.2614 * CHOOSE(CONTROL!$C$32, $C$9, 100%, $E$9)</f>
        <v>6.2614000000000001</v>
      </c>
    </row>
    <row r="390" spans="1:15" ht="15.75" x14ac:dyDescent="0.25">
      <c r="A390" s="14">
        <v>52748</v>
      </c>
      <c r="B390" s="10">
        <f>6.5903 * CHOOSE(CONTROL!$C$32, $C$9, 100%, $E$9)</f>
        <v>6.5903</v>
      </c>
      <c r="C390" s="10">
        <f>6.5903 * CHOOSE(CONTROL!$C$32, $C$9, 100%, $E$9)</f>
        <v>6.5903</v>
      </c>
      <c r="D390" s="10">
        <f>6.5915 * CHOOSE(CONTROL!$C$32, $C$9, 100%, $E$9)</f>
        <v>6.5914999999999999</v>
      </c>
      <c r="E390" s="9">
        <f>6.2968 * CHOOSE(CONTROL!$C$32, $C$9, 100%, $E$9)</f>
        <v>6.2968000000000002</v>
      </c>
      <c r="F390" s="9">
        <f>6.2968 * CHOOSE(CONTROL!$C$32, $C$9, 100%, $E$9)</f>
        <v>6.2968000000000002</v>
      </c>
      <c r="G390" s="9">
        <f>6.301 * CHOOSE(CONTROL!$C$32, $C$9, 100%, $E$9)</f>
        <v>6.3010000000000002</v>
      </c>
      <c r="H390" s="9">
        <f>12.61 * CHOOSE(CONTROL!$C$32, $C$9, 100%, $E$9)</f>
        <v>12.61</v>
      </c>
      <c r="I390" s="9">
        <f>12.6142 * CHOOSE(CONTROL!$C$32, $C$9, 100%, $E$9)</f>
        <v>12.6142</v>
      </c>
      <c r="J390" s="9">
        <f>12.61 * CHOOSE(CONTROL!$C$32, $C$9, 100%, $E$9)</f>
        <v>12.61</v>
      </c>
      <c r="K390" s="9">
        <f>12.6142 * CHOOSE(CONTROL!$C$32, $C$9, 100%, $E$9)</f>
        <v>12.6142</v>
      </c>
      <c r="L390" s="9">
        <f>6.2968 * CHOOSE(CONTROL!$C$32, $C$9, 100%, $E$9)</f>
        <v>6.2968000000000002</v>
      </c>
      <c r="M390" s="9">
        <f>6.301 * CHOOSE(CONTROL!$C$32, $C$9, 100%, $E$9)</f>
        <v>6.3010000000000002</v>
      </c>
      <c r="N390" s="9">
        <f>6.2968 * CHOOSE(CONTROL!$C$32, $C$9, 100%, $E$9)</f>
        <v>6.2968000000000002</v>
      </c>
      <c r="O390" s="9">
        <f>6.301 * CHOOSE(CONTROL!$C$32, $C$9, 100%, $E$9)</f>
        <v>6.3010000000000002</v>
      </c>
    </row>
    <row r="391" spans="1:15" ht="15.75" x14ac:dyDescent="0.25">
      <c r="A391" s="14">
        <v>52778</v>
      </c>
      <c r="B391" s="10">
        <f>6.5963 * CHOOSE(CONTROL!$C$32, $C$9, 100%, $E$9)</f>
        <v>6.5963000000000003</v>
      </c>
      <c r="C391" s="10">
        <f>6.5963 * CHOOSE(CONTROL!$C$32, $C$9, 100%, $E$9)</f>
        <v>6.5963000000000003</v>
      </c>
      <c r="D391" s="10">
        <f>6.5976 * CHOOSE(CONTROL!$C$32, $C$9, 100%, $E$9)</f>
        <v>6.5975999999999999</v>
      </c>
      <c r="E391" s="9">
        <f>6.2624 * CHOOSE(CONTROL!$C$32, $C$9, 100%, $E$9)</f>
        <v>6.2624000000000004</v>
      </c>
      <c r="F391" s="9">
        <f>6.2624 * CHOOSE(CONTROL!$C$32, $C$9, 100%, $E$9)</f>
        <v>6.2624000000000004</v>
      </c>
      <c r="G391" s="9">
        <f>6.2666 * CHOOSE(CONTROL!$C$32, $C$9, 100%, $E$9)</f>
        <v>6.2666000000000004</v>
      </c>
      <c r="H391" s="9">
        <f>12.6362 * CHOOSE(CONTROL!$C$32, $C$9, 100%, $E$9)</f>
        <v>12.636200000000001</v>
      </c>
      <c r="I391" s="9">
        <f>12.6405 * CHOOSE(CONTROL!$C$32, $C$9, 100%, $E$9)</f>
        <v>12.640499999999999</v>
      </c>
      <c r="J391" s="9">
        <f>12.6362 * CHOOSE(CONTROL!$C$32, $C$9, 100%, $E$9)</f>
        <v>12.636200000000001</v>
      </c>
      <c r="K391" s="9">
        <f>12.6405 * CHOOSE(CONTROL!$C$32, $C$9, 100%, $E$9)</f>
        <v>12.640499999999999</v>
      </c>
      <c r="L391" s="9">
        <f>6.2624 * CHOOSE(CONTROL!$C$32, $C$9, 100%, $E$9)</f>
        <v>6.2624000000000004</v>
      </c>
      <c r="M391" s="9">
        <f>6.2666 * CHOOSE(CONTROL!$C$32, $C$9, 100%, $E$9)</f>
        <v>6.2666000000000004</v>
      </c>
      <c r="N391" s="9">
        <f>6.2624 * CHOOSE(CONTROL!$C$32, $C$9, 100%, $E$9)</f>
        <v>6.2624000000000004</v>
      </c>
      <c r="O391" s="9">
        <f>6.2666 * CHOOSE(CONTROL!$C$32, $C$9, 100%, $E$9)</f>
        <v>6.2666000000000004</v>
      </c>
    </row>
    <row r="392" spans="1:15" ht="15.75" x14ac:dyDescent="0.25">
      <c r="A392" s="14">
        <v>52809</v>
      </c>
      <c r="B392" s="10">
        <f>6.6936 * CHOOSE(CONTROL!$C$32, $C$9, 100%, $E$9)</f>
        <v>6.6936</v>
      </c>
      <c r="C392" s="10">
        <f>6.6936 * CHOOSE(CONTROL!$C$32, $C$9, 100%, $E$9)</f>
        <v>6.6936</v>
      </c>
      <c r="D392" s="10">
        <f>6.6949 * CHOOSE(CONTROL!$C$32, $C$9, 100%, $E$9)</f>
        <v>6.6948999999999996</v>
      </c>
      <c r="E392" s="9">
        <f>6.3375 * CHOOSE(CONTROL!$C$32, $C$9, 100%, $E$9)</f>
        <v>6.3375000000000004</v>
      </c>
      <c r="F392" s="9">
        <f>6.3375 * CHOOSE(CONTROL!$C$32, $C$9, 100%, $E$9)</f>
        <v>6.3375000000000004</v>
      </c>
      <c r="G392" s="9">
        <f>6.3417 * CHOOSE(CONTROL!$C$32, $C$9, 100%, $E$9)</f>
        <v>6.3417000000000003</v>
      </c>
      <c r="H392" s="9">
        <f>12.6626 * CHOOSE(CONTROL!$C$32, $C$9, 100%, $E$9)</f>
        <v>12.662599999999999</v>
      </c>
      <c r="I392" s="9">
        <f>12.6668 * CHOOSE(CONTROL!$C$32, $C$9, 100%, $E$9)</f>
        <v>12.6668</v>
      </c>
      <c r="J392" s="9">
        <f>12.6626 * CHOOSE(CONTROL!$C$32, $C$9, 100%, $E$9)</f>
        <v>12.662599999999999</v>
      </c>
      <c r="K392" s="9">
        <f>12.6668 * CHOOSE(CONTROL!$C$32, $C$9, 100%, $E$9)</f>
        <v>12.6668</v>
      </c>
      <c r="L392" s="9">
        <f>6.3375 * CHOOSE(CONTROL!$C$32, $C$9, 100%, $E$9)</f>
        <v>6.3375000000000004</v>
      </c>
      <c r="M392" s="9">
        <f>6.3417 * CHOOSE(CONTROL!$C$32, $C$9, 100%, $E$9)</f>
        <v>6.3417000000000003</v>
      </c>
      <c r="N392" s="9">
        <f>6.3375 * CHOOSE(CONTROL!$C$32, $C$9, 100%, $E$9)</f>
        <v>6.3375000000000004</v>
      </c>
      <c r="O392" s="9">
        <f>6.3417 * CHOOSE(CONTROL!$C$32, $C$9, 100%, $E$9)</f>
        <v>6.3417000000000003</v>
      </c>
    </row>
    <row r="393" spans="1:15" ht="15.75" x14ac:dyDescent="0.25">
      <c r="A393" s="14">
        <v>52840</v>
      </c>
      <c r="B393" s="10">
        <f>6.7003 * CHOOSE(CONTROL!$C$32, $C$9, 100%, $E$9)</f>
        <v>6.7003000000000004</v>
      </c>
      <c r="C393" s="10">
        <f>6.7003 * CHOOSE(CONTROL!$C$32, $C$9, 100%, $E$9)</f>
        <v>6.7003000000000004</v>
      </c>
      <c r="D393" s="10">
        <f>6.7016 * CHOOSE(CONTROL!$C$32, $C$9, 100%, $E$9)</f>
        <v>6.7016</v>
      </c>
      <c r="E393" s="9">
        <f>6.2263 * CHOOSE(CONTROL!$C$32, $C$9, 100%, $E$9)</f>
        <v>6.2263000000000002</v>
      </c>
      <c r="F393" s="9">
        <f>6.2263 * CHOOSE(CONTROL!$C$32, $C$9, 100%, $E$9)</f>
        <v>6.2263000000000002</v>
      </c>
      <c r="G393" s="9">
        <f>6.2305 * CHOOSE(CONTROL!$C$32, $C$9, 100%, $E$9)</f>
        <v>6.2305000000000001</v>
      </c>
      <c r="H393" s="9">
        <f>12.689 * CHOOSE(CONTROL!$C$32, $C$9, 100%, $E$9)</f>
        <v>12.689</v>
      </c>
      <c r="I393" s="9">
        <f>12.6932 * CHOOSE(CONTROL!$C$32, $C$9, 100%, $E$9)</f>
        <v>12.693199999999999</v>
      </c>
      <c r="J393" s="9">
        <f>12.689 * CHOOSE(CONTROL!$C$32, $C$9, 100%, $E$9)</f>
        <v>12.689</v>
      </c>
      <c r="K393" s="9">
        <f>12.6932 * CHOOSE(CONTROL!$C$32, $C$9, 100%, $E$9)</f>
        <v>12.693199999999999</v>
      </c>
      <c r="L393" s="9">
        <f>6.2263 * CHOOSE(CONTROL!$C$32, $C$9, 100%, $E$9)</f>
        <v>6.2263000000000002</v>
      </c>
      <c r="M393" s="9">
        <f>6.2305 * CHOOSE(CONTROL!$C$32, $C$9, 100%, $E$9)</f>
        <v>6.2305000000000001</v>
      </c>
      <c r="N393" s="9">
        <f>6.2263 * CHOOSE(CONTROL!$C$32, $C$9, 100%, $E$9)</f>
        <v>6.2263000000000002</v>
      </c>
      <c r="O393" s="9">
        <f>6.2305 * CHOOSE(CONTROL!$C$32, $C$9, 100%, $E$9)</f>
        <v>6.2305000000000001</v>
      </c>
    </row>
    <row r="394" spans="1:15" ht="15.75" x14ac:dyDescent="0.25">
      <c r="A394" s="14">
        <v>52870</v>
      </c>
      <c r="B394" s="10">
        <f>6.6973 * CHOOSE(CONTROL!$C$32, $C$9, 100%, $E$9)</f>
        <v>6.6973000000000003</v>
      </c>
      <c r="C394" s="10">
        <f>6.6973 * CHOOSE(CONTROL!$C$32, $C$9, 100%, $E$9)</f>
        <v>6.6973000000000003</v>
      </c>
      <c r="D394" s="10">
        <f>6.6985 * CHOOSE(CONTROL!$C$32, $C$9, 100%, $E$9)</f>
        <v>6.6985000000000001</v>
      </c>
      <c r="E394" s="9">
        <f>6.2113 * CHOOSE(CONTROL!$C$32, $C$9, 100%, $E$9)</f>
        <v>6.2112999999999996</v>
      </c>
      <c r="F394" s="9">
        <f>6.2113 * CHOOSE(CONTROL!$C$32, $C$9, 100%, $E$9)</f>
        <v>6.2112999999999996</v>
      </c>
      <c r="G394" s="9">
        <f>6.2155 * CHOOSE(CONTROL!$C$32, $C$9, 100%, $E$9)</f>
        <v>6.2154999999999996</v>
      </c>
      <c r="H394" s="9">
        <f>12.7154 * CHOOSE(CONTROL!$C$32, $C$9, 100%, $E$9)</f>
        <v>12.715400000000001</v>
      </c>
      <c r="I394" s="9">
        <f>12.7196 * CHOOSE(CONTROL!$C$32, $C$9, 100%, $E$9)</f>
        <v>12.7196</v>
      </c>
      <c r="J394" s="9">
        <f>12.7154 * CHOOSE(CONTROL!$C$32, $C$9, 100%, $E$9)</f>
        <v>12.715400000000001</v>
      </c>
      <c r="K394" s="9">
        <f>12.7196 * CHOOSE(CONTROL!$C$32, $C$9, 100%, $E$9)</f>
        <v>12.7196</v>
      </c>
      <c r="L394" s="9">
        <f>6.2113 * CHOOSE(CONTROL!$C$32, $C$9, 100%, $E$9)</f>
        <v>6.2112999999999996</v>
      </c>
      <c r="M394" s="9">
        <f>6.2155 * CHOOSE(CONTROL!$C$32, $C$9, 100%, $E$9)</f>
        <v>6.2154999999999996</v>
      </c>
      <c r="N394" s="9">
        <f>6.2113 * CHOOSE(CONTROL!$C$32, $C$9, 100%, $E$9)</f>
        <v>6.2112999999999996</v>
      </c>
      <c r="O394" s="9">
        <f>6.2155 * CHOOSE(CONTROL!$C$32, $C$9, 100%, $E$9)</f>
        <v>6.2154999999999996</v>
      </c>
    </row>
    <row r="395" spans="1:15" ht="15.75" x14ac:dyDescent="0.25">
      <c r="A395" s="14">
        <v>52901</v>
      </c>
      <c r="B395" s="10">
        <f>6.7032 * CHOOSE(CONTROL!$C$32, $C$9, 100%, $E$9)</f>
        <v>6.7031999999999998</v>
      </c>
      <c r="C395" s="10">
        <f>6.7032 * CHOOSE(CONTROL!$C$32, $C$9, 100%, $E$9)</f>
        <v>6.7031999999999998</v>
      </c>
      <c r="D395" s="10">
        <f>6.7042 * CHOOSE(CONTROL!$C$32, $C$9, 100%, $E$9)</f>
        <v>6.7042000000000002</v>
      </c>
      <c r="E395" s="9">
        <f>6.2494 * CHOOSE(CONTROL!$C$32, $C$9, 100%, $E$9)</f>
        <v>6.2493999999999996</v>
      </c>
      <c r="F395" s="9">
        <f>6.2494 * CHOOSE(CONTROL!$C$32, $C$9, 100%, $E$9)</f>
        <v>6.2493999999999996</v>
      </c>
      <c r="G395" s="9">
        <f>6.2526 * CHOOSE(CONTROL!$C$32, $C$9, 100%, $E$9)</f>
        <v>6.2526000000000002</v>
      </c>
      <c r="H395" s="9">
        <f>12.7419 * CHOOSE(CONTROL!$C$32, $C$9, 100%, $E$9)</f>
        <v>12.741899999999999</v>
      </c>
      <c r="I395" s="9">
        <f>12.7451 * CHOOSE(CONTROL!$C$32, $C$9, 100%, $E$9)</f>
        <v>12.745100000000001</v>
      </c>
      <c r="J395" s="9">
        <f>12.7419 * CHOOSE(CONTROL!$C$32, $C$9, 100%, $E$9)</f>
        <v>12.741899999999999</v>
      </c>
      <c r="K395" s="9">
        <f>12.7451 * CHOOSE(CONTROL!$C$32, $C$9, 100%, $E$9)</f>
        <v>12.745100000000001</v>
      </c>
      <c r="L395" s="9">
        <f>6.2494 * CHOOSE(CONTROL!$C$32, $C$9, 100%, $E$9)</f>
        <v>6.2493999999999996</v>
      </c>
      <c r="M395" s="9">
        <f>6.2526 * CHOOSE(CONTROL!$C$32, $C$9, 100%, $E$9)</f>
        <v>6.2526000000000002</v>
      </c>
      <c r="N395" s="9">
        <f>6.2494 * CHOOSE(CONTROL!$C$32, $C$9, 100%, $E$9)</f>
        <v>6.2493999999999996</v>
      </c>
      <c r="O395" s="9">
        <f>6.2526 * CHOOSE(CONTROL!$C$32, $C$9, 100%, $E$9)</f>
        <v>6.2526000000000002</v>
      </c>
    </row>
    <row r="396" spans="1:15" ht="15.75" x14ac:dyDescent="0.25">
      <c r="A396" s="14">
        <v>52931</v>
      </c>
      <c r="B396" s="10">
        <f>6.7063 * CHOOSE(CONTROL!$C$32, $C$9, 100%, $E$9)</f>
        <v>6.7062999999999997</v>
      </c>
      <c r="C396" s="10">
        <f>6.7063 * CHOOSE(CONTROL!$C$32, $C$9, 100%, $E$9)</f>
        <v>6.7062999999999997</v>
      </c>
      <c r="D396" s="10">
        <f>6.7072 * CHOOSE(CONTROL!$C$32, $C$9, 100%, $E$9)</f>
        <v>6.7072000000000003</v>
      </c>
      <c r="E396" s="9">
        <f>6.2773 * CHOOSE(CONTROL!$C$32, $C$9, 100%, $E$9)</f>
        <v>6.2773000000000003</v>
      </c>
      <c r="F396" s="9">
        <f>6.2773 * CHOOSE(CONTROL!$C$32, $C$9, 100%, $E$9)</f>
        <v>6.2773000000000003</v>
      </c>
      <c r="G396" s="9">
        <f>6.2805 * CHOOSE(CONTROL!$C$32, $C$9, 100%, $E$9)</f>
        <v>6.2805</v>
      </c>
      <c r="H396" s="9">
        <f>12.7684 * CHOOSE(CONTROL!$C$32, $C$9, 100%, $E$9)</f>
        <v>12.7684</v>
      </c>
      <c r="I396" s="9">
        <f>12.7717 * CHOOSE(CONTROL!$C$32, $C$9, 100%, $E$9)</f>
        <v>12.771699999999999</v>
      </c>
      <c r="J396" s="9">
        <f>12.7684 * CHOOSE(CONTROL!$C$32, $C$9, 100%, $E$9)</f>
        <v>12.7684</v>
      </c>
      <c r="K396" s="9">
        <f>12.7717 * CHOOSE(CONTROL!$C$32, $C$9, 100%, $E$9)</f>
        <v>12.771699999999999</v>
      </c>
      <c r="L396" s="9">
        <f>6.2773 * CHOOSE(CONTROL!$C$32, $C$9, 100%, $E$9)</f>
        <v>6.2773000000000003</v>
      </c>
      <c r="M396" s="9">
        <f>6.2805 * CHOOSE(CONTROL!$C$32, $C$9, 100%, $E$9)</f>
        <v>6.2805</v>
      </c>
      <c r="N396" s="9">
        <f>6.2773 * CHOOSE(CONTROL!$C$32, $C$9, 100%, $E$9)</f>
        <v>6.2773000000000003</v>
      </c>
      <c r="O396" s="9">
        <f>6.2805 * CHOOSE(CONTROL!$C$32, $C$9, 100%, $E$9)</f>
        <v>6.2805</v>
      </c>
    </row>
    <row r="397" spans="1:15" ht="15.75" x14ac:dyDescent="0.25">
      <c r="A397" s="14">
        <v>52962</v>
      </c>
      <c r="B397" s="10">
        <f>6.7063 * CHOOSE(CONTROL!$C$32, $C$9, 100%, $E$9)</f>
        <v>6.7062999999999997</v>
      </c>
      <c r="C397" s="10">
        <f>6.7063 * CHOOSE(CONTROL!$C$32, $C$9, 100%, $E$9)</f>
        <v>6.7062999999999997</v>
      </c>
      <c r="D397" s="10">
        <f>6.7072 * CHOOSE(CONTROL!$C$32, $C$9, 100%, $E$9)</f>
        <v>6.7072000000000003</v>
      </c>
      <c r="E397" s="9">
        <f>6.2129 * CHOOSE(CONTROL!$C$32, $C$9, 100%, $E$9)</f>
        <v>6.2129000000000003</v>
      </c>
      <c r="F397" s="9">
        <f>6.2129 * CHOOSE(CONTROL!$C$32, $C$9, 100%, $E$9)</f>
        <v>6.2129000000000003</v>
      </c>
      <c r="G397" s="9">
        <f>6.2161 * CHOOSE(CONTROL!$C$32, $C$9, 100%, $E$9)</f>
        <v>6.2161</v>
      </c>
      <c r="H397" s="9">
        <f>12.795 * CHOOSE(CONTROL!$C$32, $C$9, 100%, $E$9)</f>
        <v>12.795</v>
      </c>
      <c r="I397" s="9">
        <f>12.7983 * CHOOSE(CONTROL!$C$32, $C$9, 100%, $E$9)</f>
        <v>12.798299999999999</v>
      </c>
      <c r="J397" s="9">
        <f>12.795 * CHOOSE(CONTROL!$C$32, $C$9, 100%, $E$9)</f>
        <v>12.795</v>
      </c>
      <c r="K397" s="9">
        <f>12.7983 * CHOOSE(CONTROL!$C$32, $C$9, 100%, $E$9)</f>
        <v>12.798299999999999</v>
      </c>
      <c r="L397" s="9">
        <f>6.2129 * CHOOSE(CONTROL!$C$32, $C$9, 100%, $E$9)</f>
        <v>6.2129000000000003</v>
      </c>
      <c r="M397" s="9">
        <f>6.2161 * CHOOSE(CONTROL!$C$32, $C$9, 100%, $E$9)</f>
        <v>6.2161</v>
      </c>
      <c r="N397" s="9">
        <f>6.2129 * CHOOSE(CONTROL!$C$32, $C$9, 100%, $E$9)</f>
        <v>6.2129000000000003</v>
      </c>
      <c r="O397" s="9">
        <f>6.2161 * CHOOSE(CONTROL!$C$32, $C$9, 100%, $E$9)</f>
        <v>6.2161</v>
      </c>
    </row>
    <row r="398" spans="1:15" ht="15.75" x14ac:dyDescent="0.25">
      <c r="A398" s="14">
        <v>52993</v>
      </c>
      <c r="B398" s="10">
        <f>6.7627 * CHOOSE(CONTROL!$C$32, $C$9, 100%, $E$9)</f>
        <v>6.7626999999999997</v>
      </c>
      <c r="C398" s="10">
        <f>6.7627 * CHOOSE(CONTROL!$C$32, $C$9, 100%, $E$9)</f>
        <v>6.7626999999999997</v>
      </c>
      <c r="D398" s="10">
        <f>6.7637 * CHOOSE(CONTROL!$C$32, $C$9, 100%, $E$9)</f>
        <v>6.7637</v>
      </c>
      <c r="E398" s="9">
        <f>6.302 * CHOOSE(CONTROL!$C$32, $C$9, 100%, $E$9)</f>
        <v>6.3019999999999996</v>
      </c>
      <c r="F398" s="9">
        <f>6.302 * CHOOSE(CONTROL!$C$32, $C$9, 100%, $E$9)</f>
        <v>6.3019999999999996</v>
      </c>
      <c r="G398" s="9">
        <f>6.3052 * CHOOSE(CONTROL!$C$32, $C$9, 100%, $E$9)</f>
        <v>6.3052000000000001</v>
      </c>
      <c r="H398" s="9">
        <f>12.8217 * CHOOSE(CONTROL!$C$32, $C$9, 100%, $E$9)</f>
        <v>12.8217</v>
      </c>
      <c r="I398" s="9">
        <f>12.8249 * CHOOSE(CONTROL!$C$32, $C$9, 100%, $E$9)</f>
        <v>12.8249</v>
      </c>
      <c r="J398" s="9">
        <f>12.8217 * CHOOSE(CONTROL!$C$32, $C$9, 100%, $E$9)</f>
        <v>12.8217</v>
      </c>
      <c r="K398" s="9">
        <f>12.8249 * CHOOSE(CONTROL!$C$32, $C$9, 100%, $E$9)</f>
        <v>12.8249</v>
      </c>
      <c r="L398" s="9">
        <f>6.302 * CHOOSE(CONTROL!$C$32, $C$9, 100%, $E$9)</f>
        <v>6.3019999999999996</v>
      </c>
      <c r="M398" s="9">
        <f>6.3052 * CHOOSE(CONTROL!$C$32, $C$9, 100%, $E$9)</f>
        <v>6.3052000000000001</v>
      </c>
      <c r="N398" s="9">
        <f>6.302 * CHOOSE(CONTROL!$C$32, $C$9, 100%, $E$9)</f>
        <v>6.3019999999999996</v>
      </c>
      <c r="O398" s="9">
        <f>6.3052 * CHOOSE(CONTROL!$C$32, $C$9, 100%, $E$9)</f>
        <v>6.3052000000000001</v>
      </c>
    </row>
    <row r="399" spans="1:15" ht="15.75" x14ac:dyDescent="0.25">
      <c r="A399" s="14">
        <v>53021</v>
      </c>
      <c r="B399" s="10">
        <f>6.7597 * CHOOSE(CONTROL!$C$32, $C$9, 100%, $E$9)</f>
        <v>6.7596999999999996</v>
      </c>
      <c r="C399" s="10">
        <f>6.7597 * CHOOSE(CONTROL!$C$32, $C$9, 100%, $E$9)</f>
        <v>6.7596999999999996</v>
      </c>
      <c r="D399" s="10">
        <f>6.7606 * CHOOSE(CONTROL!$C$32, $C$9, 100%, $E$9)</f>
        <v>6.7606000000000002</v>
      </c>
      <c r="E399" s="9">
        <f>6.1746 * CHOOSE(CONTROL!$C$32, $C$9, 100%, $E$9)</f>
        <v>6.1745999999999999</v>
      </c>
      <c r="F399" s="9">
        <f>6.1746 * CHOOSE(CONTROL!$C$32, $C$9, 100%, $E$9)</f>
        <v>6.1745999999999999</v>
      </c>
      <c r="G399" s="9">
        <f>6.1778 * CHOOSE(CONTROL!$C$32, $C$9, 100%, $E$9)</f>
        <v>6.1778000000000004</v>
      </c>
      <c r="H399" s="9">
        <f>12.8484 * CHOOSE(CONTROL!$C$32, $C$9, 100%, $E$9)</f>
        <v>12.8484</v>
      </c>
      <c r="I399" s="9">
        <f>12.8516 * CHOOSE(CONTROL!$C$32, $C$9, 100%, $E$9)</f>
        <v>12.851599999999999</v>
      </c>
      <c r="J399" s="9">
        <f>12.8484 * CHOOSE(CONTROL!$C$32, $C$9, 100%, $E$9)</f>
        <v>12.8484</v>
      </c>
      <c r="K399" s="9">
        <f>12.8516 * CHOOSE(CONTROL!$C$32, $C$9, 100%, $E$9)</f>
        <v>12.851599999999999</v>
      </c>
      <c r="L399" s="9">
        <f>6.1746 * CHOOSE(CONTROL!$C$32, $C$9, 100%, $E$9)</f>
        <v>6.1745999999999999</v>
      </c>
      <c r="M399" s="9">
        <f>6.1778 * CHOOSE(CONTROL!$C$32, $C$9, 100%, $E$9)</f>
        <v>6.1778000000000004</v>
      </c>
      <c r="N399" s="9">
        <f>6.1746 * CHOOSE(CONTROL!$C$32, $C$9, 100%, $E$9)</f>
        <v>6.1745999999999999</v>
      </c>
      <c r="O399" s="9">
        <f>6.1778 * CHOOSE(CONTROL!$C$32, $C$9, 100%, $E$9)</f>
        <v>6.1778000000000004</v>
      </c>
    </row>
    <row r="400" spans="1:15" ht="15.75" x14ac:dyDescent="0.25">
      <c r="A400" s="14">
        <v>53052</v>
      </c>
      <c r="B400" s="10">
        <f>6.7566 * CHOOSE(CONTROL!$C$32, $C$9, 100%, $E$9)</f>
        <v>6.7565999999999997</v>
      </c>
      <c r="C400" s="10">
        <f>6.7566 * CHOOSE(CONTROL!$C$32, $C$9, 100%, $E$9)</f>
        <v>6.7565999999999997</v>
      </c>
      <c r="D400" s="10">
        <f>6.7576 * CHOOSE(CONTROL!$C$32, $C$9, 100%, $E$9)</f>
        <v>6.7576000000000001</v>
      </c>
      <c r="E400" s="9">
        <f>6.2712 * CHOOSE(CONTROL!$C$32, $C$9, 100%, $E$9)</f>
        <v>6.2712000000000003</v>
      </c>
      <c r="F400" s="9">
        <f>6.2712 * CHOOSE(CONTROL!$C$32, $C$9, 100%, $E$9)</f>
        <v>6.2712000000000003</v>
      </c>
      <c r="G400" s="9">
        <f>6.2744 * CHOOSE(CONTROL!$C$32, $C$9, 100%, $E$9)</f>
        <v>6.2744</v>
      </c>
      <c r="H400" s="9">
        <f>12.8752 * CHOOSE(CONTROL!$C$32, $C$9, 100%, $E$9)</f>
        <v>12.8752</v>
      </c>
      <c r="I400" s="9">
        <f>12.8784 * CHOOSE(CONTROL!$C$32, $C$9, 100%, $E$9)</f>
        <v>12.878399999999999</v>
      </c>
      <c r="J400" s="9">
        <f>12.8752 * CHOOSE(CONTROL!$C$32, $C$9, 100%, $E$9)</f>
        <v>12.8752</v>
      </c>
      <c r="K400" s="9">
        <f>12.8784 * CHOOSE(CONTROL!$C$32, $C$9, 100%, $E$9)</f>
        <v>12.878399999999999</v>
      </c>
      <c r="L400" s="9">
        <f>6.2712 * CHOOSE(CONTROL!$C$32, $C$9, 100%, $E$9)</f>
        <v>6.2712000000000003</v>
      </c>
      <c r="M400" s="9">
        <f>6.2744 * CHOOSE(CONTROL!$C$32, $C$9, 100%, $E$9)</f>
        <v>6.2744</v>
      </c>
      <c r="N400" s="9">
        <f>6.2712 * CHOOSE(CONTROL!$C$32, $C$9, 100%, $E$9)</f>
        <v>6.2712000000000003</v>
      </c>
      <c r="O400" s="9">
        <f>6.2744 * CHOOSE(CONTROL!$C$32, $C$9, 100%, $E$9)</f>
        <v>6.2744</v>
      </c>
    </row>
    <row r="401" spans="1:15" ht="15.75" x14ac:dyDescent="0.25">
      <c r="A401" s="14">
        <v>53082</v>
      </c>
      <c r="B401" s="10">
        <f>6.7572 * CHOOSE(CONTROL!$C$32, $C$9, 100%, $E$9)</f>
        <v>6.7572000000000001</v>
      </c>
      <c r="C401" s="10">
        <f>6.7572 * CHOOSE(CONTROL!$C$32, $C$9, 100%, $E$9)</f>
        <v>6.7572000000000001</v>
      </c>
      <c r="D401" s="10">
        <f>6.7581 * CHOOSE(CONTROL!$C$32, $C$9, 100%, $E$9)</f>
        <v>6.7580999999999998</v>
      </c>
      <c r="E401" s="9">
        <f>6.373 * CHOOSE(CONTROL!$C$32, $C$9, 100%, $E$9)</f>
        <v>6.3730000000000002</v>
      </c>
      <c r="F401" s="9">
        <f>6.373 * CHOOSE(CONTROL!$C$32, $C$9, 100%, $E$9)</f>
        <v>6.3730000000000002</v>
      </c>
      <c r="G401" s="9">
        <f>6.3762 * CHOOSE(CONTROL!$C$32, $C$9, 100%, $E$9)</f>
        <v>6.3761999999999999</v>
      </c>
      <c r="H401" s="9">
        <f>12.902 * CHOOSE(CONTROL!$C$32, $C$9, 100%, $E$9)</f>
        <v>12.901999999999999</v>
      </c>
      <c r="I401" s="9">
        <f>12.9052 * CHOOSE(CONTROL!$C$32, $C$9, 100%, $E$9)</f>
        <v>12.905200000000001</v>
      </c>
      <c r="J401" s="9">
        <f>12.902 * CHOOSE(CONTROL!$C$32, $C$9, 100%, $E$9)</f>
        <v>12.901999999999999</v>
      </c>
      <c r="K401" s="9">
        <f>12.9052 * CHOOSE(CONTROL!$C$32, $C$9, 100%, $E$9)</f>
        <v>12.905200000000001</v>
      </c>
      <c r="L401" s="9">
        <f>6.373 * CHOOSE(CONTROL!$C$32, $C$9, 100%, $E$9)</f>
        <v>6.3730000000000002</v>
      </c>
      <c r="M401" s="9">
        <f>6.3762 * CHOOSE(CONTROL!$C$32, $C$9, 100%, $E$9)</f>
        <v>6.3761999999999999</v>
      </c>
      <c r="N401" s="9">
        <f>6.373 * CHOOSE(CONTROL!$C$32, $C$9, 100%, $E$9)</f>
        <v>6.3730000000000002</v>
      </c>
      <c r="O401" s="9">
        <f>6.3762 * CHOOSE(CONTROL!$C$32, $C$9, 100%, $E$9)</f>
        <v>6.3761999999999999</v>
      </c>
    </row>
    <row r="402" spans="1:15" ht="15.75" x14ac:dyDescent="0.25">
      <c r="A402" s="14">
        <v>53113</v>
      </c>
      <c r="B402" s="10">
        <f>6.7572 * CHOOSE(CONTROL!$C$32, $C$9, 100%, $E$9)</f>
        <v>6.7572000000000001</v>
      </c>
      <c r="C402" s="10">
        <f>6.7572 * CHOOSE(CONTROL!$C$32, $C$9, 100%, $E$9)</f>
        <v>6.7572000000000001</v>
      </c>
      <c r="D402" s="10">
        <f>6.7584 * CHOOSE(CONTROL!$C$32, $C$9, 100%, $E$9)</f>
        <v>6.7584</v>
      </c>
      <c r="E402" s="9">
        <f>6.4128 * CHOOSE(CONTROL!$C$32, $C$9, 100%, $E$9)</f>
        <v>6.4127999999999998</v>
      </c>
      <c r="F402" s="9">
        <f>6.4128 * CHOOSE(CONTROL!$C$32, $C$9, 100%, $E$9)</f>
        <v>6.4127999999999998</v>
      </c>
      <c r="G402" s="9">
        <f>6.417 * CHOOSE(CONTROL!$C$32, $C$9, 100%, $E$9)</f>
        <v>6.4169999999999998</v>
      </c>
      <c r="H402" s="9">
        <f>12.9289 * CHOOSE(CONTROL!$C$32, $C$9, 100%, $E$9)</f>
        <v>12.928900000000001</v>
      </c>
      <c r="I402" s="9">
        <f>12.9331 * CHOOSE(CONTROL!$C$32, $C$9, 100%, $E$9)</f>
        <v>12.9331</v>
      </c>
      <c r="J402" s="9">
        <f>12.9289 * CHOOSE(CONTROL!$C$32, $C$9, 100%, $E$9)</f>
        <v>12.928900000000001</v>
      </c>
      <c r="K402" s="9">
        <f>12.9331 * CHOOSE(CONTROL!$C$32, $C$9, 100%, $E$9)</f>
        <v>12.9331</v>
      </c>
      <c r="L402" s="9">
        <f>6.4128 * CHOOSE(CONTROL!$C$32, $C$9, 100%, $E$9)</f>
        <v>6.4127999999999998</v>
      </c>
      <c r="M402" s="9">
        <f>6.417 * CHOOSE(CONTROL!$C$32, $C$9, 100%, $E$9)</f>
        <v>6.4169999999999998</v>
      </c>
      <c r="N402" s="9">
        <f>6.4128 * CHOOSE(CONTROL!$C$32, $C$9, 100%, $E$9)</f>
        <v>6.4127999999999998</v>
      </c>
      <c r="O402" s="9">
        <f>6.417 * CHOOSE(CONTROL!$C$32, $C$9, 100%, $E$9)</f>
        <v>6.4169999999999998</v>
      </c>
    </row>
    <row r="403" spans="1:15" ht="15.75" x14ac:dyDescent="0.25">
      <c r="A403" s="14">
        <v>53143</v>
      </c>
      <c r="B403" s="10">
        <f>6.7633 * CHOOSE(CONTROL!$C$32, $C$9, 100%, $E$9)</f>
        <v>6.7633000000000001</v>
      </c>
      <c r="C403" s="10">
        <f>6.7633 * CHOOSE(CONTROL!$C$32, $C$9, 100%, $E$9)</f>
        <v>6.7633000000000001</v>
      </c>
      <c r="D403" s="10">
        <f>6.7645 * CHOOSE(CONTROL!$C$32, $C$9, 100%, $E$9)</f>
        <v>6.7645</v>
      </c>
      <c r="E403" s="9">
        <f>6.3773 * CHOOSE(CONTROL!$C$32, $C$9, 100%, $E$9)</f>
        <v>6.3773</v>
      </c>
      <c r="F403" s="9">
        <f>6.3773 * CHOOSE(CONTROL!$C$32, $C$9, 100%, $E$9)</f>
        <v>6.3773</v>
      </c>
      <c r="G403" s="9">
        <f>6.3815 * CHOOSE(CONTROL!$C$32, $C$9, 100%, $E$9)</f>
        <v>6.3815</v>
      </c>
      <c r="H403" s="9">
        <f>12.9558 * CHOOSE(CONTROL!$C$32, $C$9, 100%, $E$9)</f>
        <v>12.9558</v>
      </c>
      <c r="I403" s="9">
        <f>12.96 * CHOOSE(CONTROL!$C$32, $C$9, 100%, $E$9)</f>
        <v>12.96</v>
      </c>
      <c r="J403" s="9">
        <f>12.9558 * CHOOSE(CONTROL!$C$32, $C$9, 100%, $E$9)</f>
        <v>12.9558</v>
      </c>
      <c r="K403" s="9">
        <f>12.96 * CHOOSE(CONTROL!$C$32, $C$9, 100%, $E$9)</f>
        <v>12.96</v>
      </c>
      <c r="L403" s="9">
        <f>6.3773 * CHOOSE(CONTROL!$C$32, $C$9, 100%, $E$9)</f>
        <v>6.3773</v>
      </c>
      <c r="M403" s="9">
        <f>6.3815 * CHOOSE(CONTROL!$C$32, $C$9, 100%, $E$9)</f>
        <v>6.3815</v>
      </c>
      <c r="N403" s="9">
        <f>6.3773 * CHOOSE(CONTROL!$C$32, $C$9, 100%, $E$9)</f>
        <v>6.3773</v>
      </c>
      <c r="O403" s="9">
        <f>6.3815 * CHOOSE(CONTROL!$C$32, $C$9, 100%, $E$9)</f>
        <v>6.3815</v>
      </c>
    </row>
    <row r="404" spans="1:15" ht="15.75" x14ac:dyDescent="0.25">
      <c r="A404" s="14">
        <v>53174</v>
      </c>
      <c r="B404" s="10">
        <f>6.8626 * CHOOSE(CONTROL!$C$32, $C$9, 100%, $E$9)</f>
        <v>6.8625999999999996</v>
      </c>
      <c r="C404" s="10">
        <f>6.8626 * CHOOSE(CONTROL!$C$32, $C$9, 100%, $E$9)</f>
        <v>6.8625999999999996</v>
      </c>
      <c r="D404" s="10">
        <f>6.8639 * CHOOSE(CONTROL!$C$32, $C$9, 100%, $E$9)</f>
        <v>6.8639000000000001</v>
      </c>
      <c r="E404" s="9">
        <f>6.4534 * CHOOSE(CONTROL!$C$32, $C$9, 100%, $E$9)</f>
        <v>6.4534000000000002</v>
      </c>
      <c r="F404" s="9">
        <f>6.4534 * CHOOSE(CONTROL!$C$32, $C$9, 100%, $E$9)</f>
        <v>6.4534000000000002</v>
      </c>
      <c r="G404" s="9">
        <f>6.4576 * CHOOSE(CONTROL!$C$32, $C$9, 100%, $E$9)</f>
        <v>6.4576000000000002</v>
      </c>
      <c r="H404" s="9">
        <f>12.9828 * CHOOSE(CONTROL!$C$32, $C$9, 100%, $E$9)</f>
        <v>12.982799999999999</v>
      </c>
      <c r="I404" s="9">
        <f>12.987 * CHOOSE(CONTROL!$C$32, $C$9, 100%, $E$9)</f>
        <v>12.987</v>
      </c>
      <c r="J404" s="9">
        <f>12.9828 * CHOOSE(CONTROL!$C$32, $C$9, 100%, $E$9)</f>
        <v>12.982799999999999</v>
      </c>
      <c r="K404" s="9">
        <f>12.987 * CHOOSE(CONTROL!$C$32, $C$9, 100%, $E$9)</f>
        <v>12.987</v>
      </c>
      <c r="L404" s="9">
        <f>6.4534 * CHOOSE(CONTROL!$C$32, $C$9, 100%, $E$9)</f>
        <v>6.4534000000000002</v>
      </c>
      <c r="M404" s="9">
        <f>6.4576 * CHOOSE(CONTROL!$C$32, $C$9, 100%, $E$9)</f>
        <v>6.4576000000000002</v>
      </c>
      <c r="N404" s="9">
        <f>6.4534 * CHOOSE(CONTROL!$C$32, $C$9, 100%, $E$9)</f>
        <v>6.4534000000000002</v>
      </c>
      <c r="O404" s="9">
        <f>6.4576 * CHOOSE(CONTROL!$C$32, $C$9, 100%, $E$9)</f>
        <v>6.4576000000000002</v>
      </c>
    </row>
    <row r="405" spans="1:15" ht="15.75" x14ac:dyDescent="0.25">
      <c r="A405" s="14">
        <v>53205</v>
      </c>
      <c r="B405" s="10">
        <f>6.8693 * CHOOSE(CONTROL!$C$32, $C$9, 100%, $E$9)</f>
        <v>6.8693</v>
      </c>
      <c r="C405" s="10">
        <f>6.8693 * CHOOSE(CONTROL!$C$32, $C$9, 100%, $E$9)</f>
        <v>6.8693</v>
      </c>
      <c r="D405" s="10">
        <f>6.8706 * CHOOSE(CONTROL!$C$32, $C$9, 100%, $E$9)</f>
        <v>6.8705999999999996</v>
      </c>
      <c r="E405" s="9">
        <f>6.3387 * CHOOSE(CONTROL!$C$32, $C$9, 100%, $E$9)</f>
        <v>6.3387000000000002</v>
      </c>
      <c r="F405" s="9">
        <f>6.3387 * CHOOSE(CONTROL!$C$32, $C$9, 100%, $E$9)</f>
        <v>6.3387000000000002</v>
      </c>
      <c r="G405" s="9">
        <f>6.3429 * CHOOSE(CONTROL!$C$32, $C$9, 100%, $E$9)</f>
        <v>6.3429000000000002</v>
      </c>
      <c r="H405" s="9">
        <f>13.0098 * CHOOSE(CONTROL!$C$32, $C$9, 100%, $E$9)</f>
        <v>13.0098</v>
      </c>
      <c r="I405" s="9">
        <f>13.014 * CHOOSE(CONTROL!$C$32, $C$9, 100%, $E$9)</f>
        <v>13.013999999999999</v>
      </c>
      <c r="J405" s="9">
        <f>13.0098 * CHOOSE(CONTROL!$C$32, $C$9, 100%, $E$9)</f>
        <v>13.0098</v>
      </c>
      <c r="K405" s="9">
        <f>13.014 * CHOOSE(CONTROL!$C$32, $C$9, 100%, $E$9)</f>
        <v>13.013999999999999</v>
      </c>
      <c r="L405" s="9">
        <f>6.3387 * CHOOSE(CONTROL!$C$32, $C$9, 100%, $E$9)</f>
        <v>6.3387000000000002</v>
      </c>
      <c r="M405" s="9">
        <f>6.3429 * CHOOSE(CONTROL!$C$32, $C$9, 100%, $E$9)</f>
        <v>6.3429000000000002</v>
      </c>
      <c r="N405" s="9">
        <f>6.3387 * CHOOSE(CONTROL!$C$32, $C$9, 100%, $E$9)</f>
        <v>6.3387000000000002</v>
      </c>
      <c r="O405" s="9">
        <f>6.3429 * CHOOSE(CONTROL!$C$32, $C$9, 100%, $E$9)</f>
        <v>6.3429000000000002</v>
      </c>
    </row>
    <row r="406" spans="1:15" ht="15.75" x14ac:dyDescent="0.25">
      <c r="A406" s="14">
        <v>53235</v>
      </c>
      <c r="B406" s="10">
        <f>6.8663 * CHOOSE(CONTROL!$C$32, $C$9, 100%, $E$9)</f>
        <v>6.8662999999999998</v>
      </c>
      <c r="C406" s="10">
        <f>6.8663 * CHOOSE(CONTROL!$C$32, $C$9, 100%, $E$9)</f>
        <v>6.8662999999999998</v>
      </c>
      <c r="D406" s="10">
        <f>6.8675 * CHOOSE(CONTROL!$C$32, $C$9, 100%, $E$9)</f>
        <v>6.8674999999999997</v>
      </c>
      <c r="E406" s="9">
        <f>6.3233 * CHOOSE(CONTROL!$C$32, $C$9, 100%, $E$9)</f>
        <v>6.3232999999999997</v>
      </c>
      <c r="F406" s="9">
        <f>6.3233 * CHOOSE(CONTROL!$C$32, $C$9, 100%, $E$9)</f>
        <v>6.3232999999999997</v>
      </c>
      <c r="G406" s="9">
        <f>6.3275 * CHOOSE(CONTROL!$C$32, $C$9, 100%, $E$9)</f>
        <v>6.3274999999999997</v>
      </c>
      <c r="H406" s="9">
        <f>13.0369 * CHOOSE(CONTROL!$C$32, $C$9, 100%, $E$9)</f>
        <v>13.036899999999999</v>
      </c>
      <c r="I406" s="9">
        <f>13.0411 * CHOOSE(CONTROL!$C$32, $C$9, 100%, $E$9)</f>
        <v>13.0411</v>
      </c>
      <c r="J406" s="9">
        <f>13.0369 * CHOOSE(CONTROL!$C$32, $C$9, 100%, $E$9)</f>
        <v>13.036899999999999</v>
      </c>
      <c r="K406" s="9">
        <f>13.0411 * CHOOSE(CONTROL!$C$32, $C$9, 100%, $E$9)</f>
        <v>13.0411</v>
      </c>
      <c r="L406" s="9">
        <f>6.3233 * CHOOSE(CONTROL!$C$32, $C$9, 100%, $E$9)</f>
        <v>6.3232999999999997</v>
      </c>
      <c r="M406" s="9">
        <f>6.3275 * CHOOSE(CONTROL!$C$32, $C$9, 100%, $E$9)</f>
        <v>6.3274999999999997</v>
      </c>
      <c r="N406" s="9">
        <f>6.3233 * CHOOSE(CONTROL!$C$32, $C$9, 100%, $E$9)</f>
        <v>6.3232999999999997</v>
      </c>
      <c r="O406" s="9">
        <f>6.3275 * CHOOSE(CONTROL!$C$32, $C$9, 100%, $E$9)</f>
        <v>6.3274999999999997</v>
      </c>
    </row>
    <row r="407" spans="1:15" ht="15.75" x14ac:dyDescent="0.25">
      <c r="A407" s="14">
        <v>53266</v>
      </c>
      <c r="B407" s="10">
        <f>6.8729 * CHOOSE(CONTROL!$C$32, $C$9, 100%, $E$9)</f>
        <v>6.8728999999999996</v>
      </c>
      <c r="C407" s="10">
        <f>6.8729 * CHOOSE(CONTROL!$C$32, $C$9, 100%, $E$9)</f>
        <v>6.8728999999999996</v>
      </c>
      <c r="D407" s="10">
        <f>6.8738 * CHOOSE(CONTROL!$C$32, $C$9, 100%, $E$9)</f>
        <v>6.8738000000000001</v>
      </c>
      <c r="E407" s="9">
        <f>6.3629 * CHOOSE(CONTROL!$C$32, $C$9, 100%, $E$9)</f>
        <v>6.3628999999999998</v>
      </c>
      <c r="F407" s="9">
        <f>6.3629 * CHOOSE(CONTROL!$C$32, $C$9, 100%, $E$9)</f>
        <v>6.3628999999999998</v>
      </c>
      <c r="G407" s="9">
        <f>6.3662 * CHOOSE(CONTROL!$C$32, $C$9, 100%, $E$9)</f>
        <v>6.3662000000000001</v>
      </c>
      <c r="H407" s="9">
        <f>13.0641 * CHOOSE(CONTROL!$C$32, $C$9, 100%, $E$9)</f>
        <v>13.0641</v>
      </c>
      <c r="I407" s="9">
        <f>13.0673 * CHOOSE(CONTROL!$C$32, $C$9, 100%, $E$9)</f>
        <v>13.067299999999999</v>
      </c>
      <c r="J407" s="9">
        <f>13.0641 * CHOOSE(CONTROL!$C$32, $C$9, 100%, $E$9)</f>
        <v>13.0641</v>
      </c>
      <c r="K407" s="9">
        <f>13.0673 * CHOOSE(CONTROL!$C$32, $C$9, 100%, $E$9)</f>
        <v>13.067299999999999</v>
      </c>
      <c r="L407" s="9">
        <f>6.3629 * CHOOSE(CONTROL!$C$32, $C$9, 100%, $E$9)</f>
        <v>6.3628999999999998</v>
      </c>
      <c r="M407" s="9">
        <f>6.3662 * CHOOSE(CONTROL!$C$32, $C$9, 100%, $E$9)</f>
        <v>6.3662000000000001</v>
      </c>
      <c r="N407" s="9">
        <f>6.3629 * CHOOSE(CONTROL!$C$32, $C$9, 100%, $E$9)</f>
        <v>6.3628999999999998</v>
      </c>
      <c r="O407" s="9">
        <f>6.3662 * CHOOSE(CONTROL!$C$32, $C$9, 100%, $E$9)</f>
        <v>6.3662000000000001</v>
      </c>
    </row>
    <row r="408" spans="1:15" ht="15.75" x14ac:dyDescent="0.25">
      <c r="A408" s="14">
        <v>53296</v>
      </c>
      <c r="B408" s="10">
        <f>6.8759 * CHOOSE(CONTROL!$C$32, $C$9, 100%, $E$9)</f>
        <v>6.8758999999999997</v>
      </c>
      <c r="C408" s="10">
        <f>6.8759 * CHOOSE(CONTROL!$C$32, $C$9, 100%, $E$9)</f>
        <v>6.8758999999999997</v>
      </c>
      <c r="D408" s="10">
        <f>6.8769 * CHOOSE(CONTROL!$C$32, $C$9, 100%, $E$9)</f>
        <v>6.8769</v>
      </c>
      <c r="E408" s="9">
        <f>6.3916 * CHOOSE(CONTROL!$C$32, $C$9, 100%, $E$9)</f>
        <v>6.3916000000000004</v>
      </c>
      <c r="F408" s="9">
        <f>6.3916 * CHOOSE(CONTROL!$C$32, $C$9, 100%, $E$9)</f>
        <v>6.3916000000000004</v>
      </c>
      <c r="G408" s="9">
        <f>6.3948 * CHOOSE(CONTROL!$C$32, $C$9, 100%, $E$9)</f>
        <v>6.3948</v>
      </c>
      <c r="H408" s="9">
        <f>13.0913 * CHOOSE(CONTROL!$C$32, $C$9, 100%, $E$9)</f>
        <v>13.0913</v>
      </c>
      <c r="I408" s="9">
        <f>13.0945 * CHOOSE(CONTROL!$C$32, $C$9, 100%, $E$9)</f>
        <v>13.0945</v>
      </c>
      <c r="J408" s="9">
        <f>13.0913 * CHOOSE(CONTROL!$C$32, $C$9, 100%, $E$9)</f>
        <v>13.0913</v>
      </c>
      <c r="K408" s="9">
        <f>13.0945 * CHOOSE(CONTROL!$C$32, $C$9, 100%, $E$9)</f>
        <v>13.0945</v>
      </c>
      <c r="L408" s="9">
        <f>6.3916 * CHOOSE(CONTROL!$C$32, $C$9, 100%, $E$9)</f>
        <v>6.3916000000000004</v>
      </c>
      <c r="M408" s="9">
        <f>6.3948 * CHOOSE(CONTROL!$C$32, $C$9, 100%, $E$9)</f>
        <v>6.3948</v>
      </c>
      <c r="N408" s="9">
        <f>6.3916 * CHOOSE(CONTROL!$C$32, $C$9, 100%, $E$9)</f>
        <v>6.3916000000000004</v>
      </c>
      <c r="O408" s="9">
        <f>6.3948 * CHOOSE(CONTROL!$C$32, $C$9, 100%, $E$9)</f>
        <v>6.3948</v>
      </c>
    </row>
    <row r="409" spans="1:15" ht="15.75" x14ac:dyDescent="0.25">
      <c r="A409" s="14">
        <v>53327</v>
      </c>
      <c r="B409" s="10">
        <f>6.8759 * CHOOSE(CONTROL!$C$32, $C$9, 100%, $E$9)</f>
        <v>6.8758999999999997</v>
      </c>
      <c r="C409" s="10">
        <f>6.8759 * CHOOSE(CONTROL!$C$32, $C$9, 100%, $E$9)</f>
        <v>6.8758999999999997</v>
      </c>
      <c r="D409" s="10">
        <f>6.8769 * CHOOSE(CONTROL!$C$32, $C$9, 100%, $E$9)</f>
        <v>6.8769</v>
      </c>
      <c r="E409" s="9">
        <f>6.3253 * CHOOSE(CONTROL!$C$32, $C$9, 100%, $E$9)</f>
        <v>6.3253000000000004</v>
      </c>
      <c r="F409" s="9">
        <f>6.3253 * CHOOSE(CONTROL!$C$32, $C$9, 100%, $E$9)</f>
        <v>6.3253000000000004</v>
      </c>
      <c r="G409" s="9">
        <f>6.3285 * CHOOSE(CONTROL!$C$32, $C$9, 100%, $E$9)</f>
        <v>6.3285</v>
      </c>
      <c r="H409" s="9">
        <f>13.1186 * CHOOSE(CONTROL!$C$32, $C$9, 100%, $E$9)</f>
        <v>13.118600000000001</v>
      </c>
      <c r="I409" s="9">
        <f>13.1218 * CHOOSE(CONTROL!$C$32, $C$9, 100%, $E$9)</f>
        <v>13.1218</v>
      </c>
      <c r="J409" s="9">
        <f>13.1186 * CHOOSE(CONTROL!$C$32, $C$9, 100%, $E$9)</f>
        <v>13.118600000000001</v>
      </c>
      <c r="K409" s="9">
        <f>13.1218 * CHOOSE(CONTROL!$C$32, $C$9, 100%, $E$9)</f>
        <v>13.1218</v>
      </c>
      <c r="L409" s="9">
        <f>6.3253 * CHOOSE(CONTROL!$C$32, $C$9, 100%, $E$9)</f>
        <v>6.3253000000000004</v>
      </c>
      <c r="M409" s="9">
        <f>6.3285 * CHOOSE(CONTROL!$C$32, $C$9, 100%, $E$9)</f>
        <v>6.3285</v>
      </c>
      <c r="N409" s="9">
        <f>6.3253 * CHOOSE(CONTROL!$C$32, $C$9, 100%, $E$9)</f>
        <v>6.3253000000000004</v>
      </c>
      <c r="O409" s="9">
        <f>6.3285 * CHOOSE(CONTROL!$C$32, $C$9, 100%, $E$9)</f>
        <v>6.3285</v>
      </c>
    </row>
    <row r="410" spans="1:15" ht="15.75" x14ac:dyDescent="0.25">
      <c r="A410" s="14">
        <v>53358</v>
      </c>
      <c r="B410" s="10">
        <f>6.9337 * CHOOSE(CONTROL!$C$32, $C$9, 100%, $E$9)</f>
        <v>6.9337</v>
      </c>
      <c r="C410" s="10">
        <f>6.9337 * CHOOSE(CONTROL!$C$32, $C$9, 100%, $E$9)</f>
        <v>6.9337</v>
      </c>
      <c r="D410" s="10">
        <f>6.9346 * CHOOSE(CONTROL!$C$32, $C$9, 100%, $E$9)</f>
        <v>6.9345999999999997</v>
      </c>
      <c r="E410" s="9">
        <f>6.4166 * CHOOSE(CONTROL!$C$32, $C$9, 100%, $E$9)</f>
        <v>6.4165999999999999</v>
      </c>
      <c r="F410" s="9">
        <f>6.4166 * CHOOSE(CONTROL!$C$32, $C$9, 100%, $E$9)</f>
        <v>6.4165999999999999</v>
      </c>
      <c r="G410" s="9">
        <f>6.4199 * CHOOSE(CONTROL!$C$32, $C$9, 100%, $E$9)</f>
        <v>6.4199000000000002</v>
      </c>
      <c r="H410" s="9">
        <f>13.1459 * CHOOSE(CONTROL!$C$32, $C$9, 100%, $E$9)</f>
        <v>13.145899999999999</v>
      </c>
      <c r="I410" s="9">
        <f>13.1492 * CHOOSE(CONTROL!$C$32, $C$9, 100%, $E$9)</f>
        <v>13.1492</v>
      </c>
      <c r="J410" s="9">
        <f>13.1459 * CHOOSE(CONTROL!$C$32, $C$9, 100%, $E$9)</f>
        <v>13.145899999999999</v>
      </c>
      <c r="K410" s="9">
        <f>13.1492 * CHOOSE(CONTROL!$C$32, $C$9, 100%, $E$9)</f>
        <v>13.1492</v>
      </c>
      <c r="L410" s="9">
        <f>6.4166 * CHOOSE(CONTROL!$C$32, $C$9, 100%, $E$9)</f>
        <v>6.4165999999999999</v>
      </c>
      <c r="M410" s="9">
        <f>6.4199 * CHOOSE(CONTROL!$C$32, $C$9, 100%, $E$9)</f>
        <v>6.4199000000000002</v>
      </c>
      <c r="N410" s="9">
        <f>6.4166 * CHOOSE(CONTROL!$C$32, $C$9, 100%, $E$9)</f>
        <v>6.4165999999999999</v>
      </c>
      <c r="O410" s="9">
        <f>6.4199 * CHOOSE(CONTROL!$C$32, $C$9, 100%, $E$9)</f>
        <v>6.4199000000000002</v>
      </c>
    </row>
    <row r="411" spans="1:15" ht="15.75" x14ac:dyDescent="0.25">
      <c r="A411" s="14">
        <v>53386</v>
      </c>
      <c r="B411" s="10">
        <f>6.9307 * CHOOSE(CONTROL!$C$32, $C$9, 100%, $E$9)</f>
        <v>6.9306999999999999</v>
      </c>
      <c r="C411" s="10">
        <f>6.9307 * CHOOSE(CONTROL!$C$32, $C$9, 100%, $E$9)</f>
        <v>6.9306999999999999</v>
      </c>
      <c r="D411" s="10">
        <f>6.9316 * CHOOSE(CONTROL!$C$32, $C$9, 100%, $E$9)</f>
        <v>6.9316000000000004</v>
      </c>
      <c r="E411" s="9">
        <f>6.2855 * CHOOSE(CONTROL!$C$32, $C$9, 100%, $E$9)</f>
        <v>6.2854999999999999</v>
      </c>
      <c r="F411" s="9">
        <f>6.2855 * CHOOSE(CONTROL!$C$32, $C$9, 100%, $E$9)</f>
        <v>6.2854999999999999</v>
      </c>
      <c r="G411" s="9">
        <f>6.2887 * CHOOSE(CONTROL!$C$32, $C$9, 100%, $E$9)</f>
        <v>6.2887000000000004</v>
      </c>
      <c r="H411" s="9">
        <f>13.1733 * CHOOSE(CONTROL!$C$32, $C$9, 100%, $E$9)</f>
        <v>13.173299999999999</v>
      </c>
      <c r="I411" s="9">
        <f>13.1765 * CHOOSE(CONTROL!$C$32, $C$9, 100%, $E$9)</f>
        <v>13.176500000000001</v>
      </c>
      <c r="J411" s="9">
        <f>13.1733 * CHOOSE(CONTROL!$C$32, $C$9, 100%, $E$9)</f>
        <v>13.173299999999999</v>
      </c>
      <c r="K411" s="9">
        <f>13.1765 * CHOOSE(CONTROL!$C$32, $C$9, 100%, $E$9)</f>
        <v>13.176500000000001</v>
      </c>
      <c r="L411" s="9">
        <f>6.2855 * CHOOSE(CONTROL!$C$32, $C$9, 100%, $E$9)</f>
        <v>6.2854999999999999</v>
      </c>
      <c r="M411" s="9">
        <f>6.2887 * CHOOSE(CONTROL!$C$32, $C$9, 100%, $E$9)</f>
        <v>6.2887000000000004</v>
      </c>
      <c r="N411" s="9">
        <f>6.2855 * CHOOSE(CONTROL!$C$32, $C$9, 100%, $E$9)</f>
        <v>6.2854999999999999</v>
      </c>
      <c r="O411" s="9">
        <f>6.2887 * CHOOSE(CONTROL!$C$32, $C$9, 100%, $E$9)</f>
        <v>6.2887000000000004</v>
      </c>
    </row>
    <row r="412" spans="1:15" ht="15.75" x14ac:dyDescent="0.25">
      <c r="A412" s="14">
        <v>53417</v>
      </c>
      <c r="B412" s="10">
        <f>6.9276 * CHOOSE(CONTROL!$C$32, $C$9, 100%, $E$9)</f>
        <v>6.9276</v>
      </c>
      <c r="C412" s="10">
        <f>6.9276 * CHOOSE(CONTROL!$C$32, $C$9, 100%, $E$9)</f>
        <v>6.9276</v>
      </c>
      <c r="D412" s="10">
        <f>6.9286 * CHOOSE(CONTROL!$C$32, $C$9, 100%, $E$9)</f>
        <v>6.9286000000000003</v>
      </c>
      <c r="E412" s="9">
        <f>6.3851 * CHOOSE(CONTROL!$C$32, $C$9, 100%, $E$9)</f>
        <v>6.3851000000000004</v>
      </c>
      <c r="F412" s="9">
        <f>6.3851 * CHOOSE(CONTROL!$C$32, $C$9, 100%, $E$9)</f>
        <v>6.3851000000000004</v>
      </c>
      <c r="G412" s="9">
        <f>6.3883 * CHOOSE(CONTROL!$C$32, $C$9, 100%, $E$9)</f>
        <v>6.3883000000000001</v>
      </c>
      <c r="H412" s="9">
        <f>13.2008 * CHOOSE(CONTROL!$C$32, $C$9, 100%, $E$9)</f>
        <v>13.200799999999999</v>
      </c>
      <c r="I412" s="9">
        <f>13.204 * CHOOSE(CONTROL!$C$32, $C$9, 100%, $E$9)</f>
        <v>13.204000000000001</v>
      </c>
      <c r="J412" s="9">
        <f>13.2008 * CHOOSE(CONTROL!$C$32, $C$9, 100%, $E$9)</f>
        <v>13.200799999999999</v>
      </c>
      <c r="K412" s="9">
        <f>13.204 * CHOOSE(CONTROL!$C$32, $C$9, 100%, $E$9)</f>
        <v>13.204000000000001</v>
      </c>
      <c r="L412" s="9">
        <f>6.3851 * CHOOSE(CONTROL!$C$32, $C$9, 100%, $E$9)</f>
        <v>6.3851000000000004</v>
      </c>
      <c r="M412" s="9">
        <f>6.3883 * CHOOSE(CONTROL!$C$32, $C$9, 100%, $E$9)</f>
        <v>6.3883000000000001</v>
      </c>
      <c r="N412" s="9">
        <f>6.3851 * CHOOSE(CONTROL!$C$32, $C$9, 100%, $E$9)</f>
        <v>6.3851000000000004</v>
      </c>
      <c r="O412" s="9">
        <f>6.3883 * CHOOSE(CONTROL!$C$32, $C$9, 100%, $E$9)</f>
        <v>6.3883000000000001</v>
      </c>
    </row>
    <row r="413" spans="1:15" ht="15.75" x14ac:dyDescent="0.25">
      <c r="A413" s="14">
        <v>53447</v>
      </c>
      <c r="B413" s="10">
        <f>6.9283 * CHOOSE(CONTROL!$C$32, $C$9, 100%, $E$9)</f>
        <v>6.9283000000000001</v>
      </c>
      <c r="C413" s="10">
        <f>6.9283 * CHOOSE(CONTROL!$C$32, $C$9, 100%, $E$9)</f>
        <v>6.9283000000000001</v>
      </c>
      <c r="D413" s="10">
        <f>6.9293 * CHOOSE(CONTROL!$C$32, $C$9, 100%, $E$9)</f>
        <v>6.9292999999999996</v>
      </c>
      <c r="E413" s="9">
        <f>6.4901 * CHOOSE(CONTROL!$C$32, $C$9, 100%, $E$9)</f>
        <v>6.4901</v>
      </c>
      <c r="F413" s="9">
        <f>6.4901 * CHOOSE(CONTROL!$C$32, $C$9, 100%, $E$9)</f>
        <v>6.4901</v>
      </c>
      <c r="G413" s="9">
        <f>6.4933 * CHOOSE(CONTROL!$C$32, $C$9, 100%, $E$9)</f>
        <v>6.4932999999999996</v>
      </c>
      <c r="H413" s="9">
        <f>13.2283 * CHOOSE(CONTROL!$C$32, $C$9, 100%, $E$9)</f>
        <v>13.228300000000001</v>
      </c>
      <c r="I413" s="9">
        <f>13.2315 * CHOOSE(CONTROL!$C$32, $C$9, 100%, $E$9)</f>
        <v>13.2315</v>
      </c>
      <c r="J413" s="9">
        <f>13.2283 * CHOOSE(CONTROL!$C$32, $C$9, 100%, $E$9)</f>
        <v>13.228300000000001</v>
      </c>
      <c r="K413" s="9">
        <f>13.2315 * CHOOSE(CONTROL!$C$32, $C$9, 100%, $E$9)</f>
        <v>13.2315</v>
      </c>
      <c r="L413" s="9">
        <f>6.4901 * CHOOSE(CONTROL!$C$32, $C$9, 100%, $E$9)</f>
        <v>6.4901</v>
      </c>
      <c r="M413" s="9">
        <f>6.4933 * CHOOSE(CONTROL!$C$32, $C$9, 100%, $E$9)</f>
        <v>6.4932999999999996</v>
      </c>
      <c r="N413" s="9">
        <f>6.4901 * CHOOSE(CONTROL!$C$32, $C$9, 100%, $E$9)</f>
        <v>6.4901</v>
      </c>
      <c r="O413" s="9">
        <f>6.4933 * CHOOSE(CONTROL!$C$32, $C$9, 100%, $E$9)</f>
        <v>6.4932999999999996</v>
      </c>
    </row>
    <row r="414" spans="1:15" ht="15.75" x14ac:dyDescent="0.25">
      <c r="A414" s="14">
        <v>53478</v>
      </c>
      <c r="B414" s="10">
        <f>6.9283 * CHOOSE(CONTROL!$C$32, $C$9, 100%, $E$9)</f>
        <v>6.9283000000000001</v>
      </c>
      <c r="C414" s="10">
        <f>6.9283 * CHOOSE(CONTROL!$C$32, $C$9, 100%, $E$9)</f>
        <v>6.9283000000000001</v>
      </c>
      <c r="D414" s="10">
        <f>6.9296 * CHOOSE(CONTROL!$C$32, $C$9, 100%, $E$9)</f>
        <v>6.9295999999999998</v>
      </c>
      <c r="E414" s="9">
        <f>6.531 * CHOOSE(CONTROL!$C$32, $C$9, 100%, $E$9)</f>
        <v>6.5309999999999997</v>
      </c>
      <c r="F414" s="9">
        <f>6.531 * CHOOSE(CONTROL!$C$32, $C$9, 100%, $E$9)</f>
        <v>6.5309999999999997</v>
      </c>
      <c r="G414" s="9">
        <f>6.5352 * CHOOSE(CONTROL!$C$32, $C$9, 100%, $E$9)</f>
        <v>6.5351999999999997</v>
      </c>
      <c r="H414" s="9">
        <f>13.2558 * CHOOSE(CONTROL!$C$32, $C$9, 100%, $E$9)</f>
        <v>13.255800000000001</v>
      </c>
      <c r="I414" s="9">
        <f>13.26 * CHOOSE(CONTROL!$C$32, $C$9, 100%, $E$9)</f>
        <v>13.26</v>
      </c>
      <c r="J414" s="9">
        <f>13.2558 * CHOOSE(CONTROL!$C$32, $C$9, 100%, $E$9)</f>
        <v>13.255800000000001</v>
      </c>
      <c r="K414" s="9">
        <f>13.26 * CHOOSE(CONTROL!$C$32, $C$9, 100%, $E$9)</f>
        <v>13.26</v>
      </c>
      <c r="L414" s="9">
        <f>6.531 * CHOOSE(CONTROL!$C$32, $C$9, 100%, $E$9)</f>
        <v>6.5309999999999997</v>
      </c>
      <c r="M414" s="9">
        <f>6.5352 * CHOOSE(CONTROL!$C$32, $C$9, 100%, $E$9)</f>
        <v>6.5351999999999997</v>
      </c>
      <c r="N414" s="9">
        <f>6.531 * CHOOSE(CONTROL!$C$32, $C$9, 100%, $E$9)</f>
        <v>6.5309999999999997</v>
      </c>
      <c r="O414" s="9">
        <f>6.5352 * CHOOSE(CONTROL!$C$32, $C$9, 100%, $E$9)</f>
        <v>6.5351999999999997</v>
      </c>
    </row>
    <row r="415" spans="1:15" ht="15.75" x14ac:dyDescent="0.25">
      <c r="A415" s="14">
        <v>53508</v>
      </c>
      <c r="B415" s="10">
        <f>6.9344 * CHOOSE(CONTROL!$C$32, $C$9, 100%, $E$9)</f>
        <v>6.9344000000000001</v>
      </c>
      <c r="C415" s="10">
        <f>6.9344 * CHOOSE(CONTROL!$C$32, $C$9, 100%, $E$9)</f>
        <v>6.9344000000000001</v>
      </c>
      <c r="D415" s="10">
        <f>6.9356 * CHOOSE(CONTROL!$C$32, $C$9, 100%, $E$9)</f>
        <v>6.9356</v>
      </c>
      <c r="E415" s="9">
        <f>6.4943 * CHOOSE(CONTROL!$C$32, $C$9, 100%, $E$9)</f>
        <v>6.4943</v>
      </c>
      <c r="F415" s="9">
        <f>6.4943 * CHOOSE(CONTROL!$C$32, $C$9, 100%, $E$9)</f>
        <v>6.4943</v>
      </c>
      <c r="G415" s="9">
        <f>6.4985 * CHOOSE(CONTROL!$C$32, $C$9, 100%, $E$9)</f>
        <v>6.4984999999999999</v>
      </c>
      <c r="H415" s="9">
        <f>13.2834 * CHOOSE(CONTROL!$C$32, $C$9, 100%, $E$9)</f>
        <v>13.2834</v>
      </c>
      <c r="I415" s="9">
        <f>13.2876 * CHOOSE(CONTROL!$C$32, $C$9, 100%, $E$9)</f>
        <v>13.287599999999999</v>
      </c>
      <c r="J415" s="9">
        <f>13.2834 * CHOOSE(CONTROL!$C$32, $C$9, 100%, $E$9)</f>
        <v>13.2834</v>
      </c>
      <c r="K415" s="9">
        <f>13.2876 * CHOOSE(CONTROL!$C$32, $C$9, 100%, $E$9)</f>
        <v>13.287599999999999</v>
      </c>
      <c r="L415" s="9">
        <f>6.4943 * CHOOSE(CONTROL!$C$32, $C$9, 100%, $E$9)</f>
        <v>6.4943</v>
      </c>
      <c r="M415" s="9">
        <f>6.4985 * CHOOSE(CONTROL!$C$32, $C$9, 100%, $E$9)</f>
        <v>6.4984999999999999</v>
      </c>
      <c r="N415" s="9">
        <f>6.4943 * CHOOSE(CONTROL!$C$32, $C$9, 100%, $E$9)</f>
        <v>6.4943</v>
      </c>
      <c r="O415" s="9">
        <f>6.4985 * CHOOSE(CONTROL!$C$32, $C$9, 100%, $E$9)</f>
        <v>6.4984999999999999</v>
      </c>
    </row>
    <row r="416" spans="1:15" ht="15.75" x14ac:dyDescent="0.25">
      <c r="A416" s="14">
        <v>53539</v>
      </c>
      <c r="B416" s="10">
        <f>7.0359 * CHOOSE(CONTROL!$C$32, $C$9, 100%, $E$9)</f>
        <v>7.0358999999999998</v>
      </c>
      <c r="C416" s="10">
        <f>7.0359 * CHOOSE(CONTROL!$C$32, $C$9, 100%, $E$9)</f>
        <v>7.0358999999999998</v>
      </c>
      <c r="D416" s="10">
        <f>7.0372 * CHOOSE(CONTROL!$C$32, $C$9, 100%, $E$9)</f>
        <v>7.0372000000000003</v>
      </c>
      <c r="E416" s="9">
        <f>6.5717 * CHOOSE(CONTROL!$C$32, $C$9, 100%, $E$9)</f>
        <v>6.5716999999999999</v>
      </c>
      <c r="F416" s="9">
        <f>6.5717 * CHOOSE(CONTROL!$C$32, $C$9, 100%, $E$9)</f>
        <v>6.5716999999999999</v>
      </c>
      <c r="G416" s="9">
        <f>6.5759 * CHOOSE(CONTROL!$C$32, $C$9, 100%, $E$9)</f>
        <v>6.5758999999999999</v>
      </c>
      <c r="H416" s="9">
        <f>13.3111 * CHOOSE(CONTROL!$C$32, $C$9, 100%, $E$9)</f>
        <v>13.3111</v>
      </c>
      <c r="I416" s="9">
        <f>13.3153 * CHOOSE(CONTROL!$C$32, $C$9, 100%, $E$9)</f>
        <v>13.315300000000001</v>
      </c>
      <c r="J416" s="9">
        <f>13.3111 * CHOOSE(CONTROL!$C$32, $C$9, 100%, $E$9)</f>
        <v>13.3111</v>
      </c>
      <c r="K416" s="9">
        <f>13.3153 * CHOOSE(CONTROL!$C$32, $C$9, 100%, $E$9)</f>
        <v>13.315300000000001</v>
      </c>
      <c r="L416" s="9">
        <f>6.5717 * CHOOSE(CONTROL!$C$32, $C$9, 100%, $E$9)</f>
        <v>6.5716999999999999</v>
      </c>
      <c r="M416" s="9">
        <f>6.5759 * CHOOSE(CONTROL!$C$32, $C$9, 100%, $E$9)</f>
        <v>6.5758999999999999</v>
      </c>
      <c r="N416" s="9">
        <f>6.5717 * CHOOSE(CONTROL!$C$32, $C$9, 100%, $E$9)</f>
        <v>6.5716999999999999</v>
      </c>
      <c r="O416" s="9">
        <f>6.5759 * CHOOSE(CONTROL!$C$32, $C$9, 100%, $E$9)</f>
        <v>6.5758999999999999</v>
      </c>
    </row>
    <row r="417" spans="1:15" ht="15.75" x14ac:dyDescent="0.25">
      <c r="A417" s="14">
        <v>53570</v>
      </c>
      <c r="B417" s="10">
        <f>7.0426 * CHOOSE(CONTROL!$C$32, $C$9, 100%, $E$9)</f>
        <v>7.0426000000000002</v>
      </c>
      <c r="C417" s="10">
        <f>7.0426 * CHOOSE(CONTROL!$C$32, $C$9, 100%, $E$9)</f>
        <v>7.0426000000000002</v>
      </c>
      <c r="D417" s="10">
        <f>7.0439 * CHOOSE(CONTROL!$C$32, $C$9, 100%, $E$9)</f>
        <v>7.0438999999999998</v>
      </c>
      <c r="E417" s="9">
        <f>6.4535 * CHOOSE(CONTROL!$C$32, $C$9, 100%, $E$9)</f>
        <v>6.4535</v>
      </c>
      <c r="F417" s="9">
        <f>6.4535 * CHOOSE(CONTROL!$C$32, $C$9, 100%, $E$9)</f>
        <v>6.4535</v>
      </c>
      <c r="G417" s="9">
        <f>6.4577 * CHOOSE(CONTROL!$C$32, $C$9, 100%, $E$9)</f>
        <v>6.4577</v>
      </c>
      <c r="H417" s="9">
        <f>13.3388 * CHOOSE(CONTROL!$C$32, $C$9, 100%, $E$9)</f>
        <v>13.338800000000001</v>
      </c>
      <c r="I417" s="9">
        <f>13.343 * CHOOSE(CONTROL!$C$32, $C$9, 100%, $E$9)</f>
        <v>13.343</v>
      </c>
      <c r="J417" s="9">
        <f>13.3388 * CHOOSE(CONTROL!$C$32, $C$9, 100%, $E$9)</f>
        <v>13.338800000000001</v>
      </c>
      <c r="K417" s="9">
        <f>13.343 * CHOOSE(CONTROL!$C$32, $C$9, 100%, $E$9)</f>
        <v>13.343</v>
      </c>
      <c r="L417" s="9">
        <f>6.4535 * CHOOSE(CONTROL!$C$32, $C$9, 100%, $E$9)</f>
        <v>6.4535</v>
      </c>
      <c r="M417" s="9">
        <f>6.4577 * CHOOSE(CONTROL!$C$32, $C$9, 100%, $E$9)</f>
        <v>6.4577</v>
      </c>
      <c r="N417" s="9">
        <f>6.4535 * CHOOSE(CONTROL!$C$32, $C$9, 100%, $E$9)</f>
        <v>6.4535</v>
      </c>
      <c r="O417" s="9">
        <f>6.4577 * CHOOSE(CONTROL!$C$32, $C$9, 100%, $E$9)</f>
        <v>6.4577</v>
      </c>
    </row>
    <row r="418" spans="1:15" ht="15.75" x14ac:dyDescent="0.25">
      <c r="A418" s="14">
        <v>53600</v>
      </c>
      <c r="B418" s="10">
        <f>7.0396 * CHOOSE(CONTROL!$C$32, $C$9, 100%, $E$9)</f>
        <v>7.0396000000000001</v>
      </c>
      <c r="C418" s="10">
        <f>7.0396 * CHOOSE(CONTROL!$C$32, $C$9, 100%, $E$9)</f>
        <v>7.0396000000000001</v>
      </c>
      <c r="D418" s="10">
        <f>7.0408 * CHOOSE(CONTROL!$C$32, $C$9, 100%, $E$9)</f>
        <v>7.0407999999999999</v>
      </c>
      <c r="E418" s="9">
        <f>6.4377 * CHOOSE(CONTROL!$C$32, $C$9, 100%, $E$9)</f>
        <v>6.4377000000000004</v>
      </c>
      <c r="F418" s="9">
        <f>6.4377 * CHOOSE(CONTROL!$C$32, $C$9, 100%, $E$9)</f>
        <v>6.4377000000000004</v>
      </c>
      <c r="G418" s="9">
        <f>6.4419 * CHOOSE(CONTROL!$C$32, $C$9, 100%, $E$9)</f>
        <v>6.4419000000000004</v>
      </c>
      <c r="H418" s="9">
        <f>13.3666 * CHOOSE(CONTROL!$C$32, $C$9, 100%, $E$9)</f>
        <v>13.3666</v>
      </c>
      <c r="I418" s="9">
        <f>13.3708 * CHOOSE(CONTROL!$C$32, $C$9, 100%, $E$9)</f>
        <v>13.370799999999999</v>
      </c>
      <c r="J418" s="9">
        <f>13.3666 * CHOOSE(CONTROL!$C$32, $C$9, 100%, $E$9)</f>
        <v>13.3666</v>
      </c>
      <c r="K418" s="9">
        <f>13.3708 * CHOOSE(CONTROL!$C$32, $C$9, 100%, $E$9)</f>
        <v>13.370799999999999</v>
      </c>
      <c r="L418" s="9">
        <f>6.4377 * CHOOSE(CONTROL!$C$32, $C$9, 100%, $E$9)</f>
        <v>6.4377000000000004</v>
      </c>
      <c r="M418" s="9">
        <f>6.4419 * CHOOSE(CONTROL!$C$32, $C$9, 100%, $E$9)</f>
        <v>6.4419000000000004</v>
      </c>
      <c r="N418" s="9">
        <f>6.4377 * CHOOSE(CONTROL!$C$32, $C$9, 100%, $E$9)</f>
        <v>6.4377000000000004</v>
      </c>
      <c r="O418" s="9">
        <f>6.4419 * CHOOSE(CONTROL!$C$32, $C$9, 100%, $E$9)</f>
        <v>6.4419000000000004</v>
      </c>
    </row>
    <row r="419" spans="1:15" ht="15.75" x14ac:dyDescent="0.25">
      <c r="A419" s="14">
        <v>53631</v>
      </c>
      <c r="B419" s="10">
        <f>7.0468 * CHOOSE(CONTROL!$C$32, $C$9, 100%, $E$9)</f>
        <v>7.0468000000000002</v>
      </c>
      <c r="C419" s="10">
        <f>7.0468 * CHOOSE(CONTROL!$C$32, $C$9, 100%, $E$9)</f>
        <v>7.0468000000000002</v>
      </c>
      <c r="D419" s="10">
        <f>7.0478 * CHOOSE(CONTROL!$C$32, $C$9, 100%, $E$9)</f>
        <v>7.0477999999999996</v>
      </c>
      <c r="E419" s="9">
        <f>6.4789 * CHOOSE(CONTROL!$C$32, $C$9, 100%, $E$9)</f>
        <v>6.4789000000000003</v>
      </c>
      <c r="F419" s="9">
        <f>6.4789 * CHOOSE(CONTROL!$C$32, $C$9, 100%, $E$9)</f>
        <v>6.4789000000000003</v>
      </c>
      <c r="G419" s="9">
        <f>6.4821 * CHOOSE(CONTROL!$C$32, $C$9, 100%, $E$9)</f>
        <v>6.4821</v>
      </c>
      <c r="H419" s="9">
        <f>13.3945 * CHOOSE(CONTROL!$C$32, $C$9, 100%, $E$9)</f>
        <v>13.394500000000001</v>
      </c>
      <c r="I419" s="9">
        <f>13.3977 * CHOOSE(CONTROL!$C$32, $C$9, 100%, $E$9)</f>
        <v>13.3977</v>
      </c>
      <c r="J419" s="9">
        <f>13.3945 * CHOOSE(CONTROL!$C$32, $C$9, 100%, $E$9)</f>
        <v>13.394500000000001</v>
      </c>
      <c r="K419" s="9">
        <f>13.3977 * CHOOSE(CONTROL!$C$32, $C$9, 100%, $E$9)</f>
        <v>13.3977</v>
      </c>
      <c r="L419" s="9">
        <f>6.4789 * CHOOSE(CONTROL!$C$32, $C$9, 100%, $E$9)</f>
        <v>6.4789000000000003</v>
      </c>
      <c r="M419" s="9">
        <f>6.4821 * CHOOSE(CONTROL!$C$32, $C$9, 100%, $E$9)</f>
        <v>6.4821</v>
      </c>
      <c r="N419" s="9">
        <f>6.4789 * CHOOSE(CONTROL!$C$32, $C$9, 100%, $E$9)</f>
        <v>6.4789000000000003</v>
      </c>
      <c r="O419" s="9">
        <f>6.4821 * CHOOSE(CONTROL!$C$32, $C$9, 100%, $E$9)</f>
        <v>6.4821</v>
      </c>
    </row>
    <row r="420" spans="1:15" ht="15.75" x14ac:dyDescent="0.25">
      <c r="A420" s="14">
        <v>53661</v>
      </c>
      <c r="B420" s="10">
        <f>7.0499 * CHOOSE(CONTROL!$C$32, $C$9, 100%, $E$9)</f>
        <v>7.0499000000000001</v>
      </c>
      <c r="C420" s="10">
        <f>7.0499 * CHOOSE(CONTROL!$C$32, $C$9, 100%, $E$9)</f>
        <v>7.0499000000000001</v>
      </c>
      <c r="D420" s="10">
        <f>7.0508 * CHOOSE(CONTROL!$C$32, $C$9, 100%, $E$9)</f>
        <v>7.0507999999999997</v>
      </c>
      <c r="E420" s="9">
        <f>6.5083 * CHOOSE(CONTROL!$C$32, $C$9, 100%, $E$9)</f>
        <v>6.5083000000000002</v>
      </c>
      <c r="F420" s="9">
        <f>6.5083 * CHOOSE(CONTROL!$C$32, $C$9, 100%, $E$9)</f>
        <v>6.5083000000000002</v>
      </c>
      <c r="G420" s="9">
        <f>6.5115 * CHOOSE(CONTROL!$C$32, $C$9, 100%, $E$9)</f>
        <v>6.5114999999999998</v>
      </c>
      <c r="H420" s="9">
        <f>13.4224 * CHOOSE(CONTROL!$C$32, $C$9, 100%, $E$9)</f>
        <v>13.4224</v>
      </c>
      <c r="I420" s="9">
        <f>13.4256 * CHOOSE(CONTROL!$C$32, $C$9, 100%, $E$9)</f>
        <v>13.425599999999999</v>
      </c>
      <c r="J420" s="9">
        <f>13.4224 * CHOOSE(CONTROL!$C$32, $C$9, 100%, $E$9)</f>
        <v>13.4224</v>
      </c>
      <c r="K420" s="9">
        <f>13.4256 * CHOOSE(CONTROL!$C$32, $C$9, 100%, $E$9)</f>
        <v>13.425599999999999</v>
      </c>
      <c r="L420" s="9">
        <f>6.5083 * CHOOSE(CONTROL!$C$32, $C$9, 100%, $E$9)</f>
        <v>6.5083000000000002</v>
      </c>
      <c r="M420" s="9">
        <f>6.5115 * CHOOSE(CONTROL!$C$32, $C$9, 100%, $E$9)</f>
        <v>6.5114999999999998</v>
      </c>
      <c r="N420" s="9">
        <f>6.5083 * CHOOSE(CONTROL!$C$32, $C$9, 100%, $E$9)</f>
        <v>6.5083000000000002</v>
      </c>
      <c r="O420" s="9">
        <f>6.5115 * CHOOSE(CONTROL!$C$32, $C$9, 100%, $E$9)</f>
        <v>6.5114999999999998</v>
      </c>
    </row>
    <row r="421" spans="1:15" ht="15.75" x14ac:dyDescent="0.25">
      <c r="A421" s="14">
        <v>53692</v>
      </c>
      <c r="B421" s="10">
        <f>7.0499 * CHOOSE(CONTROL!$C$32, $C$9, 100%, $E$9)</f>
        <v>7.0499000000000001</v>
      </c>
      <c r="C421" s="10">
        <f>7.0499 * CHOOSE(CONTROL!$C$32, $C$9, 100%, $E$9)</f>
        <v>7.0499000000000001</v>
      </c>
      <c r="D421" s="10">
        <f>7.0508 * CHOOSE(CONTROL!$C$32, $C$9, 100%, $E$9)</f>
        <v>7.0507999999999997</v>
      </c>
      <c r="E421" s="9">
        <f>6.44 * CHOOSE(CONTROL!$C$32, $C$9, 100%, $E$9)</f>
        <v>6.44</v>
      </c>
      <c r="F421" s="9">
        <f>6.44 * CHOOSE(CONTROL!$C$32, $C$9, 100%, $E$9)</f>
        <v>6.44</v>
      </c>
      <c r="G421" s="9">
        <f>6.4433 * CHOOSE(CONTROL!$C$32, $C$9, 100%, $E$9)</f>
        <v>6.4432999999999998</v>
      </c>
      <c r="H421" s="9">
        <f>13.4503 * CHOOSE(CONTROL!$C$32, $C$9, 100%, $E$9)</f>
        <v>13.4503</v>
      </c>
      <c r="I421" s="9">
        <f>13.4536 * CHOOSE(CONTROL!$C$32, $C$9, 100%, $E$9)</f>
        <v>13.4536</v>
      </c>
      <c r="J421" s="9">
        <f>13.4503 * CHOOSE(CONTROL!$C$32, $C$9, 100%, $E$9)</f>
        <v>13.4503</v>
      </c>
      <c r="K421" s="9">
        <f>13.4536 * CHOOSE(CONTROL!$C$32, $C$9, 100%, $E$9)</f>
        <v>13.4536</v>
      </c>
      <c r="L421" s="9">
        <f>6.44 * CHOOSE(CONTROL!$C$32, $C$9, 100%, $E$9)</f>
        <v>6.44</v>
      </c>
      <c r="M421" s="9">
        <f>6.4433 * CHOOSE(CONTROL!$C$32, $C$9, 100%, $E$9)</f>
        <v>6.4432999999999998</v>
      </c>
      <c r="N421" s="9">
        <f>6.44 * CHOOSE(CONTROL!$C$32, $C$9, 100%, $E$9)</f>
        <v>6.44</v>
      </c>
      <c r="O421" s="9">
        <f>6.4433 * CHOOSE(CONTROL!$C$32, $C$9, 100%, $E$9)</f>
        <v>6.4432999999999998</v>
      </c>
    </row>
    <row r="422" spans="1:15" ht="15.75" x14ac:dyDescent="0.25">
      <c r="A422" s="14">
        <v>53723</v>
      </c>
      <c r="B422" s="10">
        <f>7.109 * CHOOSE(CONTROL!$C$32, $C$9, 100%, $E$9)</f>
        <v>7.109</v>
      </c>
      <c r="C422" s="10">
        <f>7.109 * CHOOSE(CONTROL!$C$32, $C$9, 100%, $E$9)</f>
        <v>7.109</v>
      </c>
      <c r="D422" s="10">
        <f>7.1099 * CHOOSE(CONTROL!$C$32, $C$9, 100%, $E$9)</f>
        <v>7.1098999999999997</v>
      </c>
      <c r="E422" s="9">
        <f>6.5337 * CHOOSE(CONTROL!$C$32, $C$9, 100%, $E$9)</f>
        <v>6.5336999999999996</v>
      </c>
      <c r="F422" s="9">
        <f>6.5337 * CHOOSE(CONTROL!$C$32, $C$9, 100%, $E$9)</f>
        <v>6.5336999999999996</v>
      </c>
      <c r="G422" s="9">
        <f>6.5369 * CHOOSE(CONTROL!$C$32, $C$9, 100%, $E$9)</f>
        <v>6.5369000000000002</v>
      </c>
      <c r="H422" s="9">
        <f>13.4784 * CHOOSE(CONTROL!$C$32, $C$9, 100%, $E$9)</f>
        <v>13.478400000000001</v>
      </c>
      <c r="I422" s="9">
        <f>13.4816 * CHOOSE(CONTROL!$C$32, $C$9, 100%, $E$9)</f>
        <v>13.4816</v>
      </c>
      <c r="J422" s="9">
        <f>13.4784 * CHOOSE(CONTROL!$C$32, $C$9, 100%, $E$9)</f>
        <v>13.478400000000001</v>
      </c>
      <c r="K422" s="9">
        <f>13.4816 * CHOOSE(CONTROL!$C$32, $C$9, 100%, $E$9)</f>
        <v>13.4816</v>
      </c>
      <c r="L422" s="9">
        <f>6.5337 * CHOOSE(CONTROL!$C$32, $C$9, 100%, $E$9)</f>
        <v>6.5336999999999996</v>
      </c>
      <c r="M422" s="9">
        <f>6.5369 * CHOOSE(CONTROL!$C$32, $C$9, 100%, $E$9)</f>
        <v>6.5369000000000002</v>
      </c>
      <c r="N422" s="9">
        <f>6.5337 * CHOOSE(CONTROL!$C$32, $C$9, 100%, $E$9)</f>
        <v>6.5336999999999996</v>
      </c>
      <c r="O422" s="9">
        <f>6.5369 * CHOOSE(CONTROL!$C$32, $C$9, 100%, $E$9)</f>
        <v>6.5369000000000002</v>
      </c>
    </row>
    <row r="423" spans="1:15" ht="15.75" x14ac:dyDescent="0.25">
      <c r="A423" s="14">
        <v>53751</v>
      </c>
      <c r="B423" s="10">
        <f>7.106 * CHOOSE(CONTROL!$C$32, $C$9, 100%, $E$9)</f>
        <v>7.1059999999999999</v>
      </c>
      <c r="C423" s="10">
        <f>7.106 * CHOOSE(CONTROL!$C$32, $C$9, 100%, $E$9)</f>
        <v>7.1059999999999999</v>
      </c>
      <c r="D423" s="10">
        <f>7.1069 * CHOOSE(CONTROL!$C$32, $C$9, 100%, $E$9)</f>
        <v>7.1069000000000004</v>
      </c>
      <c r="E423" s="9">
        <f>6.3987 * CHOOSE(CONTROL!$C$32, $C$9, 100%, $E$9)</f>
        <v>6.3986999999999998</v>
      </c>
      <c r="F423" s="9">
        <f>6.3987 * CHOOSE(CONTROL!$C$32, $C$9, 100%, $E$9)</f>
        <v>6.3986999999999998</v>
      </c>
      <c r="G423" s="9">
        <f>6.4019 * CHOOSE(CONTROL!$C$32, $C$9, 100%, $E$9)</f>
        <v>6.4019000000000004</v>
      </c>
      <c r="H423" s="9">
        <f>13.5064 * CHOOSE(CONTROL!$C$32, $C$9, 100%, $E$9)</f>
        <v>13.506399999999999</v>
      </c>
      <c r="I423" s="9">
        <f>13.5097 * CHOOSE(CONTROL!$C$32, $C$9, 100%, $E$9)</f>
        <v>13.5097</v>
      </c>
      <c r="J423" s="9">
        <f>13.5064 * CHOOSE(CONTROL!$C$32, $C$9, 100%, $E$9)</f>
        <v>13.506399999999999</v>
      </c>
      <c r="K423" s="9">
        <f>13.5097 * CHOOSE(CONTROL!$C$32, $C$9, 100%, $E$9)</f>
        <v>13.5097</v>
      </c>
      <c r="L423" s="9">
        <f>6.3987 * CHOOSE(CONTROL!$C$32, $C$9, 100%, $E$9)</f>
        <v>6.3986999999999998</v>
      </c>
      <c r="M423" s="9">
        <f>6.4019 * CHOOSE(CONTROL!$C$32, $C$9, 100%, $E$9)</f>
        <v>6.4019000000000004</v>
      </c>
      <c r="N423" s="9">
        <f>6.3987 * CHOOSE(CONTROL!$C$32, $C$9, 100%, $E$9)</f>
        <v>6.3986999999999998</v>
      </c>
      <c r="O423" s="9">
        <f>6.4019 * CHOOSE(CONTROL!$C$32, $C$9, 100%, $E$9)</f>
        <v>6.4019000000000004</v>
      </c>
    </row>
    <row r="424" spans="1:15" ht="15.75" x14ac:dyDescent="0.25">
      <c r="A424" s="14">
        <v>53782</v>
      </c>
      <c r="B424" s="10">
        <f>7.1029 * CHOOSE(CONTROL!$C$32, $C$9, 100%, $E$9)</f>
        <v>7.1029</v>
      </c>
      <c r="C424" s="10">
        <f>7.1029 * CHOOSE(CONTROL!$C$32, $C$9, 100%, $E$9)</f>
        <v>7.1029</v>
      </c>
      <c r="D424" s="10">
        <f>7.1039 * CHOOSE(CONTROL!$C$32, $C$9, 100%, $E$9)</f>
        <v>7.1039000000000003</v>
      </c>
      <c r="E424" s="9">
        <f>6.5013 * CHOOSE(CONTROL!$C$32, $C$9, 100%, $E$9)</f>
        <v>6.5012999999999996</v>
      </c>
      <c r="F424" s="9">
        <f>6.5013 * CHOOSE(CONTROL!$C$32, $C$9, 100%, $E$9)</f>
        <v>6.5012999999999996</v>
      </c>
      <c r="G424" s="9">
        <f>6.5045 * CHOOSE(CONTROL!$C$32, $C$9, 100%, $E$9)</f>
        <v>6.5045000000000002</v>
      </c>
      <c r="H424" s="9">
        <f>13.5346 * CHOOSE(CONTROL!$C$32, $C$9, 100%, $E$9)</f>
        <v>13.534599999999999</v>
      </c>
      <c r="I424" s="9">
        <f>13.5378 * CHOOSE(CONTROL!$C$32, $C$9, 100%, $E$9)</f>
        <v>13.537800000000001</v>
      </c>
      <c r="J424" s="9">
        <f>13.5346 * CHOOSE(CONTROL!$C$32, $C$9, 100%, $E$9)</f>
        <v>13.534599999999999</v>
      </c>
      <c r="K424" s="9">
        <f>13.5378 * CHOOSE(CONTROL!$C$32, $C$9, 100%, $E$9)</f>
        <v>13.537800000000001</v>
      </c>
      <c r="L424" s="9">
        <f>6.5013 * CHOOSE(CONTROL!$C$32, $C$9, 100%, $E$9)</f>
        <v>6.5012999999999996</v>
      </c>
      <c r="M424" s="9">
        <f>6.5045 * CHOOSE(CONTROL!$C$32, $C$9, 100%, $E$9)</f>
        <v>6.5045000000000002</v>
      </c>
      <c r="N424" s="9">
        <f>6.5013 * CHOOSE(CONTROL!$C$32, $C$9, 100%, $E$9)</f>
        <v>6.5012999999999996</v>
      </c>
      <c r="O424" s="9">
        <f>6.5045 * CHOOSE(CONTROL!$C$32, $C$9, 100%, $E$9)</f>
        <v>6.5045000000000002</v>
      </c>
    </row>
    <row r="425" spans="1:15" ht="15.75" x14ac:dyDescent="0.25">
      <c r="A425" s="14">
        <v>53812</v>
      </c>
      <c r="B425" s="10">
        <f>7.1038 * CHOOSE(CONTROL!$C$32, $C$9, 100%, $E$9)</f>
        <v>7.1037999999999997</v>
      </c>
      <c r="C425" s="10">
        <f>7.1038 * CHOOSE(CONTROL!$C$32, $C$9, 100%, $E$9)</f>
        <v>7.1037999999999997</v>
      </c>
      <c r="D425" s="10">
        <f>7.1048 * CHOOSE(CONTROL!$C$32, $C$9, 100%, $E$9)</f>
        <v>7.1048</v>
      </c>
      <c r="E425" s="9">
        <f>6.6096 * CHOOSE(CONTROL!$C$32, $C$9, 100%, $E$9)</f>
        <v>6.6096000000000004</v>
      </c>
      <c r="F425" s="9">
        <f>6.6096 * CHOOSE(CONTROL!$C$32, $C$9, 100%, $E$9)</f>
        <v>6.6096000000000004</v>
      </c>
      <c r="G425" s="9">
        <f>6.6128 * CHOOSE(CONTROL!$C$32, $C$9, 100%, $E$9)</f>
        <v>6.6128</v>
      </c>
      <c r="H425" s="9">
        <f>13.5628 * CHOOSE(CONTROL!$C$32, $C$9, 100%, $E$9)</f>
        <v>13.562799999999999</v>
      </c>
      <c r="I425" s="9">
        <f>13.566 * CHOOSE(CONTROL!$C$32, $C$9, 100%, $E$9)</f>
        <v>13.566000000000001</v>
      </c>
      <c r="J425" s="9">
        <f>13.5628 * CHOOSE(CONTROL!$C$32, $C$9, 100%, $E$9)</f>
        <v>13.562799999999999</v>
      </c>
      <c r="K425" s="9">
        <f>13.566 * CHOOSE(CONTROL!$C$32, $C$9, 100%, $E$9)</f>
        <v>13.566000000000001</v>
      </c>
      <c r="L425" s="9">
        <f>6.6096 * CHOOSE(CONTROL!$C$32, $C$9, 100%, $E$9)</f>
        <v>6.6096000000000004</v>
      </c>
      <c r="M425" s="9">
        <f>6.6128 * CHOOSE(CONTROL!$C$32, $C$9, 100%, $E$9)</f>
        <v>6.6128</v>
      </c>
      <c r="N425" s="9">
        <f>6.6096 * CHOOSE(CONTROL!$C$32, $C$9, 100%, $E$9)</f>
        <v>6.6096000000000004</v>
      </c>
      <c r="O425" s="9">
        <f>6.6128 * CHOOSE(CONTROL!$C$32, $C$9, 100%, $E$9)</f>
        <v>6.6128</v>
      </c>
    </row>
    <row r="426" spans="1:15" ht="15.75" x14ac:dyDescent="0.25">
      <c r="A426" s="14">
        <v>53843</v>
      </c>
      <c r="B426" s="10">
        <f>7.1038 * CHOOSE(CONTROL!$C$32, $C$9, 100%, $E$9)</f>
        <v>7.1037999999999997</v>
      </c>
      <c r="C426" s="10">
        <f>7.1038 * CHOOSE(CONTROL!$C$32, $C$9, 100%, $E$9)</f>
        <v>7.1037999999999997</v>
      </c>
      <c r="D426" s="10">
        <f>7.105 * CHOOSE(CONTROL!$C$32, $C$9, 100%, $E$9)</f>
        <v>7.1050000000000004</v>
      </c>
      <c r="E426" s="9">
        <f>6.6518 * CHOOSE(CONTROL!$C$32, $C$9, 100%, $E$9)</f>
        <v>6.6517999999999997</v>
      </c>
      <c r="F426" s="9">
        <f>6.6518 * CHOOSE(CONTROL!$C$32, $C$9, 100%, $E$9)</f>
        <v>6.6517999999999997</v>
      </c>
      <c r="G426" s="9">
        <f>6.656 * CHOOSE(CONTROL!$C$32, $C$9, 100%, $E$9)</f>
        <v>6.6559999999999997</v>
      </c>
      <c r="H426" s="9">
        <f>13.591 * CHOOSE(CONTROL!$C$32, $C$9, 100%, $E$9)</f>
        <v>13.590999999999999</v>
      </c>
      <c r="I426" s="9">
        <f>13.5952 * CHOOSE(CONTROL!$C$32, $C$9, 100%, $E$9)</f>
        <v>13.5952</v>
      </c>
      <c r="J426" s="9">
        <f>13.591 * CHOOSE(CONTROL!$C$32, $C$9, 100%, $E$9)</f>
        <v>13.590999999999999</v>
      </c>
      <c r="K426" s="9">
        <f>13.5952 * CHOOSE(CONTROL!$C$32, $C$9, 100%, $E$9)</f>
        <v>13.5952</v>
      </c>
      <c r="L426" s="9">
        <f>6.6518 * CHOOSE(CONTROL!$C$32, $C$9, 100%, $E$9)</f>
        <v>6.6517999999999997</v>
      </c>
      <c r="M426" s="9">
        <f>6.656 * CHOOSE(CONTROL!$C$32, $C$9, 100%, $E$9)</f>
        <v>6.6559999999999997</v>
      </c>
      <c r="N426" s="9">
        <f>6.6518 * CHOOSE(CONTROL!$C$32, $C$9, 100%, $E$9)</f>
        <v>6.6517999999999997</v>
      </c>
      <c r="O426" s="9">
        <f>6.656 * CHOOSE(CONTROL!$C$32, $C$9, 100%, $E$9)</f>
        <v>6.6559999999999997</v>
      </c>
    </row>
    <row r="427" spans="1:15" ht="15.75" x14ac:dyDescent="0.25">
      <c r="A427" s="14">
        <v>53873</v>
      </c>
      <c r="B427" s="10">
        <f>7.1099 * CHOOSE(CONTROL!$C$32, $C$9, 100%, $E$9)</f>
        <v>7.1098999999999997</v>
      </c>
      <c r="C427" s="10">
        <f>7.1099 * CHOOSE(CONTROL!$C$32, $C$9, 100%, $E$9)</f>
        <v>7.1098999999999997</v>
      </c>
      <c r="D427" s="10">
        <f>7.1111 * CHOOSE(CONTROL!$C$32, $C$9, 100%, $E$9)</f>
        <v>7.1111000000000004</v>
      </c>
      <c r="E427" s="9">
        <f>6.6138 * CHOOSE(CONTROL!$C$32, $C$9, 100%, $E$9)</f>
        <v>6.6138000000000003</v>
      </c>
      <c r="F427" s="9">
        <f>6.6138 * CHOOSE(CONTROL!$C$32, $C$9, 100%, $E$9)</f>
        <v>6.6138000000000003</v>
      </c>
      <c r="G427" s="9">
        <f>6.618 * CHOOSE(CONTROL!$C$32, $C$9, 100%, $E$9)</f>
        <v>6.6180000000000003</v>
      </c>
      <c r="H427" s="9">
        <f>13.6194 * CHOOSE(CONTROL!$C$32, $C$9, 100%, $E$9)</f>
        <v>13.619400000000001</v>
      </c>
      <c r="I427" s="9">
        <f>13.6236 * CHOOSE(CONTROL!$C$32, $C$9, 100%, $E$9)</f>
        <v>13.6236</v>
      </c>
      <c r="J427" s="9">
        <f>13.6194 * CHOOSE(CONTROL!$C$32, $C$9, 100%, $E$9)</f>
        <v>13.619400000000001</v>
      </c>
      <c r="K427" s="9">
        <f>13.6236 * CHOOSE(CONTROL!$C$32, $C$9, 100%, $E$9)</f>
        <v>13.6236</v>
      </c>
      <c r="L427" s="9">
        <f>6.6138 * CHOOSE(CONTROL!$C$32, $C$9, 100%, $E$9)</f>
        <v>6.6138000000000003</v>
      </c>
      <c r="M427" s="9">
        <f>6.618 * CHOOSE(CONTROL!$C$32, $C$9, 100%, $E$9)</f>
        <v>6.6180000000000003</v>
      </c>
      <c r="N427" s="9">
        <f>6.6138 * CHOOSE(CONTROL!$C$32, $C$9, 100%, $E$9)</f>
        <v>6.6138000000000003</v>
      </c>
      <c r="O427" s="9">
        <f>6.618 * CHOOSE(CONTROL!$C$32, $C$9, 100%, $E$9)</f>
        <v>6.6180000000000003</v>
      </c>
    </row>
    <row r="428" spans="1:15" ht="15.75" x14ac:dyDescent="0.25">
      <c r="A428" s="14">
        <v>53904</v>
      </c>
      <c r="B428" s="10">
        <f>7.2136 * CHOOSE(CONTROL!$C$32, $C$9, 100%, $E$9)</f>
        <v>7.2135999999999996</v>
      </c>
      <c r="C428" s="10">
        <f>7.2136 * CHOOSE(CONTROL!$C$32, $C$9, 100%, $E$9)</f>
        <v>7.2135999999999996</v>
      </c>
      <c r="D428" s="10">
        <f>7.2149 * CHOOSE(CONTROL!$C$32, $C$9, 100%, $E$9)</f>
        <v>7.2149000000000001</v>
      </c>
      <c r="E428" s="9">
        <f>6.6924 * CHOOSE(CONTROL!$C$32, $C$9, 100%, $E$9)</f>
        <v>6.6924000000000001</v>
      </c>
      <c r="F428" s="9">
        <f>6.6924 * CHOOSE(CONTROL!$C$32, $C$9, 100%, $E$9)</f>
        <v>6.6924000000000001</v>
      </c>
      <c r="G428" s="9">
        <f>6.6966 * CHOOSE(CONTROL!$C$32, $C$9, 100%, $E$9)</f>
        <v>6.6966000000000001</v>
      </c>
      <c r="H428" s="9">
        <f>13.6477 * CHOOSE(CONTROL!$C$32, $C$9, 100%, $E$9)</f>
        <v>13.6477</v>
      </c>
      <c r="I428" s="9">
        <f>13.6519 * CHOOSE(CONTROL!$C$32, $C$9, 100%, $E$9)</f>
        <v>13.651899999999999</v>
      </c>
      <c r="J428" s="9">
        <f>13.6477 * CHOOSE(CONTROL!$C$32, $C$9, 100%, $E$9)</f>
        <v>13.6477</v>
      </c>
      <c r="K428" s="9">
        <f>13.6519 * CHOOSE(CONTROL!$C$32, $C$9, 100%, $E$9)</f>
        <v>13.651899999999999</v>
      </c>
      <c r="L428" s="9">
        <f>6.6924 * CHOOSE(CONTROL!$C$32, $C$9, 100%, $E$9)</f>
        <v>6.6924000000000001</v>
      </c>
      <c r="M428" s="9">
        <f>6.6966 * CHOOSE(CONTROL!$C$32, $C$9, 100%, $E$9)</f>
        <v>6.6966000000000001</v>
      </c>
      <c r="N428" s="9">
        <f>6.6924 * CHOOSE(CONTROL!$C$32, $C$9, 100%, $E$9)</f>
        <v>6.6924000000000001</v>
      </c>
      <c r="O428" s="9">
        <f>6.6966 * CHOOSE(CONTROL!$C$32, $C$9, 100%, $E$9)</f>
        <v>6.6966000000000001</v>
      </c>
    </row>
    <row r="429" spans="1:15" ht="15.75" x14ac:dyDescent="0.25">
      <c r="A429" s="14">
        <v>53935</v>
      </c>
      <c r="B429" s="10">
        <f>7.2203 * CHOOSE(CONTROL!$C$32, $C$9, 100%, $E$9)</f>
        <v>7.2202999999999999</v>
      </c>
      <c r="C429" s="10">
        <f>7.2203 * CHOOSE(CONTROL!$C$32, $C$9, 100%, $E$9)</f>
        <v>7.2202999999999999</v>
      </c>
      <c r="D429" s="10">
        <f>7.2215 * CHOOSE(CONTROL!$C$32, $C$9, 100%, $E$9)</f>
        <v>7.2214999999999998</v>
      </c>
      <c r="E429" s="9">
        <f>6.5705 * CHOOSE(CONTROL!$C$32, $C$9, 100%, $E$9)</f>
        <v>6.5705</v>
      </c>
      <c r="F429" s="9">
        <f>6.5705 * CHOOSE(CONTROL!$C$32, $C$9, 100%, $E$9)</f>
        <v>6.5705</v>
      </c>
      <c r="G429" s="9">
        <f>6.5747 * CHOOSE(CONTROL!$C$32, $C$9, 100%, $E$9)</f>
        <v>6.5747</v>
      </c>
      <c r="H429" s="9">
        <f>13.6762 * CHOOSE(CONTROL!$C$32, $C$9, 100%, $E$9)</f>
        <v>13.6762</v>
      </c>
      <c r="I429" s="9">
        <f>13.6804 * CHOOSE(CONTROL!$C$32, $C$9, 100%, $E$9)</f>
        <v>13.680400000000001</v>
      </c>
      <c r="J429" s="9">
        <f>13.6762 * CHOOSE(CONTROL!$C$32, $C$9, 100%, $E$9)</f>
        <v>13.6762</v>
      </c>
      <c r="K429" s="9">
        <f>13.6804 * CHOOSE(CONTROL!$C$32, $C$9, 100%, $E$9)</f>
        <v>13.680400000000001</v>
      </c>
      <c r="L429" s="9">
        <f>6.5705 * CHOOSE(CONTROL!$C$32, $C$9, 100%, $E$9)</f>
        <v>6.5705</v>
      </c>
      <c r="M429" s="9">
        <f>6.5747 * CHOOSE(CONTROL!$C$32, $C$9, 100%, $E$9)</f>
        <v>6.5747</v>
      </c>
      <c r="N429" s="9">
        <f>6.5705 * CHOOSE(CONTROL!$C$32, $C$9, 100%, $E$9)</f>
        <v>6.5705</v>
      </c>
      <c r="O429" s="9">
        <f>6.5747 * CHOOSE(CONTROL!$C$32, $C$9, 100%, $E$9)</f>
        <v>6.5747</v>
      </c>
    </row>
    <row r="430" spans="1:15" ht="15.75" x14ac:dyDescent="0.25">
      <c r="A430" s="14">
        <v>53965</v>
      </c>
      <c r="B430" s="10">
        <f>7.2173 * CHOOSE(CONTROL!$C$32, $C$9, 100%, $E$9)</f>
        <v>7.2172999999999998</v>
      </c>
      <c r="C430" s="10">
        <f>7.2173 * CHOOSE(CONTROL!$C$32, $C$9, 100%, $E$9)</f>
        <v>7.2172999999999998</v>
      </c>
      <c r="D430" s="10">
        <f>7.2185 * CHOOSE(CONTROL!$C$32, $C$9, 100%, $E$9)</f>
        <v>7.2184999999999997</v>
      </c>
      <c r="E430" s="9">
        <f>6.5543 * CHOOSE(CONTROL!$C$32, $C$9, 100%, $E$9)</f>
        <v>6.5542999999999996</v>
      </c>
      <c r="F430" s="9">
        <f>6.5543 * CHOOSE(CONTROL!$C$32, $C$9, 100%, $E$9)</f>
        <v>6.5542999999999996</v>
      </c>
      <c r="G430" s="9">
        <f>6.5585 * CHOOSE(CONTROL!$C$32, $C$9, 100%, $E$9)</f>
        <v>6.5585000000000004</v>
      </c>
      <c r="H430" s="9">
        <f>13.7046 * CHOOSE(CONTROL!$C$32, $C$9, 100%, $E$9)</f>
        <v>13.704599999999999</v>
      </c>
      <c r="I430" s="9">
        <f>13.7089 * CHOOSE(CONTROL!$C$32, $C$9, 100%, $E$9)</f>
        <v>13.7089</v>
      </c>
      <c r="J430" s="9">
        <f>13.7046 * CHOOSE(CONTROL!$C$32, $C$9, 100%, $E$9)</f>
        <v>13.704599999999999</v>
      </c>
      <c r="K430" s="9">
        <f>13.7089 * CHOOSE(CONTROL!$C$32, $C$9, 100%, $E$9)</f>
        <v>13.7089</v>
      </c>
      <c r="L430" s="9">
        <f>6.5543 * CHOOSE(CONTROL!$C$32, $C$9, 100%, $E$9)</f>
        <v>6.5542999999999996</v>
      </c>
      <c r="M430" s="9">
        <f>6.5585 * CHOOSE(CONTROL!$C$32, $C$9, 100%, $E$9)</f>
        <v>6.5585000000000004</v>
      </c>
      <c r="N430" s="9">
        <f>6.5543 * CHOOSE(CONTROL!$C$32, $C$9, 100%, $E$9)</f>
        <v>6.5542999999999996</v>
      </c>
      <c r="O430" s="9">
        <f>6.5585 * CHOOSE(CONTROL!$C$32, $C$9, 100%, $E$9)</f>
        <v>6.5585000000000004</v>
      </c>
    </row>
    <row r="431" spans="1:15" ht="15.75" x14ac:dyDescent="0.25">
      <c r="A431" s="14">
        <v>53996</v>
      </c>
      <c r="B431" s="10">
        <f>7.2252 * CHOOSE(CONTROL!$C$32, $C$9, 100%, $E$9)</f>
        <v>7.2252000000000001</v>
      </c>
      <c r="C431" s="10">
        <f>7.2252 * CHOOSE(CONTROL!$C$32, $C$9, 100%, $E$9)</f>
        <v>7.2252000000000001</v>
      </c>
      <c r="D431" s="10">
        <f>7.2262 * CHOOSE(CONTROL!$C$32, $C$9, 100%, $E$9)</f>
        <v>7.2262000000000004</v>
      </c>
      <c r="E431" s="9">
        <f>6.5971 * CHOOSE(CONTROL!$C$32, $C$9, 100%, $E$9)</f>
        <v>6.5971000000000002</v>
      </c>
      <c r="F431" s="9">
        <f>6.5971 * CHOOSE(CONTROL!$C$32, $C$9, 100%, $E$9)</f>
        <v>6.5971000000000002</v>
      </c>
      <c r="G431" s="9">
        <f>6.6003 * CHOOSE(CONTROL!$C$32, $C$9, 100%, $E$9)</f>
        <v>6.6002999999999998</v>
      </c>
      <c r="H431" s="9">
        <f>13.7332 * CHOOSE(CONTROL!$C$32, $C$9, 100%, $E$9)</f>
        <v>13.7332</v>
      </c>
      <c r="I431" s="9">
        <f>13.7364 * CHOOSE(CONTROL!$C$32, $C$9, 100%, $E$9)</f>
        <v>13.7364</v>
      </c>
      <c r="J431" s="9">
        <f>13.7332 * CHOOSE(CONTROL!$C$32, $C$9, 100%, $E$9)</f>
        <v>13.7332</v>
      </c>
      <c r="K431" s="9">
        <f>13.7364 * CHOOSE(CONTROL!$C$32, $C$9, 100%, $E$9)</f>
        <v>13.7364</v>
      </c>
      <c r="L431" s="9">
        <f>6.5971 * CHOOSE(CONTROL!$C$32, $C$9, 100%, $E$9)</f>
        <v>6.5971000000000002</v>
      </c>
      <c r="M431" s="9">
        <f>6.6003 * CHOOSE(CONTROL!$C$32, $C$9, 100%, $E$9)</f>
        <v>6.6002999999999998</v>
      </c>
      <c r="N431" s="9">
        <f>6.5971 * CHOOSE(CONTROL!$C$32, $C$9, 100%, $E$9)</f>
        <v>6.5971000000000002</v>
      </c>
      <c r="O431" s="9">
        <f>6.6003 * CHOOSE(CONTROL!$C$32, $C$9, 100%, $E$9)</f>
        <v>6.6002999999999998</v>
      </c>
    </row>
    <row r="432" spans="1:15" ht="15.75" x14ac:dyDescent="0.25">
      <c r="A432" s="14">
        <v>54026</v>
      </c>
      <c r="B432" s="10">
        <f>7.2282 * CHOOSE(CONTROL!$C$32, $C$9, 100%, $E$9)</f>
        <v>7.2282000000000002</v>
      </c>
      <c r="C432" s="10">
        <f>7.2282 * CHOOSE(CONTROL!$C$32, $C$9, 100%, $E$9)</f>
        <v>7.2282000000000002</v>
      </c>
      <c r="D432" s="10">
        <f>7.2292 * CHOOSE(CONTROL!$C$32, $C$9, 100%, $E$9)</f>
        <v>7.2291999999999996</v>
      </c>
      <c r="E432" s="9">
        <f>6.6274 * CHOOSE(CONTROL!$C$32, $C$9, 100%, $E$9)</f>
        <v>6.6273999999999997</v>
      </c>
      <c r="F432" s="9">
        <f>6.6274 * CHOOSE(CONTROL!$C$32, $C$9, 100%, $E$9)</f>
        <v>6.6273999999999997</v>
      </c>
      <c r="G432" s="9">
        <f>6.6306 * CHOOSE(CONTROL!$C$32, $C$9, 100%, $E$9)</f>
        <v>6.6306000000000003</v>
      </c>
      <c r="H432" s="9">
        <f>13.7618 * CHOOSE(CONTROL!$C$32, $C$9, 100%, $E$9)</f>
        <v>13.761799999999999</v>
      </c>
      <c r="I432" s="9">
        <f>13.765 * CHOOSE(CONTROL!$C$32, $C$9, 100%, $E$9)</f>
        <v>13.765000000000001</v>
      </c>
      <c r="J432" s="9">
        <f>13.7618 * CHOOSE(CONTROL!$C$32, $C$9, 100%, $E$9)</f>
        <v>13.761799999999999</v>
      </c>
      <c r="K432" s="9">
        <f>13.765 * CHOOSE(CONTROL!$C$32, $C$9, 100%, $E$9)</f>
        <v>13.765000000000001</v>
      </c>
      <c r="L432" s="9">
        <f>6.6274 * CHOOSE(CONTROL!$C$32, $C$9, 100%, $E$9)</f>
        <v>6.6273999999999997</v>
      </c>
      <c r="M432" s="9">
        <f>6.6306 * CHOOSE(CONTROL!$C$32, $C$9, 100%, $E$9)</f>
        <v>6.6306000000000003</v>
      </c>
      <c r="N432" s="9">
        <f>6.6274 * CHOOSE(CONTROL!$C$32, $C$9, 100%, $E$9)</f>
        <v>6.6273999999999997</v>
      </c>
      <c r="O432" s="9">
        <f>6.6306 * CHOOSE(CONTROL!$C$32, $C$9, 100%, $E$9)</f>
        <v>6.6306000000000003</v>
      </c>
    </row>
    <row r="433" spans="1:15" ht="15.75" x14ac:dyDescent="0.25">
      <c r="A433" s="14">
        <v>54057</v>
      </c>
      <c r="B433" s="10">
        <f>7.2282 * CHOOSE(CONTROL!$C$32, $C$9, 100%, $E$9)</f>
        <v>7.2282000000000002</v>
      </c>
      <c r="C433" s="10">
        <f>7.2282 * CHOOSE(CONTROL!$C$32, $C$9, 100%, $E$9)</f>
        <v>7.2282000000000002</v>
      </c>
      <c r="D433" s="10">
        <f>7.2292 * CHOOSE(CONTROL!$C$32, $C$9, 100%, $E$9)</f>
        <v>7.2291999999999996</v>
      </c>
      <c r="E433" s="9">
        <f>6.557 * CHOOSE(CONTROL!$C$32, $C$9, 100%, $E$9)</f>
        <v>6.5570000000000004</v>
      </c>
      <c r="F433" s="9">
        <f>6.557 * CHOOSE(CONTROL!$C$32, $C$9, 100%, $E$9)</f>
        <v>6.5570000000000004</v>
      </c>
      <c r="G433" s="9">
        <f>6.5603 * CHOOSE(CONTROL!$C$32, $C$9, 100%, $E$9)</f>
        <v>6.5602999999999998</v>
      </c>
      <c r="H433" s="9">
        <f>13.7905 * CHOOSE(CONTROL!$C$32, $C$9, 100%, $E$9)</f>
        <v>13.7905</v>
      </c>
      <c r="I433" s="9">
        <f>13.7937 * CHOOSE(CONTROL!$C$32, $C$9, 100%, $E$9)</f>
        <v>13.793699999999999</v>
      </c>
      <c r="J433" s="9">
        <f>13.7905 * CHOOSE(CONTROL!$C$32, $C$9, 100%, $E$9)</f>
        <v>13.7905</v>
      </c>
      <c r="K433" s="9">
        <f>13.7937 * CHOOSE(CONTROL!$C$32, $C$9, 100%, $E$9)</f>
        <v>13.793699999999999</v>
      </c>
      <c r="L433" s="9">
        <f>6.557 * CHOOSE(CONTROL!$C$32, $C$9, 100%, $E$9)</f>
        <v>6.5570000000000004</v>
      </c>
      <c r="M433" s="9">
        <f>6.5603 * CHOOSE(CONTROL!$C$32, $C$9, 100%, $E$9)</f>
        <v>6.5602999999999998</v>
      </c>
      <c r="N433" s="9">
        <f>6.557 * CHOOSE(CONTROL!$C$32, $C$9, 100%, $E$9)</f>
        <v>6.5570000000000004</v>
      </c>
      <c r="O433" s="9">
        <f>6.5603 * CHOOSE(CONTROL!$C$32, $C$9, 100%, $E$9)</f>
        <v>6.5602999999999998</v>
      </c>
    </row>
    <row r="434" spans="1:15" ht="15.75" x14ac:dyDescent="0.25">
      <c r="A434" s="14">
        <v>54088</v>
      </c>
      <c r="B434" s="10">
        <f>7.2887 * CHOOSE(CONTROL!$C$32, $C$9, 100%, $E$9)</f>
        <v>7.2887000000000004</v>
      </c>
      <c r="C434" s="10">
        <f>7.2887 * CHOOSE(CONTROL!$C$32, $C$9, 100%, $E$9)</f>
        <v>7.2887000000000004</v>
      </c>
      <c r="D434" s="10">
        <f>7.2897 * CHOOSE(CONTROL!$C$32, $C$9, 100%, $E$9)</f>
        <v>7.2896999999999998</v>
      </c>
      <c r="E434" s="9">
        <f>6.653 * CHOOSE(CONTROL!$C$32, $C$9, 100%, $E$9)</f>
        <v>6.6529999999999996</v>
      </c>
      <c r="F434" s="9">
        <f>6.653 * CHOOSE(CONTROL!$C$32, $C$9, 100%, $E$9)</f>
        <v>6.6529999999999996</v>
      </c>
      <c r="G434" s="9">
        <f>6.6563 * CHOOSE(CONTROL!$C$32, $C$9, 100%, $E$9)</f>
        <v>6.6562999999999999</v>
      </c>
      <c r="H434" s="9">
        <f>13.8192 * CHOOSE(CONTROL!$C$32, $C$9, 100%, $E$9)</f>
        <v>13.8192</v>
      </c>
      <c r="I434" s="9">
        <f>13.8224 * CHOOSE(CONTROL!$C$32, $C$9, 100%, $E$9)</f>
        <v>13.8224</v>
      </c>
      <c r="J434" s="9">
        <f>13.8192 * CHOOSE(CONTROL!$C$32, $C$9, 100%, $E$9)</f>
        <v>13.8192</v>
      </c>
      <c r="K434" s="9">
        <f>13.8224 * CHOOSE(CONTROL!$C$32, $C$9, 100%, $E$9)</f>
        <v>13.8224</v>
      </c>
      <c r="L434" s="9">
        <f>6.653 * CHOOSE(CONTROL!$C$32, $C$9, 100%, $E$9)</f>
        <v>6.6529999999999996</v>
      </c>
      <c r="M434" s="9">
        <f>6.6563 * CHOOSE(CONTROL!$C$32, $C$9, 100%, $E$9)</f>
        <v>6.6562999999999999</v>
      </c>
      <c r="N434" s="9">
        <f>6.653 * CHOOSE(CONTROL!$C$32, $C$9, 100%, $E$9)</f>
        <v>6.6529999999999996</v>
      </c>
      <c r="O434" s="9">
        <f>6.6563 * CHOOSE(CONTROL!$C$32, $C$9, 100%, $E$9)</f>
        <v>6.6562999999999999</v>
      </c>
    </row>
    <row r="435" spans="1:15" ht="15.75" x14ac:dyDescent="0.25">
      <c r="A435" s="14">
        <v>54116</v>
      </c>
      <c r="B435" s="10">
        <f>7.2857 * CHOOSE(CONTROL!$C$32, $C$9, 100%, $E$9)</f>
        <v>7.2857000000000003</v>
      </c>
      <c r="C435" s="10">
        <f>7.2857 * CHOOSE(CONTROL!$C$32, $C$9, 100%, $E$9)</f>
        <v>7.2857000000000003</v>
      </c>
      <c r="D435" s="10">
        <f>7.2867 * CHOOSE(CONTROL!$C$32, $C$9, 100%, $E$9)</f>
        <v>7.2866999999999997</v>
      </c>
      <c r="E435" s="9">
        <f>6.5141 * CHOOSE(CONTROL!$C$32, $C$9, 100%, $E$9)</f>
        <v>6.5141</v>
      </c>
      <c r="F435" s="9">
        <f>6.5141 * CHOOSE(CONTROL!$C$32, $C$9, 100%, $E$9)</f>
        <v>6.5141</v>
      </c>
      <c r="G435" s="9">
        <f>6.5173 * CHOOSE(CONTROL!$C$32, $C$9, 100%, $E$9)</f>
        <v>6.5172999999999996</v>
      </c>
      <c r="H435" s="9">
        <f>13.848 * CHOOSE(CONTROL!$C$32, $C$9, 100%, $E$9)</f>
        <v>13.848000000000001</v>
      </c>
      <c r="I435" s="9">
        <f>13.8512 * CHOOSE(CONTROL!$C$32, $C$9, 100%, $E$9)</f>
        <v>13.8512</v>
      </c>
      <c r="J435" s="9">
        <f>13.848 * CHOOSE(CONTROL!$C$32, $C$9, 100%, $E$9)</f>
        <v>13.848000000000001</v>
      </c>
      <c r="K435" s="9">
        <f>13.8512 * CHOOSE(CONTROL!$C$32, $C$9, 100%, $E$9)</f>
        <v>13.8512</v>
      </c>
      <c r="L435" s="9">
        <f>6.5141 * CHOOSE(CONTROL!$C$32, $C$9, 100%, $E$9)</f>
        <v>6.5141</v>
      </c>
      <c r="M435" s="9">
        <f>6.5173 * CHOOSE(CONTROL!$C$32, $C$9, 100%, $E$9)</f>
        <v>6.5172999999999996</v>
      </c>
      <c r="N435" s="9">
        <f>6.5141 * CHOOSE(CONTROL!$C$32, $C$9, 100%, $E$9)</f>
        <v>6.5141</v>
      </c>
      <c r="O435" s="9">
        <f>6.5173 * CHOOSE(CONTROL!$C$32, $C$9, 100%, $E$9)</f>
        <v>6.5172999999999996</v>
      </c>
    </row>
    <row r="436" spans="1:15" ht="15.75" x14ac:dyDescent="0.25">
      <c r="A436" s="14">
        <v>54148</v>
      </c>
      <c r="B436" s="10">
        <f>7.2827 * CHOOSE(CONTROL!$C$32, $C$9, 100%, $E$9)</f>
        <v>7.2827000000000002</v>
      </c>
      <c r="C436" s="10">
        <f>7.2827 * CHOOSE(CONTROL!$C$32, $C$9, 100%, $E$9)</f>
        <v>7.2827000000000002</v>
      </c>
      <c r="D436" s="10">
        <f>7.2836 * CHOOSE(CONTROL!$C$32, $C$9, 100%, $E$9)</f>
        <v>7.2835999999999999</v>
      </c>
      <c r="E436" s="9">
        <f>6.6198 * CHOOSE(CONTROL!$C$32, $C$9, 100%, $E$9)</f>
        <v>6.6197999999999997</v>
      </c>
      <c r="F436" s="9">
        <f>6.6198 * CHOOSE(CONTROL!$C$32, $C$9, 100%, $E$9)</f>
        <v>6.6197999999999997</v>
      </c>
      <c r="G436" s="9">
        <f>6.6231 * CHOOSE(CONTROL!$C$32, $C$9, 100%, $E$9)</f>
        <v>6.6231</v>
      </c>
      <c r="H436" s="9">
        <f>13.8769 * CHOOSE(CONTROL!$C$32, $C$9, 100%, $E$9)</f>
        <v>13.876899999999999</v>
      </c>
      <c r="I436" s="9">
        <f>13.8801 * CHOOSE(CONTROL!$C$32, $C$9, 100%, $E$9)</f>
        <v>13.880100000000001</v>
      </c>
      <c r="J436" s="9">
        <f>13.8769 * CHOOSE(CONTROL!$C$32, $C$9, 100%, $E$9)</f>
        <v>13.876899999999999</v>
      </c>
      <c r="K436" s="9">
        <f>13.8801 * CHOOSE(CONTROL!$C$32, $C$9, 100%, $E$9)</f>
        <v>13.880100000000001</v>
      </c>
      <c r="L436" s="9">
        <f>6.6198 * CHOOSE(CONTROL!$C$32, $C$9, 100%, $E$9)</f>
        <v>6.6197999999999997</v>
      </c>
      <c r="M436" s="9">
        <f>6.6231 * CHOOSE(CONTROL!$C$32, $C$9, 100%, $E$9)</f>
        <v>6.6231</v>
      </c>
      <c r="N436" s="9">
        <f>6.6198 * CHOOSE(CONTROL!$C$32, $C$9, 100%, $E$9)</f>
        <v>6.6197999999999997</v>
      </c>
      <c r="O436" s="9">
        <f>6.6231 * CHOOSE(CONTROL!$C$32, $C$9, 100%, $E$9)</f>
        <v>6.6231</v>
      </c>
    </row>
    <row r="437" spans="1:15" ht="15.75" x14ac:dyDescent="0.25">
      <c r="A437" s="14">
        <v>54178</v>
      </c>
      <c r="B437" s="10">
        <f>7.2837 * CHOOSE(CONTROL!$C$32, $C$9, 100%, $E$9)</f>
        <v>7.2836999999999996</v>
      </c>
      <c r="C437" s="10">
        <f>7.2837 * CHOOSE(CONTROL!$C$32, $C$9, 100%, $E$9)</f>
        <v>7.2836999999999996</v>
      </c>
      <c r="D437" s="10">
        <f>7.2847 * CHOOSE(CONTROL!$C$32, $C$9, 100%, $E$9)</f>
        <v>7.2847</v>
      </c>
      <c r="E437" s="9">
        <f>6.7315 * CHOOSE(CONTROL!$C$32, $C$9, 100%, $E$9)</f>
        <v>6.7314999999999996</v>
      </c>
      <c r="F437" s="9">
        <f>6.7315 * CHOOSE(CONTROL!$C$32, $C$9, 100%, $E$9)</f>
        <v>6.7314999999999996</v>
      </c>
      <c r="G437" s="9">
        <f>6.7347 * CHOOSE(CONTROL!$C$32, $C$9, 100%, $E$9)</f>
        <v>6.7347000000000001</v>
      </c>
      <c r="H437" s="9">
        <f>13.9058 * CHOOSE(CONTROL!$C$32, $C$9, 100%, $E$9)</f>
        <v>13.905799999999999</v>
      </c>
      <c r="I437" s="9">
        <f>13.909 * CHOOSE(CONTROL!$C$32, $C$9, 100%, $E$9)</f>
        <v>13.909000000000001</v>
      </c>
      <c r="J437" s="9">
        <f>13.9058 * CHOOSE(CONTROL!$C$32, $C$9, 100%, $E$9)</f>
        <v>13.905799999999999</v>
      </c>
      <c r="K437" s="9">
        <f>13.909 * CHOOSE(CONTROL!$C$32, $C$9, 100%, $E$9)</f>
        <v>13.909000000000001</v>
      </c>
      <c r="L437" s="9">
        <f>6.7315 * CHOOSE(CONTROL!$C$32, $C$9, 100%, $E$9)</f>
        <v>6.7314999999999996</v>
      </c>
      <c r="M437" s="9">
        <f>6.7347 * CHOOSE(CONTROL!$C$32, $C$9, 100%, $E$9)</f>
        <v>6.7347000000000001</v>
      </c>
      <c r="N437" s="9">
        <f>6.7315 * CHOOSE(CONTROL!$C$32, $C$9, 100%, $E$9)</f>
        <v>6.7314999999999996</v>
      </c>
      <c r="O437" s="9">
        <f>6.7347 * CHOOSE(CONTROL!$C$32, $C$9, 100%, $E$9)</f>
        <v>6.7347000000000001</v>
      </c>
    </row>
    <row r="438" spans="1:15" ht="15.75" x14ac:dyDescent="0.25">
      <c r="A438" s="14">
        <v>54209</v>
      </c>
      <c r="B438" s="10">
        <f>7.2837 * CHOOSE(CONTROL!$C$32, $C$9, 100%, $E$9)</f>
        <v>7.2836999999999996</v>
      </c>
      <c r="C438" s="10">
        <f>7.2837 * CHOOSE(CONTROL!$C$32, $C$9, 100%, $E$9)</f>
        <v>7.2836999999999996</v>
      </c>
      <c r="D438" s="10">
        <f>7.285 * CHOOSE(CONTROL!$C$32, $C$9, 100%, $E$9)</f>
        <v>7.2850000000000001</v>
      </c>
      <c r="E438" s="9">
        <f>6.7749 * CHOOSE(CONTROL!$C$32, $C$9, 100%, $E$9)</f>
        <v>6.7748999999999997</v>
      </c>
      <c r="F438" s="9">
        <f>6.7749 * CHOOSE(CONTROL!$C$32, $C$9, 100%, $E$9)</f>
        <v>6.7748999999999997</v>
      </c>
      <c r="G438" s="9">
        <f>6.7791 * CHOOSE(CONTROL!$C$32, $C$9, 100%, $E$9)</f>
        <v>6.7790999999999997</v>
      </c>
      <c r="H438" s="9">
        <f>13.9347 * CHOOSE(CONTROL!$C$32, $C$9, 100%, $E$9)</f>
        <v>13.934699999999999</v>
      </c>
      <c r="I438" s="9">
        <f>13.9389 * CHOOSE(CONTROL!$C$32, $C$9, 100%, $E$9)</f>
        <v>13.9389</v>
      </c>
      <c r="J438" s="9">
        <f>13.9347 * CHOOSE(CONTROL!$C$32, $C$9, 100%, $E$9)</f>
        <v>13.934699999999999</v>
      </c>
      <c r="K438" s="9">
        <f>13.9389 * CHOOSE(CONTROL!$C$32, $C$9, 100%, $E$9)</f>
        <v>13.9389</v>
      </c>
      <c r="L438" s="9">
        <f>6.7749 * CHOOSE(CONTROL!$C$32, $C$9, 100%, $E$9)</f>
        <v>6.7748999999999997</v>
      </c>
      <c r="M438" s="9">
        <f>6.7791 * CHOOSE(CONTROL!$C$32, $C$9, 100%, $E$9)</f>
        <v>6.7790999999999997</v>
      </c>
      <c r="N438" s="9">
        <f>6.7749 * CHOOSE(CONTROL!$C$32, $C$9, 100%, $E$9)</f>
        <v>6.7748999999999997</v>
      </c>
      <c r="O438" s="9">
        <f>6.7791 * CHOOSE(CONTROL!$C$32, $C$9, 100%, $E$9)</f>
        <v>6.7790999999999997</v>
      </c>
    </row>
    <row r="439" spans="1:15" ht="15.75" x14ac:dyDescent="0.25">
      <c r="A439" s="14">
        <v>54239</v>
      </c>
      <c r="B439" s="10">
        <f>7.2898 * CHOOSE(CONTROL!$C$32, $C$9, 100%, $E$9)</f>
        <v>7.2897999999999996</v>
      </c>
      <c r="C439" s="10">
        <f>7.2898 * CHOOSE(CONTROL!$C$32, $C$9, 100%, $E$9)</f>
        <v>7.2897999999999996</v>
      </c>
      <c r="D439" s="10">
        <f>7.2911 * CHOOSE(CONTROL!$C$32, $C$9, 100%, $E$9)</f>
        <v>7.2911000000000001</v>
      </c>
      <c r="E439" s="9">
        <f>6.7357 * CHOOSE(CONTROL!$C$32, $C$9, 100%, $E$9)</f>
        <v>6.7356999999999996</v>
      </c>
      <c r="F439" s="9">
        <f>6.7357 * CHOOSE(CONTROL!$C$32, $C$9, 100%, $E$9)</f>
        <v>6.7356999999999996</v>
      </c>
      <c r="G439" s="9">
        <f>6.7399 * CHOOSE(CONTROL!$C$32, $C$9, 100%, $E$9)</f>
        <v>6.7398999999999996</v>
      </c>
      <c r="H439" s="9">
        <f>13.9638 * CHOOSE(CONTROL!$C$32, $C$9, 100%, $E$9)</f>
        <v>13.963800000000001</v>
      </c>
      <c r="I439" s="9">
        <f>13.968 * CHOOSE(CONTROL!$C$32, $C$9, 100%, $E$9)</f>
        <v>13.968</v>
      </c>
      <c r="J439" s="9">
        <f>13.9638 * CHOOSE(CONTROL!$C$32, $C$9, 100%, $E$9)</f>
        <v>13.963800000000001</v>
      </c>
      <c r="K439" s="9">
        <f>13.968 * CHOOSE(CONTROL!$C$32, $C$9, 100%, $E$9)</f>
        <v>13.968</v>
      </c>
      <c r="L439" s="9">
        <f>6.7357 * CHOOSE(CONTROL!$C$32, $C$9, 100%, $E$9)</f>
        <v>6.7356999999999996</v>
      </c>
      <c r="M439" s="9">
        <f>6.7399 * CHOOSE(CONTROL!$C$32, $C$9, 100%, $E$9)</f>
        <v>6.7398999999999996</v>
      </c>
      <c r="N439" s="9">
        <f>6.7357 * CHOOSE(CONTROL!$C$32, $C$9, 100%, $E$9)</f>
        <v>6.7356999999999996</v>
      </c>
      <c r="O439" s="9">
        <f>6.7399 * CHOOSE(CONTROL!$C$32, $C$9, 100%, $E$9)</f>
        <v>6.7398999999999996</v>
      </c>
    </row>
    <row r="440" spans="1:15" ht="15.75" x14ac:dyDescent="0.25">
      <c r="A440" s="14">
        <v>54270</v>
      </c>
      <c r="B440" s="10">
        <f>7.3958 * CHOOSE(CONTROL!$C$32, $C$9, 100%, $E$9)</f>
        <v>7.3958000000000004</v>
      </c>
      <c r="C440" s="10">
        <f>7.3958 * CHOOSE(CONTROL!$C$32, $C$9, 100%, $E$9)</f>
        <v>7.3958000000000004</v>
      </c>
      <c r="D440" s="10">
        <f>7.397 * CHOOSE(CONTROL!$C$32, $C$9, 100%, $E$9)</f>
        <v>7.3970000000000002</v>
      </c>
      <c r="E440" s="9">
        <f>6.8156 * CHOOSE(CONTROL!$C$32, $C$9, 100%, $E$9)</f>
        <v>6.8155999999999999</v>
      </c>
      <c r="F440" s="9">
        <f>6.8156 * CHOOSE(CONTROL!$C$32, $C$9, 100%, $E$9)</f>
        <v>6.8155999999999999</v>
      </c>
      <c r="G440" s="9">
        <f>6.8198 * CHOOSE(CONTROL!$C$32, $C$9, 100%, $E$9)</f>
        <v>6.8197999999999999</v>
      </c>
      <c r="H440" s="9">
        <f>13.9929 * CHOOSE(CONTROL!$C$32, $C$9, 100%, $E$9)</f>
        <v>13.992900000000001</v>
      </c>
      <c r="I440" s="9">
        <f>13.9971 * CHOOSE(CONTROL!$C$32, $C$9, 100%, $E$9)</f>
        <v>13.9971</v>
      </c>
      <c r="J440" s="9">
        <f>13.9929 * CHOOSE(CONTROL!$C$32, $C$9, 100%, $E$9)</f>
        <v>13.992900000000001</v>
      </c>
      <c r="K440" s="9">
        <f>13.9971 * CHOOSE(CONTROL!$C$32, $C$9, 100%, $E$9)</f>
        <v>13.9971</v>
      </c>
      <c r="L440" s="9">
        <f>6.8156 * CHOOSE(CONTROL!$C$32, $C$9, 100%, $E$9)</f>
        <v>6.8155999999999999</v>
      </c>
      <c r="M440" s="9">
        <f>6.8198 * CHOOSE(CONTROL!$C$32, $C$9, 100%, $E$9)</f>
        <v>6.8197999999999999</v>
      </c>
      <c r="N440" s="9">
        <f>6.8156 * CHOOSE(CONTROL!$C$32, $C$9, 100%, $E$9)</f>
        <v>6.8155999999999999</v>
      </c>
      <c r="O440" s="9">
        <f>6.8198 * CHOOSE(CONTROL!$C$32, $C$9, 100%, $E$9)</f>
        <v>6.8197999999999999</v>
      </c>
    </row>
    <row r="441" spans="1:15" ht="15.75" x14ac:dyDescent="0.25">
      <c r="A441" s="14">
        <v>54301</v>
      </c>
      <c r="B441" s="10">
        <f>7.4025 * CHOOSE(CONTROL!$C$32, $C$9, 100%, $E$9)</f>
        <v>7.4024999999999999</v>
      </c>
      <c r="C441" s="10">
        <f>7.4025 * CHOOSE(CONTROL!$C$32, $C$9, 100%, $E$9)</f>
        <v>7.4024999999999999</v>
      </c>
      <c r="D441" s="10">
        <f>7.4037 * CHOOSE(CONTROL!$C$32, $C$9, 100%, $E$9)</f>
        <v>7.4036999999999997</v>
      </c>
      <c r="E441" s="9">
        <f>6.6899 * CHOOSE(CONTROL!$C$32, $C$9, 100%, $E$9)</f>
        <v>6.6898999999999997</v>
      </c>
      <c r="F441" s="9">
        <f>6.6899 * CHOOSE(CONTROL!$C$32, $C$9, 100%, $E$9)</f>
        <v>6.6898999999999997</v>
      </c>
      <c r="G441" s="9">
        <f>6.6941 * CHOOSE(CONTROL!$C$32, $C$9, 100%, $E$9)</f>
        <v>6.6940999999999997</v>
      </c>
      <c r="H441" s="9">
        <f>14.022 * CHOOSE(CONTROL!$C$32, $C$9, 100%, $E$9)</f>
        <v>14.022</v>
      </c>
      <c r="I441" s="9">
        <f>14.0262 * CHOOSE(CONTROL!$C$32, $C$9, 100%, $E$9)</f>
        <v>14.026199999999999</v>
      </c>
      <c r="J441" s="9">
        <f>14.022 * CHOOSE(CONTROL!$C$32, $C$9, 100%, $E$9)</f>
        <v>14.022</v>
      </c>
      <c r="K441" s="9">
        <f>14.0262 * CHOOSE(CONTROL!$C$32, $C$9, 100%, $E$9)</f>
        <v>14.026199999999999</v>
      </c>
      <c r="L441" s="9">
        <f>6.6899 * CHOOSE(CONTROL!$C$32, $C$9, 100%, $E$9)</f>
        <v>6.6898999999999997</v>
      </c>
      <c r="M441" s="9">
        <f>6.6941 * CHOOSE(CONTROL!$C$32, $C$9, 100%, $E$9)</f>
        <v>6.6940999999999997</v>
      </c>
      <c r="N441" s="9">
        <f>6.6899 * CHOOSE(CONTROL!$C$32, $C$9, 100%, $E$9)</f>
        <v>6.6898999999999997</v>
      </c>
      <c r="O441" s="9">
        <f>6.6941 * CHOOSE(CONTROL!$C$32, $C$9, 100%, $E$9)</f>
        <v>6.6940999999999997</v>
      </c>
    </row>
    <row r="442" spans="1:15" ht="15.75" x14ac:dyDescent="0.25">
      <c r="A442" s="14">
        <v>54331</v>
      </c>
      <c r="B442" s="10">
        <f>7.3994 * CHOOSE(CONTROL!$C$32, $C$9, 100%, $E$9)</f>
        <v>7.3994</v>
      </c>
      <c r="C442" s="10">
        <f>7.3994 * CHOOSE(CONTROL!$C$32, $C$9, 100%, $E$9)</f>
        <v>7.3994</v>
      </c>
      <c r="D442" s="10">
        <f>7.4007 * CHOOSE(CONTROL!$C$32, $C$9, 100%, $E$9)</f>
        <v>7.4006999999999996</v>
      </c>
      <c r="E442" s="9">
        <f>6.6732 * CHOOSE(CONTROL!$C$32, $C$9, 100%, $E$9)</f>
        <v>6.6731999999999996</v>
      </c>
      <c r="F442" s="9">
        <f>6.6732 * CHOOSE(CONTROL!$C$32, $C$9, 100%, $E$9)</f>
        <v>6.6731999999999996</v>
      </c>
      <c r="G442" s="9">
        <f>6.6774 * CHOOSE(CONTROL!$C$32, $C$9, 100%, $E$9)</f>
        <v>6.6773999999999996</v>
      </c>
      <c r="H442" s="9">
        <f>14.0512 * CHOOSE(CONTROL!$C$32, $C$9, 100%, $E$9)</f>
        <v>14.0512</v>
      </c>
      <c r="I442" s="9">
        <f>14.0554 * CHOOSE(CONTROL!$C$32, $C$9, 100%, $E$9)</f>
        <v>14.055400000000001</v>
      </c>
      <c r="J442" s="9">
        <f>14.0512 * CHOOSE(CONTROL!$C$32, $C$9, 100%, $E$9)</f>
        <v>14.0512</v>
      </c>
      <c r="K442" s="9">
        <f>14.0554 * CHOOSE(CONTROL!$C$32, $C$9, 100%, $E$9)</f>
        <v>14.055400000000001</v>
      </c>
      <c r="L442" s="9">
        <f>6.6732 * CHOOSE(CONTROL!$C$32, $C$9, 100%, $E$9)</f>
        <v>6.6731999999999996</v>
      </c>
      <c r="M442" s="9">
        <f>6.6774 * CHOOSE(CONTROL!$C$32, $C$9, 100%, $E$9)</f>
        <v>6.6773999999999996</v>
      </c>
      <c r="N442" s="9">
        <f>6.6732 * CHOOSE(CONTROL!$C$32, $C$9, 100%, $E$9)</f>
        <v>6.6731999999999996</v>
      </c>
      <c r="O442" s="9">
        <f>6.6774 * CHOOSE(CONTROL!$C$32, $C$9, 100%, $E$9)</f>
        <v>6.6773999999999996</v>
      </c>
    </row>
    <row r="443" spans="1:15" ht="15.75" x14ac:dyDescent="0.25">
      <c r="A443" s="14">
        <v>54362</v>
      </c>
      <c r="B443" s="10">
        <f>7.4081 * CHOOSE(CONTROL!$C$32, $C$9, 100%, $E$9)</f>
        <v>7.4081000000000001</v>
      </c>
      <c r="C443" s="10">
        <f>7.4081 * CHOOSE(CONTROL!$C$32, $C$9, 100%, $E$9)</f>
        <v>7.4081000000000001</v>
      </c>
      <c r="D443" s="10">
        <f>7.409 * CHOOSE(CONTROL!$C$32, $C$9, 100%, $E$9)</f>
        <v>7.4089999999999998</v>
      </c>
      <c r="E443" s="9">
        <f>6.7178 * CHOOSE(CONTROL!$C$32, $C$9, 100%, $E$9)</f>
        <v>6.7178000000000004</v>
      </c>
      <c r="F443" s="9">
        <f>6.7178 * CHOOSE(CONTROL!$C$32, $C$9, 100%, $E$9)</f>
        <v>6.7178000000000004</v>
      </c>
      <c r="G443" s="9">
        <f>6.721 * CHOOSE(CONTROL!$C$32, $C$9, 100%, $E$9)</f>
        <v>6.7210000000000001</v>
      </c>
      <c r="H443" s="9">
        <f>14.0805 * CHOOSE(CONTROL!$C$32, $C$9, 100%, $E$9)</f>
        <v>14.080500000000001</v>
      </c>
      <c r="I443" s="9">
        <f>14.0837 * CHOOSE(CONTROL!$C$32, $C$9, 100%, $E$9)</f>
        <v>14.0837</v>
      </c>
      <c r="J443" s="9">
        <f>14.0805 * CHOOSE(CONTROL!$C$32, $C$9, 100%, $E$9)</f>
        <v>14.080500000000001</v>
      </c>
      <c r="K443" s="9">
        <f>14.0837 * CHOOSE(CONTROL!$C$32, $C$9, 100%, $E$9)</f>
        <v>14.0837</v>
      </c>
      <c r="L443" s="9">
        <f>6.7178 * CHOOSE(CONTROL!$C$32, $C$9, 100%, $E$9)</f>
        <v>6.7178000000000004</v>
      </c>
      <c r="M443" s="9">
        <f>6.721 * CHOOSE(CONTROL!$C$32, $C$9, 100%, $E$9)</f>
        <v>6.7210000000000001</v>
      </c>
      <c r="N443" s="9">
        <f>6.7178 * CHOOSE(CONTROL!$C$32, $C$9, 100%, $E$9)</f>
        <v>6.7178000000000004</v>
      </c>
      <c r="O443" s="9">
        <f>6.721 * CHOOSE(CONTROL!$C$32, $C$9, 100%, $E$9)</f>
        <v>6.7210000000000001</v>
      </c>
    </row>
    <row r="444" spans="1:15" ht="15.75" x14ac:dyDescent="0.25">
      <c r="A444" s="14">
        <v>54392</v>
      </c>
      <c r="B444" s="10">
        <f>7.4111 * CHOOSE(CONTROL!$C$32, $C$9, 100%, $E$9)</f>
        <v>7.4111000000000002</v>
      </c>
      <c r="C444" s="10">
        <f>7.4111 * CHOOSE(CONTROL!$C$32, $C$9, 100%, $E$9)</f>
        <v>7.4111000000000002</v>
      </c>
      <c r="D444" s="10">
        <f>7.4121 * CHOOSE(CONTROL!$C$32, $C$9, 100%, $E$9)</f>
        <v>7.4120999999999997</v>
      </c>
      <c r="E444" s="9">
        <f>6.7489 * CHOOSE(CONTROL!$C$32, $C$9, 100%, $E$9)</f>
        <v>6.7488999999999999</v>
      </c>
      <c r="F444" s="9">
        <f>6.7489 * CHOOSE(CONTROL!$C$32, $C$9, 100%, $E$9)</f>
        <v>6.7488999999999999</v>
      </c>
      <c r="G444" s="9">
        <f>6.7521 * CHOOSE(CONTROL!$C$32, $C$9, 100%, $E$9)</f>
        <v>6.7521000000000004</v>
      </c>
      <c r="H444" s="9">
        <f>14.1098 * CHOOSE(CONTROL!$C$32, $C$9, 100%, $E$9)</f>
        <v>14.1098</v>
      </c>
      <c r="I444" s="9">
        <f>14.1131 * CHOOSE(CONTROL!$C$32, $C$9, 100%, $E$9)</f>
        <v>14.113099999999999</v>
      </c>
      <c r="J444" s="9">
        <f>14.1098 * CHOOSE(CONTROL!$C$32, $C$9, 100%, $E$9)</f>
        <v>14.1098</v>
      </c>
      <c r="K444" s="9">
        <f>14.1131 * CHOOSE(CONTROL!$C$32, $C$9, 100%, $E$9)</f>
        <v>14.113099999999999</v>
      </c>
      <c r="L444" s="9">
        <f>6.7489 * CHOOSE(CONTROL!$C$32, $C$9, 100%, $E$9)</f>
        <v>6.7488999999999999</v>
      </c>
      <c r="M444" s="9">
        <f>6.7521 * CHOOSE(CONTROL!$C$32, $C$9, 100%, $E$9)</f>
        <v>6.7521000000000004</v>
      </c>
      <c r="N444" s="9">
        <f>6.7489 * CHOOSE(CONTROL!$C$32, $C$9, 100%, $E$9)</f>
        <v>6.7488999999999999</v>
      </c>
      <c r="O444" s="9">
        <f>6.7521 * CHOOSE(CONTROL!$C$32, $C$9, 100%, $E$9)</f>
        <v>6.7521000000000004</v>
      </c>
    </row>
    <row r="445" spans="1:15" ht="15.75" x14ac:dyDescent="0.25">
      <c r="A445" s="14">
        <v>54423</v>
      </c>
      <c r="B445" s="10">
        <f>7.4111 * CHOOSE(CONTROL!$C$32, $C$9, 100%, $E$9)</f>
        <v>7.4111000000000002</v>
      </c>
      <c r="C445" s="10">
        <f>7.4111 * CHOOSE(CONTROL!$C$32, $C$9, 100%, $E$9)</f>
        <v>7.4111000000000002</v>
      </c>
      <c r="D445" s="10">
        <f>7.4121 * CHOOSE(CONTROL!$C$32, $C$9, 100%, $E$9)</f>
        <v>7.4120999999999997</v>
      </c>
      <c r="E445" s="9">
        <f>6.6764 * CHOOSE(CONTROL!$C$32, $C$9, 100%, $E$9)</f>
        <v>6.6764000000000001</v>
      </c>
      <c r="F445" s="9">
        <f>6.6764 * CHOOSE(CONTROL!$C$32, $C$9, 100%, $E$9)</f>
        <v>6.6764000000000001</v>
      </c>
      <c r="G445" s="9">
        <f>6.6797 * CHOOSE(CONTROL!$C$32, $C$9, 100%, $E$9)</f>
        <v>6.6797000000000004</v>
      </c>
      <c r="H445" s="9">
        <f>14.1392 * CHOOSE(CONTROL!$C$32, $C$9, 100%, $E$9)</f>
        <v>14.139200000000001</v>
      </c>
      <c r="I445" s="9">
        <f>14.1424 * CHOOSE(CONTROL!$C$32, $C$9, 100%, $E$9)</f>
        <v>14.1424</v>
      </c>
      <c r="J445" s="9">
        <f>14.1392 * CHOOSE(CONTROL!$C$32, $C$9, 100%, $E$9)</f>
        <v>14.139200000000001</v>
      </c>
      <c r="K445" s="9">
        <f>14.1424 * CHOOSE(CONTROL!$C$32, $C$9, 100%, $E$9)</f>
        <v>14.1424</v>
      </c>
      <c r="L445" s="9">
        <f>6.6764 * CHOOSE(CONTROL!$C$32, $C$9, 100%, $E$9)</f>
        <v>6.6764000000000001</v>
      </c>
      <c r="M445" s="9">
        <f>6.6797 * CHOOSE(CONTROL!$C$32, $C$9, 100%, $E$9)</f>
        <v>6.6797000000000004</v>
      </c>
      <c r="N445" s="9">
        <f>6.6764 * CHOOSE(CONTROL!$C$32, $C$9, 100%, $E$9)</f>
        <v>6.6764000000000001</v>
      </c>
      <c r="O445" s="9">
        <f>6.6797 * CHOOSE(CONTROL!$C$32, $C$9, 100%, $E$9)</f>
        <v>6.6797000000000004</v>
      </c>
    </row>
    <row r="446" spans="1:15" ht="15.75" x14ac:dyDescent="0.25">
      <c r="A446" s="14">
        <v>54454</v>
      </c>
      <c r="B446" s="10">
        <f>7.473 * CHOOSE(CONTROL!$C$32, $C$9, 100%, $E$9)</f>
        <v>7.4729999999999999</v>
      </c>
      <c r="C446" s="10">
        <f>7.473 * CHOOSE(CONTROL!$C$32, $C$9, 100%, $E$9)</f>
        <v>7.4729999999999999</v>
      </c>
      <c r="D446" s="10">
        <f>7.474 * CHOOSE(CONTROL!$C$32, $C$9, 100%, $E$9)</f>
        <v>7.4740000000000002</v>
      </c>
      <c r="E446" s="9">
        <f>6.7749 * CHOOSE(CONTROL!$C$32, $C$9, 100%, $E$9)</f>
        <v>6.7748999999999997</v>
      </c>
      <c r="F446" s="9">
        <f>6.7749 * CHOOSE(CONTROL!$C$32, $C$9, 100%, $E$9)</f>
        <v>6.7748999999999997</v>
      </c>
      <c r="G446" s="9">
        <f>6.7781 * CHOOSE(CONTROL!$C$32, $C$9, 100%, $E$9)</f>
        <v>6.7781000000000002</v>
      </c>
      <c r="H446" s="9">
        <f>14.1687 * CHOOSE(CONTROL!$C$32, $C$9, 100%, $E$9)</f>
        <v>14.168699999999999</v>
      </c>
      <c r="I446" s="9">
        <f>14.1719 * CHOOSE(CONTROL!$C$32, $C$9, 100%, $E$9)</f>
        <v>14.171900000000001</v>
      </c>
      <c r="J446" s="9">
        <f>14.1687 * CHOOSE(CONTROL!$C$32, $C$9, 100%, $E$9)</f>
        <v>14.168699999999999</v>
      </c>
      <c r="K446" s="9">
        <f>14.1719 * CHOOSE(CONTROL!$C$32, $C$9, 100%, $E$9)</f>
        <v>14.171900000000001</v>
      </c>
      <c r="L446" s="9">
        <f>6.7749 * CHOOSE(CONTROL!$C$32, $C$9, 100%, $E$9)</f>
        <v>6.7748999999999997</v>
      </c>
      <c r="M446" s="9">
        <f>6.7781 * CHOOSE(CONTROL!$C$32, $C$9, 100%, $E$9)</f>
        <v>6.7781000000000002</v>
      </c>
      <c r="N446" s="9">
        <f>6.7749 * CHOOSE(CONTROL!$C$32, $C$9, 100%, $E$9)</f>
        <v>6.7748999999999997</v>
      </c>
      <c r="O446" s="9">
        <f>6.7781 * CHOOSE(CONTROL!$C$32, $C$9, 100%, $E$9)</f>
        <v>6.7781000000000002</v>
      </c>
    </row>
    <row r="447" spans="1:15" ht="15.75" x14ac:dyDescent="0.25">
      <c r="A447" s="14">
        <v>54482</v>
      </c>
      <c r="B447" s="10">
        <f>7.47 * CHOOSE(CONTROL!$C$32, $C$9, 100%, $E$9)</f>
        <v>7.47</v>
      </c>
      <c r="C447" s="10">
        <f>7.47 * CHOOSE(CONTROL!$C$32, $C$9, 100%, $E$9)</f>
        <v>7.47</v>
      </c>
      <c r="D447" s="10">
        <f>7.471 * CHOOSE(CONTROL!$C$32, $C$9, 100%, $E$9)</f>
        <v>7.4710000000000001</v>
      </c>
      <c r="E447" s="9">
        <f>6.6318 * CHOOSE(CONTROL!$C$32, $C$9, 100%, $E$9)</f>
        <v>6.6318000000000001</v>
      </c>
      <c r="F447" s="9">
        <f>6.6318 * CHOOSE(CONTROL!$C$32, $C$9, 100%, $E$9)</f>
        <v>6.6318000000000001</v>
      </c>
      <c r="G447" s="9">
        <f>6.635 * CHOOSE(CONTROL!$C$32, $C$9, 100%, $E$9)</f>
        <v>6.6349999999999998</v>
      </c>
      <c r="H447" s="9">
        <f>14.1982 * CHOOSE(CONTROL!$C$32, $C$9, 100%, $E$9)</f>
        <v>14.1982</v>
      </c>
      <c r="I447" s="9">
        <f>14.2014 * CHOOSE(CONTROL!$C$32, $C$9, 100%, $E$9)</f>
        <v>14.2014</v>
      </c>
      <c r="J447" s="9">
        <f>14.1982 * CHOOSE(CONTROL!$C$32, $C$9, 100%, $E$9)</f>
        <v>14.1982</v>
      </c>
      <c r="K447" s="9">
        <f>14.2014 * CHOOSE(CONTROL!$C$32, $C$9, 100%, $E$9)</f>
        <v>14.2014</v>
      </c>
      <c r="L447" s="9">
        <f>6.6318 * CHOOSE(CONTROL!$C$32, $C$9, 100%, $E$9)</f>
        <v>6.6318000000000001</v>
      </c>
      <c r="M447" s="9">
        <f>6.635 * CHOOSE(CONTROL!$C$32, $C$9, 100%, $E$9)</f>
        <v>6.6349999999999998</v>
      </c>
      <c r="N447" s="9">
        <f>6.6318 * CHOOSE(CONTROL!$C$32, $C$9, 100%, $E$9)</f>
        <v>6.6318000000000001</v>
      </c>
      <c r="O447" s="9">
        <f>6.635 * CHOOSE(CONTROL!$C$32, $C$9, 100%, $E$9)</f>
        <v>6.6349999999999998</v>
      </c>
    </row>
    <row r="448" spans="1:15" ht="15.75" x14ac:dyDescent="0.25">
      <c r="A448" s="14">
        <v>54513</v>
      </c>
      <c r="B448" s="10">
        <f>7.467 * CHOOSE(CONTROL!$C$32, $C$9, 100%, $E$9)</f>
        <v>7.4669999999999996</v>
      </c>
      <c r="C448" s="10">
        <f>7.467 * CHOOSE(CONTROL!$C$32, $C$9, 100%, $E$9)</f>
        <v>7.4669999999999996</v>
      </c>
      <c r="D448" s="10">
        <f>7.4679 * CHOOSE(CONTROL!$C$32, $C$9, 100%, $E$9)</f>
        <v>7.4679000000000002</v>
      </c>
      <c r="E448" s="9">
        <f>6.7408 * CHOOSE(CONTROL!$C$32, $C$9, 100%, $E$9)</f>
        <v>6.7408000000000001</v>
      </c>
      <c r="F448" s="9">
        <f>6.7408 * CHOOSE(CONTROL!$C$32, $C$9, 100%, $E$9)</f>
        <v>6.7408000000000001</v>
      </c>
      <c r="G448" s="9">
        <f>6.744 * CHOOSE(CONTROL!$C$32, $C$9, 100%, $E$9)</f>
        <v>6.7439999999999998</v>
      </c>
      <c r="H448" s="9">
        <f>14.2278 * CHOOSE(CONTROL!$C$32, $C$9, 100%, $E$9)</f>
        <v>14.2278</v>
      </c>
      <c r="I448" s="9">
        <f>14.231 * CHOOSE(CONTROL!$C$32, $C$9, 100%, $E$9)</f>
        <v>14.231</v>
      </c>
      <c r="J448" s="9">
        <f>14.2278 * CHOOSE(CONTROL!$C$32, $C$9, 100%, $E$9)</f>
        <v>14.2278</v>
      </c>
      <c r="K448" s="9">
        <f>14.231 * CHOOSE(CONTROL!$C$32, $C$9, 100%, $E$9)</f>
        <v>14.231</v>
      </c>
      <c r="L448" s="9">
        <f>6.7408 * CHOOSE(CONTROL!$C$32, $C$9, 100%, $E$9)</f>
        <v>6.7408000000000001</v>
      </c>
      <c r="M448" s="9">
        <f>6.744 * CHOOSE(CONTROL!$C$32, $C$9, 100%, $E$9)</f>
        <v>6.7439999999999998</v>
      </c>
      <c r="N448" s="9">
        <f>6.7408 * CHOOSE(CONTROL!$C$32, $C$9, 100%, $E$9)</f>
        <v>6.7408000000000001</v>
      </c>
      <c r="O448" s="9">
        <f>6.744 * CHOOSE(CONTROL!$C$32, $C$9, 100%, $E$9)</f>
        <v>6.7439999999999998</v>
      </c>
    </row>
    <row r="449" spans="1:15" ht="15.75" x14ac:dyDescent="0.25">
      <c r="A449" s="14">
        <v>54543</v>
      </c>
      <c r="B449" s="10">
        <f>7.4682 * CHOOSE(CONTROL!$C$32, $C$9, 100%, $E$9)</f>
        <v>7.4682000000000004</v>
      </c>
      <c r="C449" s="10">
        <f>7.4682 * CHOOSE(CONTROL!$C$32, $C$9, 100%, $E$9)</f>
        <v>7.4682000000000004</v>
      </c>
      <c r="D449" s="10">
        <f>7.4692 * CHOOSE(CONTROL!$C$32, $C$9, 100%, $E$9)</f>
        <v>7.4691999999999998</v>
      </c>
      <c r="E449" s="9">
        <f>6.8559 * CHOOSE(CONTROL!$C$32, $C$9, 100%, $E$9)</f>
        <v>6.8559000000000001</v>
      </c>
      <c r="F449" s="9">
        <f>6.8559 * CHOOSE(CONTROL!$C$32, $C$9, 100%, $E$9)</f>
        <v>6.8559000000000001</v>
      </c>
      <c r="G449" s="9">
        <f>6.8591 * CHOOSE(CONTROL!$C$32, $C$9, 100%, $E$9)</f>
        <v>6.8590999999999998</v>
      </c>
      <c r="H449" s="9">
        <f>14.2574 * CHOOSE(CONTROL!$C$32, $C$9, 100%, $E$9)</f>
        <v>14.257400000000001</v>
      </c>
      <c r="I449" s="9">
        <f>14.2606 * CHOOSE(CONTROL!$C$32, $C$9, 100%, $E$9)</f>
        <v>14.2606</v>
      </c>
      <c r="J449" s="9">
        <f>14.2574 * CHOOSE(CONTROL!$C$32, $C$9, 100%, $E$9)</f>
        <v>14.257400000000001</v>
      </c>
      <c r="K449" s="9">
        <f>14.2606 * CHOOSE(CONTROL!$C$32, $C$9, 100%, $E$9)</f>
        <v>14.2606</v>
      </c>
      <c r="L449" s="9">
        <f>6.8559 * CHOOSE(CONTROL!$C$32, $C$9, 100%, $E$9)</f>
        <v>6.8559000000000001</v>
      </c>
      <c r="M449" s="9">
        <f>6.8591 * CHOOSE(CONTROL!$C$32, $C$9, 100%, $E$9)</f>
        <v>6.8590999999999998</v>
      </c>
      <c r="N449" s="9">
        <f>6.8559 * CHOOSE(CONTROL!$C$32, $C$9, 100%, $E$9)</f>
        <v>6.8559000000000001</v>
      </c>
      <c r="O449" s="9">
        <f>6.8591 * CHOOSE(CONTROL!$C$32, $C$9, 100%, $E$9)</f>
        <v>6.8590999999999998</v>
      </c>
    </row>
    <row r="450" spans="1:15" ht="15.75" x14ac:dyDescent="0.25">
      <c r="A450" s="14">
        <v>54574</v>
      </c>
      <c r="B450" s="10">
        <f>7.4682 * CHOOSE(CONTROL!$C$32, $C$9, 100%, $E$9)</f>
        <v>7.4682000000000004</v>
      </c>
      <c r="C450" s="10">
        <f>7.4682 * CHOOSE(CONTROL!$C$32, $C$9, 100%, $E$9)</f>
        <v>7.4682000000000004</v>
      </c>
      <c r="D450" s="10">
        <f>7.4695 * CHOOSE(CONTROL!$C$32, $C$9, 100%, $E$9)</f>
        <v>7.4695</v>
      </c>
      <c r="E450" s="9">
        <f>6.9007 * CHOOSE(CONTROL!$C$32, $C$9, 100%, $E$9)</f>
        <v>6.9006999999999996</v>
      </c>
      <c r="F450" s="9">
        <f>6.9007 * CHOOSE(CONTROL!$C$32, $C$9, 100%, $E$9)</f>
        <v>6.9006999999999996</v>
      </c>
      <c r="G450" s="9">
        <f>6.9049 * CHOOSE(CONTROL!$C$32, $C$9, 100%, $E$9)</f>
        <v>6.9048999999999996</v>
      </c>
      <c r="H450" s="9">
        <f>14.2871 * CHOOSE(CONTROL!$C$32, $C$9, 100%, $E$9)</f>
        <v>14.287100000000001</v>
      </c>
      <c r="I450" s="9">
        <f>14.2913 * CHOOSE(CONTROL!$C$32, $C$9, 100%, $E$9)</f>
        <v>14.2913</v>
      </c>
      <c r="J450" s="9">
        <f>14.2871 * CHOOSE(CONTROL!$C$32, $C$9, 100%, $E$9)</f>
        <v>14.287100000000001</v>
      </c>
      <c r="K450" s="9">
        <f>14.2913 * CHOOSE(CONTROL!$C$32, $C$9, 100%, $E$9)</f>
        <v>14.2913</v>
      </c>
      <c r="L450" s="9">
        <f>6.9007 * CHOOSE(CONTROL!$C$32, $C$9, 100%, $E$9)</f>
        <v>6.9006999999999996</v>
      </c>
      <c r="M450" s="9">
        <f>6.9049 * CHOOSE(CONTROL!$C$32, $C$9, 100%, $E$9)</f>
        <v>6.9048999999999996</v>
      </c>
      <c r="N450" s="9">
        <f>6.9007 * CHOOSE(CONTROL!$C$32, $C$9, 100%, $E$9)</f>
        <v>6.9006999999999996</v>
      </c>
      <c r="O450" s="9">
        <f>6.9049 * CHOOSE(CONTROL!$C$32, $C$9, 100%, $E$9)</f>
        <v>6.9048999999999996</v>
      </c>
    </row>
    <row r="451" spans="1:15" ht="15.75" x14ac:dyDescent="0.25">
      <c r="A451" s="14">
        <v>54604</v>
      </c>
      <c r="B451" s="10">
        <f>7.4743 * CHOOSE(CONTROL!$C$32, $C$9, 100%, $E$9)</f>
        <v>7.4743000000000004</v>
      </c>
      <c r="C451" s="10">
        <f>7.4743 * CHOOSE(CONTROL!$C$32, $C$9, 100%, $E$9)</f>
        <v>7.4743000000000004</v>
      </c>
      <c r="D451" s="10">
        <f>7.4755 * CHOOSE(CONTROL!$C$32, $C$9, 100%, $E$9)</f>
        <v>7.4755000000000003</v>
      </c>
      <c r="E451" s="9">
        <f>6.8601 * CHOOSE(CONTROL!$C$32, $C$9, 100%, $E$9)</f>
        <v>6.8601000000000001</v>
      </c>
      <c r="F451" s="9">
        <f>6.8601 * CHOOSE(CONTROL!$C$32, $C$9, 100%, $E$9)</f>
        <v>6.8601000000000001</v>
      </c>
      <c r="G451" s="9">
        <f>6.8644 * CHOOSE(CONTROL!$C$32, $C$9, 100%, $E$9)</f>
        <v>6.8643999999999998</v>
      </c>
      <c r="H451" s="9">
        <f>14.3169 * CHOOSE(CONTROL!$C$32, $C$9, 100%, $E$9)</f>
        <v>14.3169</v>
      </c>
      <c r="I451" s="9">
        <f>14.3211 * CHOOSE(CONTROL!$C$32, $C$9, 100%, $E$9)</f>
        <v>14.321099999999999</v>
      </c>
      <c r="J451" s="9">
        <f>14.3169 * CHOOSE(CONTROL!$C$32, $C$9, 100%, $E$9)</f>
        <v>14.3169</v>
      </c>
      <c r="K451" s="9">
        <f>14.3211 * CHOOSE(CONTROL!$C$32, $C$9, 100%, $E$9)</f>
        <v>14.321099999999999</v>
      </c>
      <c r="L451" s="9">
        <f>6.8601 * CHOOSE(CONTROL!$C$32, $C$9, 100%, $E$9)</f>
        <v>6.8601000000000001</v>
      </c>
      <c r="M451" s="9">
        <f>6.8644 * CHOOSE(CONTROL!$C$32, $C$9, 100%, $E$9)</f>
        <v>6.8643999999999998</v>
      </c>
      <c r="N451" s="9">
        <f>6.8601 * CHOOSE(CONTROL!$C$32, $C$9, 100%, $E$9)</f>
        <v>6.8601000000000001</v>
      </c>
      <c r="O451" s="9">
        <f>6.8644 * CHOOSE(CONTROL!$C$32, $C$9, 100%, $E$9)</f>
        <v>6.8643999999999998</v>
      </c>
    </row>
    <row r="452" spans="1:15" ht="15.75" x14ac:dyDescent="0.25">
      <c r="A452" s="14">
        <v>54635</v>
      </c>
      <c r="B452" s="10">
        <f>7.5826 * CHOOSE(CONTROL!$C$32, $C$9, 100%, $E$9)</f>
        <v>7.5826000000000002</v>
      </c>
      <c r="C452" s="10">
        <f>7.5826 * CHOOSE(CONTROL!$C$32, $C$9, 100%, $E$9)</f>
        <v>7.5826000000000002</v>
      </c>
      <c r="D452" s="10">
        <f>7.5838 * CHOOSE(CONTROL!$C$32, $C$9, 100%, $E$9)</f>
        <v>7.5838000000000001</v>
      </c>
      <c r="E452" s="9">
        <f>6.9412 * CHOOSE(CONTROL!$C$32, $C$9, 100%, $E$9)</f>
        <v>6.9412000000000003</v>
      </c>
      <c r="F452" s="9">
        <f>6.9412 * CHOOSE(CONTROL!$C$32, $C$9, 100%, $E$9)</f>
        <v>6.9412000000000003</v>
      </c>
      <c r="G452" s="9">
        <f>6.9455 * CHOOSE(CONTROL!$C$32, $C$9, 100%, $E$9)</f>
        <v>6.9455</v>
      </c>
      <c r="H452" s="9">
        <f>14.3467 * CHOOSE(CONTROL!$C$32, $C$9, 100%, $E$9)</f>
        <v>14.3467</v>
      </c>
      <c r="I452" s="9">
        <f>14.3509 * CHOOSE(CONTROL!$C$32, $C$9, 100%, $E$9)</f>
        <v>14.350899999999999</v>
      </c>
      <c r="J452" s="9">
        <f>14.3467 * CHOOSE(CONTROL!$C$32, $C$9, 100%, $E$9)</f>
        <v>14.3467</v>
      </c>
      <c r="K452" s="9">
        <f>14.3509 * CHOOSE(CONTROL!$C$32, $C$9, 100%, $E$9)</f>
        <v>14.350899999999999</v>
      </c>
      <c r="L452" s="9">
        <f>6.9412 * CHOOSE(CONTROL!$C$32, $C$9, 100%, $E$9)</f>
        <v>6.9412000000000003</v>
      </c>
      <c r="M452" s="9">
        <f>6.9455 * CHOOSE(CONTROL!$C$32, $C$9, 100%, $E$9)</f>
        <v>6.9455</v>
      </c>
      <c r="N452" s="9">
        <f>6.9412 * CHOOSE(CONTROL!$C$32, $C$9, 100%, $E$9)</f>
        <v>6.9412000000000003</v>
      </c>
      <c r="O452" s="9">
        <f>6.9455 * CHOOSE(CONTROL!$C$32, $C$9, 100%, $E$9)</f>
        <v>6.9455</v>
      </c>
    </row>
    <row r="453" spans="1:15" ht="15.75" x14ac:dyDescent="0.25">
      <c r="A453" s="14">
        <v>54666</v>
      </c>
      <c r="B453" s="10">
        <f>7.5893 * CHOOSE(CONTROL!$C$32, $C$9, 100%, $E$9)</f>
        <v>7.5892999999999997</v>
      </c>
      <c r="C453" s="10">
        <f>7.5893 * CHOOSE(CONTROL!$C$32, $C$9, 100%, $E$9)</f>
        <v>7.5892999999999997</v>
      </c>
      <c r="D453" s="10">
        <f>7.5905 * CHOOSE(CONTROL!$C$32, $C$9, 100%, $E$9)</f>
        <v>7.5904999999999996</v>
      </c>
      <c r="E453" s="9">
        <f>6.8116 * CHOOSE(CONTROL!$C$32, $C$9, 100%, $E$9)</f>
        <v>6.8116000000000003</v>
      </c>
      <c r="F453" s="9">
        <f>6.8116 * CHOOSE(CONTROL!$C$32, $C$9, 100%, $E$9)</f>
        <v>6.8116000000000003</v>
      </c>
      <c r="G453" s="9">
        <f>6.8158 * CHOOSE(CONTROL!$C$32, $C$9, 100%, $E$9)</f>
        <v>6.8158000000000003</v>
      </c>
      <c r="H453" s="9">
        <f>14.3766 * CHOOSE(CONTROL!$C$32, $C$9, 100%, $E$9)</f>
        <v>14.3766</v>
      </c>
      <c r="I453" s="9">
        <f>14.3808 * CHOOSE(CONTROL!$C$32, $C$9, 100%, $E$9)</f>
        <v>14.380800000000001</v>
      </c>
      <c r="J453" s="9">
        <f>14.3766 * CHOOSE(CONTROL!$C$32, $C$9, 100%, $E$9)</f>
        <v>14.3766</v>
      </c>
      <c r="K453" s="9">
        <f>14.3808 * CHOOSE(CONTROL!$C$32, $C$9, 100%, $E$9)</f>
        <v>14.380800000000001</v>
      </c>
      <c r="L453" s="9">
        <f>6.8116 * CHOOSE(CONTROL!$C$32, $C$9, 100%, $E$9)</f>
        <v>6.8116000000000003</v>
      </c>
      <c r="M453" s="9">
        <f>6.8158 * CHOOSE(CONTROL!$C$32, $C$9, 100%, $E$9)</f>
        <v>6.8158000000000003</v>
      </c>
      <c r="N453" s="9">
        <f>6.8116 * CHOOSE(CONTROL!$C$32, $C$9, 100%, $E$9)</f>
        <v>6.8116000000000003</v>
      </c>
      <c r="O453" s="9">
        <f>6.8158 * CHOOSE(CONTROL!$C$32, $C$9, 100%, $E$9)</f>
        <v>6.8158000000000003</v>
      </c>
    </row>
    <row r="454" spans="1:15" ht="15.75" x14ac:dyDescent="0.25">
      <c r="A454" s="14">
        <v>54696</v>
      </c>
      <c r="B454" s="10">
        <f>7.5862 * CHOOSE(CONTROL!$C$32, $C$9, 100%, $E$9)</f>
        <v>7.5861999999999998</v>
      </c>
      <c r="C454" s="10">
        <f>7.5862 * CHOOSE(CONTROL!$C$32, $C$9, 100%, $E$9)</f>
        <v>7.5861999999999998</v>
      </c>
      <c r="D454" s="10">
        <f>7.5875 * CHOOSE(CONTROL!$C$32, $C$9, 100%, $E$9)</f>
        <v>7.5875000000000004</v>
      </c>
      <c r="E454" s="9">
        <f>6.7946 * CHOOSE(CONTROL!$C$32, $C$9, 100%, $E$9)</f>
        <v>6.7946</v>
      </c>
      <c r="F454" s="9">
        <f>6.7946 * CHOOSE(CONTROL!$C$32, $C$9, 100%, $E$9)</f>
        <v>6.7946</v>
      </c>
      <c r="G454" s="9">
        <f>6.7988 * CHOOSE(CONTROL!$C$32, $C$9, 100%, $E$9)</f>
        <v>6.7988</v>
      </c>
      <c r="H454" s="9">
        <f>14.4066 * CHOOSE(CONTROL!$C$32, $C$9, 100%, $E$9)</f>
        <v>14.406599999999999</v>
      </c>
      <c r="I454" s="9">
        <f>14.4108 * CHOOSE(CONTROL!$C$32, $C$9, 100%, $E$9)</f>
        <v>14.4108</v>
      </c>
      <c r="J454" s="9">
        <f>14.4066 * CHOOSE(CONTROL!$C$32, $C$9, 100%, $E$9)</f>
        <v>14.406599999999999</v>
      </c>
      <c r="K454" s="9">
        <f>14.4108 * CHOOSE(CONTROL!$C$32, $C$9, 100%, $E$9)</f>
        <v>14.4108</v>
      </c>
      <c r="L454" s="9">
        <f>6.7946 * CHOOSE(CONTROL!$C$32, $C$9, 100%, $E$9)</f>
        <v>6.7946</v>
      </c>
      <c r="M454" s="9">
        <f>6.7988 * CHOOSE(CONTROL!$C$32, $C$9, 100%, $E$9)</f>
        <v>6.7988</v>
      </c>
      <c r="N454" s="9">
        <f>6.7946 * CHOOSE(CONTROL!$C$32, $C$9, 100%, $E$9)</f>
        <v>6.7946</v>
      </c>
      <c r="O454" s="9">
        <f>6.7988 * CHOOSE(CONTROL!$C$32, $C$9, 100%, $E$9)</f>
        <v>6.7988</v>
      </c>
    </row>
    <row r="455" spans="1:15" ht="15.75" x14ac:dyDescent="0.25">
      <c r="A455" s="14">
        <v>54727</v>
      </c>
      <c r="B455" s="10">
        <f>7.5956 * CHOOSE(CONTROL!$C$32, $C$9, 100%, $E$9)</f>
        <v>7.5956000000000001</v>
      </c>
      <c r="C455" s="10">
        <f>7.5956 * CHOOSE(CONTROL!$C$32, $C$9, 100%, $E$9)</f>
        <v>7.5956000000000001</v>
      </c>
      <c r="D455" s="10">
        <f>7.5966 * CHOOSE(CONTROL!$C$32, $C$9, 100%, $E$9)</f>
        <v>7.5965999999999996</v>
      </c>
      <c r="E455" s="9">
        <f>6.8409 * CHOOSE(CONTROL!$C$32, $C$9, 100%, $E$9)</f>
        <v>6.8409000000000004</v>
      </c>
      <c r="F455" s="9">
        <f>6.8409 * CHOOSE(CONTROL!$C$32, $C$9, 100%, $E$9)</f>
        <v>6.8409000000000004</v>
      </c>
      <c r="G455" s="9">
        <f>6.8441 * CHOOSE(CONTROL!$C$32, $C$9, 100%, $E$9)</f>
        <v>6.8441000000000001</v>
      </c>
      <c r="H455" s="9">
        <f>14.4366 * CHOOSE(CONTROL!$C$32, $C$9, 100%, $E$9)</f>
        <v>14.4366</v>
      </c>
      <c r="I455" s="9">
        <f>14.4398 * CHOOSE(CONTROL!$C$32, $C$9, 100%, $E$9)</f>
        <v>14.4398</v>
      </c>
      <c r="J455" s="9">
        <f>14.4366 * CHOOSE(CONTROL!$C$32, $C$9, 100%, $E$9)</f>
        <v>14.4366</v>
      </c>
      <c r="K455" s="9">
        <f>14.4398 * CHOOSE(CONTROL!$C$32, $C$9, 100%, $E$9)</f>
        <v>14.4398</v>
      </c>
      <c r="L455" s="9">
        <f>6.8409 * CHOOSE(CONTROL!$C$32, $C$9, 100%, $E$9)</f>
        <v>6.8409000000000004</v>
      </c>
      <c r="M455" s="9">
        <f>6.8441 * CHOOSE(CONTROL!$C$32, $C$9, 100%, $E$9)</f>
        <v>6.8441000000000001</v>
      </c>
      <c r="N455" s="9">
        <f>6.8409 * CHOOSE(CONTROL!$C$32, $C$9, 100%, $E$9)</f>
        <v>6.8409000000000004</v>
      </c>
      <c r="O455" s="9">
        <f>6.8441 * CHOOSE(CONTROL!$C$32, $C$9, 100%, $E$9)</f>
        <v>6.8441000000000001</v>
      </c>
    </row>
    <row r="456" spans="1:15" ht="15.75" x14ac:dyDescent="0.25">
      <c r="A456" s="14">
        <v>54757</v>
      </c>
      <c r="B456" s="10">
        <f>7.5986 * CHOOSE(CONTROL!$C$32, $C$9, 100%, $E$9)</f>
        <v>7.5986000000000002</v>
      </c>
      <c r="C456" s="10">
        <f>7.5986 * CHOOSE(CONTROL!$C$32, $C$9, 100%, $E$9)</f>
        <v>7.5986000000000002</v>
      </c>
      <c r="D456" s="10">
        <f>7.5996 * CHOOSE(CONTROL!$C$32, $C$9, 100%, $E$9)</f>
        <v>7.5995999999999997</v>
      </c>
      <c r="E456" s="9">
        <f>6.8728 * CHOOSE(CONTROL!$C$32, $C$9, 100%, $E$9)</f>
        <v>6.8727999999999998</v>
      </c>
      <c r="F456" s="9">
        <f>6.8728 * CHOOSE(CONTROL!$C$32, $C$9, 100%, $E$9)</f>
        <v>6.8727999999999998</v>
      </c>
      <c r="G456" s="9">
        <f>6.876 * CHOOSE(CONTROL!$C$32, $C$9, 100%, $E$9)</f>
        <v>6.8760000000000003</v>
      </c>
      <c r="H456" s="9">
        <f>14.4666 * CHOOSE(CONTROL!$C$32, $C$9, 100%, $E$9)</f>
        <v>14.4666</v>
      </c>
      <c r="I456" s="9">
        <f>14.4699 * CHOOSE(CONTROL!$C$32, $C$9, 100%, $E$9)</f>
        <v>14.469900000000001</v>
      </c>
      <c r="J456" s="9">
        <f>14.4666 * CHOOSE(CONTROL!$C$32, $C$9, 100%, $E$9)</f>
        <v>14.4666</v>
      </c>
      <c r="K456" s="9">
        <f>14.4699 * CHOOSE(CONTROL!$C$32, $C$9, 100%, $E$9)</f>
        <v>14.469900000000001</v>
      </c>
      <c r="L456" s="9">
        <f>6.8728 * CHOOSE(CONTROL!$C$32, $C$9, 100%, $E$9)</f>
        <v>6.8727999999999998</v>
      </c>
      <c r="M456" s="9">
        <f>6.876 * CHOOSE(CONTROL!$C$32, $C$9, 100%, $E$9)</f>
        <v>6.8760000000000003</v>
      </c>
      <c r="N456" s="9">
        <f>6.8728 * CHOOSE(CONTROL!$C$32, $C$9, 100%, $E$9)</f>
        <v>6.8727999999999998</v>
      </c>
      <c r="O456" s="9">
        <f>6.876 * CHOOSE(CONTROL!$C$32, $C$9, 100%, $E$9)</f>
        <v>6.8760000000000003</v>
      </c>
    </row>
    <row r="457" spans="1:15" ht="15.75" x14ac:dyDescent="0.25">
      <c r="A457" s="14">
        <v>54788</v>
      </c>
      <c r="B457" s="10">
        <f>7.5986 * CHOOSE(CONTROL!$C$32, $C$9, 100%, $E$9)</f>
        <v>7.5986000000000002</v>
      </c>
      <c r="C457" s="10">
        <f>7.5986 * CHOOSE(CONTROL!$C$32, $C$9, 100%, $E$9)</f>
        <v>7.5986000000000002</v>
      </c>
      <c r="D457" s="10">
        <f>7.5996 * CHOOSE(CONTROL!$C$32, $C$9, 100%, $E$9)</f>
        <v>7.5995999999999997</v>
      </c>
      <c r="E457" s="9">
        <f>6.7982 * CHOOSE(CONTROL!$C$32, $C$9, 100%, $E$9)</f>
        <v>6.7981999999999996</v>
      </c>
      <c r="F457" s="9">
        <f>6.7982 * CHOOSE(CONTROL!$C$32, $C$9, 100%, $E$9)</f>
        <v>6.7981999999999996</v>
      </c>
      <c r="G457" s="9">
        <f>6.8014 * CHOOSE(CONTROL!$C$32, $C$9, 100%, $E$9)</f>
        <v>6.8014000000000001</v>
      </c>
      <c r="H457" s="9">
        <f>14.4968 * CHOOSE(CONTROL!$C$32, $C$9, 100%, $E$9)</f>
        <v>14.4968</v>
      </c>
      <c r="I457" s="9">
        <f>14.5 * CHOOSE(CONTROL!$C$32, $C$9, 100%, $E$9)</f>
        <v>14.5</v>
      </c>
      <c r="J457" s="9">
        <f>14.4968 * CHOOSE(CONTROL!$C$32, $C$9, 100%, $E$9)</f>
        <v>14.4968</v>
      </c>
      <c r="K457" s="9">
        <f>14.5 * CHOOSE(CONTROL!$C$32, $C$9, 100%, $E$9)</f>
        <v>14.5</v>
      </c>
      <c r="L457" s="9">
        <f>6.7982 * CHOOSE(CONTROL!$C$32, $C$9, 100%, $E$9)</f>
        <v>6.7981999999999996</v>
      </c>
      <c r="M457" s="9">
        <f>6.8014 * CHOOSE(CONTROL!$C$32, $C$9, 100%, $E$9)</f>
        <v>6.8014000000000001</v>
      </c>
      <c r="N457" s="9">
        <f>6.7982 * CHOOSE(CONTROL!$C$32, $C$9, 100%, $E$9)</f>
        <v>6.7981999999999996</v>
      </c>
      <c r="O457" s="9">
        <f>6.8014 * CHOOSE(CONTROL!$C$32, $C$9, 100%, $E$9)</f>
        <v>6.8014000000000001</v>
      </c>
    </row>
    <row r="458" spans="1:15" ht="15.75" x14ac:dyDescent="0.25">
      <c r="A458" s="14">
        <v>54819</v>
      </c>
      <c r="B458" s="10">
        <f>7.662 * CHOOSE(CONTROL!$C$32, $C$9, 100%, $E$9)</f>
        <v>7.6619999999999999</v>
      </c>
      <c r="C458" s="10">
        <f>7.662 * CHOOSE(CONTROL!$C$32, $C$9, 100%, $E$9)</f>
        <v>7.6619999999999999</v>
      </c>
      <c r="D458" s="10">
        <f>7.663 * CHOOSE(CONTROL!$C$32, $C$9, 100%, $E$9)</f>
        <v>7.6630000000000003</v>
      </c>
      <c r="E458" s="9">
        <f>6.8992 * CHOOSE(CONTROL!$C$32, $C$9, 100%, $E$9)</f>
        <v>6.8992000000000004</v>
      </c>
      <c r="F458" s="9">
        <f>6.8992 * CHOOSE(CONTROL!$C$32, $C$9, 100%, $E$9)</f>
        <v>6.8992000000000004</v>
      </c>
      <c r="G458" s="9">
        <f>6.9024 * CHOOSE(CONTROL!$C$32, $C$9, 100%, $E$9)</f>
        <v>6.9024000000000001</v>
      </c>
      <c r="H458" s="9">
        <f>14.527 * CHOOSE(CONTROL!$C$32, $C$9, 100%, $E$9)</f>
        <v>14.526999999999999</v>
      </c>
      <c r="I458" s="9">
        <f>14.5302 * CHOOSE(CONTROL!$C$32, $C$9, 100%, $E$9)</f>
        <v>14.530200000000001</v>
      </c>
      <c r="J458" s="9">
        <f>14.527 * CHOOSE(CONTROL!$C$32, $C$9, 100%, $E$9)</f>
        <v>14.526999999999999</v>
      </c>
      <c r="K458" s="9">
        <f>14.5302 * CHOOSE(CONTROL!$C$32, $C$9, 100%, $E$9)</f>
        <v>14.530200000000001</v>
      </c>
      <c r="L458" s="9">
        <f>6.8992 * CHOOSE(CONTROL!$C$32, $C$9, 100%, $E$9)</f>
        <v>6.8992000000000004</v>
      </c>
      <c r="M458" s="9">
        <f>6.9024 * CHOOSE(CONTROL!$C$32, $C$9, 100%, $E$9)</f>
        <v>6.9024000000000001</v>
      </c>
      <c r="N458" s="9">
        <f>6.8992 * CHOOSE(CONTROL!$C$32, $C$9, 100%, $E$9)</f>
        <v>6.8992000000000004</v>
      </c>
      <c r="O458" s="9">
        <f>6.9024 * CHOOSE(CONTROL!$C$32, $C$9, 100%, $E$9)</f>
        <v>6.9024000000000001</v>
      </c>
    </row>
    <row r="459" spans="1:15" ht="15.75" x14ac:dyDescent="0.25">
      <c r="A459" s="14">
        <v>54847</v>
      </c>
      <c r="B459" s="10">
        <f>7.659 * CHOOSE(CONTROL!$C$32, $C$9, 100%, $E$9)</f>
        <v>7.6589999999999998</v>
      </c>
      <c r="C459" s="10">
        <f>7.659 * CHOOSE(CONTROL!$C$32, $C$9, 100%, $E$9)</f>
        <v>7.6589999999999998</v>
      </c>
      <c r="D459" s="10">
        <f>7.6599 * CHOOSE(CONTROL!$C$32, $C$9, 100%, $E$9)</f>
        <v>7.6599000000000004</v>
      </c>
      <c r="E459" s="9">
        <f>6.7518 * CHOOSE(CONTROL!$C$32, $C$9, 100%, $E$9)</f>
        <v>6.7518000000000002</v>
      </c>
      <c r="F459" s="9">
        <f>6.7518 * CHOOSE(CONTROL!$C$32, $C$9, 100%, $E$9)</f>
        <v>6.7518000000000002</v>
      </c>
      <c r="G459" s="9">
        <f>6.7551 * CHOOSE(CONTROL!$C$32, $C$9, 100%, $E$9)</f>
        <v>6.7550999999999997</v>
      </c>
      <c r="H459" s="9">
        <f>14.5572 * CHOOSE(CONTROL!$C$32, $C$9, 100%, $E$9)</f>
        <v>14.5572</v>
      </c>
      <c r="I459" s="9">
        <f>14.5605 * CHOOSE(CONTROL!$C$32, $C$9, 100%, $E$9)</f>
        <v>14.560499999999999</v>
      </c>
      <c r="J459" s="9">
        <f>14.5572 * CHOOSE(CONTROL!$C$32, $C$9, 100%, $E$9)</f>
        <v>14.5572</v>
      </c>
      <c r="K459" s="9">
        <f>14.5605 * CHOOSE(CONTROL!$C$32, $C$9, 100%, $E$9)</f>
        <v>14.560499999999999</v>
      </c>
      <c r="L459" s="9">
        <f>6.7518 * CHOOSE(CONTROL!$C$32, $C$9, 100%, $E$9)</f>
        <v>6.7518000000000002</v>
      </c>
      <c r="M459" s="9">
        <f>6.7551 * CHOOSE(CONTROL!$C$32, $C$9, 100%, $E$9)</f>
        <v>6.7550999999999997</v>
      </c>
      <c r="N459" s="9">
        <f>6.7518 * CHOOSE(CONTROL!$C$32, $C$9, 100%, $E$9)</f>
        <v>6.7518000000000002</v>
      </c>
      <c r="O459" s="9">
        <f>6.7551 * CHOOSE(CONTROL!$C$32, $C$9, 100%, $E$9)</f>
        <v>6.7550999999999997</v>
      </c>
    </row>
    <row r="460" spans="1:15" ht="15.75" x14ac:dyDescent="0.25">
      <c r="A460" s="14">
        <v>54878</v>
      </c>
      <c r="B460" s="10">
        <f>7.6559 * CHOOSE(CONTROL!$C$32, $C$9, 100%, $E$9)</f>
        <v>7.6558999999999999</v>
      </c>
      <c r="C460" s="10">
        <f>7.6559 * CHOOSE(CONTROL!$C$32, $C$9, 100%, $E$9)</f>
        <v>7.6558999999999999</v>
      </c>
      <c r="D460" s="10">
        <f>7.6569 * CHOOSE(CONTROL!$C$32, $C$9, 100%, $E$9)</f>
        <v>7.6569000000000003</v>
      </c>
      <c r="E460" s="9">
        <f>6.8642 * CHOOSE(CONTROL!$C$32, $C$9, 100%, $E$9)</f>
        <v>6.8642000000000003</v>
      </c>
      <c r="F460" s="9">
        <f>6.8642 * CHOOSE(CONTROL!$C$32, $C$9, 100%, $E$9)</f>
        <v>6.8642000000000003</v>
      </c>
      <c r="G460" s="9">
        <f>6.8674 * CHOOSE(CONTROL!$C$32, $C$9, 100%, $E$9)</f>
        <v>6.8673999999999999</v>
      </c>
      <c r="H460" s="9">
        <f>14.5876 * CHOOSE(CONTROL!$C$32, $C$9, 100%, $E$9)</f>
        <v>14.5876</v>
      </c>
      <c r="I460" s="9">
        <f>14.5908 * CHOOSE(CONTROL!$C$32, $C$9, 100%, $E$9)</f>
        <v>14.5908</v>
      </c>
      <c r="J460" s="9">
        <f>14.5876 * CHOOSE(CONTROL!$C$32, $C$9, 100%, $E$9)</f>
        <v>14.5876</v>
      </c>
      <c r="K460" s="9">
        <f>14.5908 * CHOOSE(CONTROL!$C$32, $C$9, 100%, $E$9)</f>
        <v>14.5908</v>
      </c>
      <c r="L460" s="9">
        <f>6.8642 * CHOOSE(CONTROL!$C$32, $C$9, 100%, $E$9)</f>
        <v>6.8642000000000003</v>
      </c>
      <c r="M460" s="9">
        <f>6.8674 * CHOOSE(CONTROL!$C$32, $C$9, 100%, $E$9)</f>
        <v>6.8673999999999999</v>
      </c>
      <c r="N460" s="9">
        <f>6.8642 * CHOOSE(CONTROL!$C$32, $C$9, 100%, $E$9)</f>
        <v>6.8642000000000003</v>
      </c>
      <c r="O460" s="9">
        <f>6.8674 * CHOOSE(CONTROL!$C$32, $C$9, 100%, $E$9)</f>
        <v>6.8673999999999999</v>
      </c>
    </row>
    <row r="461" spans="1:15" ht="15.75" x14ac:dyDescent="0.25">
      <c r="A461" s="14">
        <v>54908</v>
      </c>
      <c r="B461" s="10">
        <f>7.6574 * CHOOSE(CONTROL!$C$32, $C$9, 100%, $E$9)</f>
        <v>7.6574</v>
      </c>
      <c r="C461" s="10">
        <f>7.6574 * CHOOSE(CONTROL!$C$32, $C$9, 100%, $E$9)</f>
        <v>7.6574</v>
      </c>
      <c r="D461" s="10">
        <f>7.6583 * CHOOSE(CONTROL!$C$32, $C$9, 100%, $E$9)</f>
        <v>7.6582999999999997</v>
      </c>
      <c r="E461" s="9">
        <f>6.9829 * CHOOSE(CONTROL!$C$32, $C$9, 100%, $E$9)</f>
        <v>6.9828999999999999</v>
      </c>
      <c r="F461" s="9">
        <f>6.9829 * CHOOSE(CONTROL!$C$32, $C$9, 100%, $E$9)</f>
        <v>6.9828999999999999</v>
      </c>
      <c r="G461" s="9">
        <f>6.9861 * CHOOSE(CONTROL!$C$32, $C$9, 100%, $E$9)</f>
        <v>6.9861000000000004</v>
      </c>
      <c r="H461" s="9">
        <f>14.618 * CHOOSE(CONTROL!$C$32, $C$9, 100%, $E$9)</f>
        <v>14.618</v>
      </c>
      <c r="I461" s="9">
        <f>14.6212 * CHOOSE(CONTROL!$C$32, $C$9, 100%, $E$9)</f>
        <v>14.6212</v>
      </c>
      <c r="J461" s="9">
        <f>14.618 * CHOOSE(CONTROL!$C$32, $C$9, 100%, $E$9)</f>
        <v>14.618</v>
      </c>
      <c r="K461" s="9">
        <f>14.6212 * CHOOSE(CONTROL!$C$32, $C$9, 100%, $E$9)</f>
        <v>14.6212</v>
      </c>
      <c r="L461" s="9">
        <f>6.9829 * CHOOSE(CONTROL!$C$32, $C$9, 100%, $E$9)</f>
        <v>6.9828999999999999</v>
      </c>
      <c r="M461" s="9">
        <f>6.9861 * CHOOSE(CONTROL!$C$32, $C$9, 100%, $E$9)</f>
        <v>6.9861000000000004</v>
      </c>
      <c r="N461" s="9">
        <f>6.9829 * CHOOSE(CONTROL!$C$32, $C$9, 100%, $E$9)</f>
        <v>6.9828999999999999</v>
      </c>
      <c r="O461" s="9">
        <f>6.9861 * CHOOSE(CONTROL!$C$32, $C$9, 100%, $E$9)</f>
        <v>6.9861000000000004</v>
      </c>
    </row>
    <row r="462" spans="1:15" ht="15.75" x14ac:dyDescent="0.25">
      <c r="A462" s="14">
        <v>54939</v>
      </c>
      <c r="B462" s="10">
        <f>7.6574 * CHOOSE(CONTROL!$C$32, $C$9, 100%, $E$9)</f>
        <v>7.6574</v>
      </c>
      <c r="C462" s="10">
        <f>7.6574 * CHOOSE(CONTROL!$C$32, $C$9, 100%, $E$9)</f>
        <v>7.6574</v>
      </c>
      <c r="D462" s="10">
        <f>7.6586 * CHOOSE(CONTROL!$C$32, $C$9, 100%, $E$9)</f>
        <v>7.6585999999999999</v>
      </c>
      <c r="E462" s="9">
        <f>7.029 * CHOOSE(CONTROL!$C$32, $C$9, 100%, $E$9)</f>
        <v>7.0289999999999999</v>
      </c>
      <c r="F462" s="9">
        <f>7.029 * CHOOSE(CONTROL!$C$32, $C$9, 100%, $E$9)</f>
        <v>7.0289999999999999</v>
      </c>
      <c r="G462" s="9">
        <f>7.0332 * CHOOSE(CONTROL!$C$32, $C$9, 100%, $E$9)</f>
        <v>7.0331999999999999</v>
      </c>
      <c r="H462" s="9">
        <f>14.6484 * CHOOSE(CONTROL!$C$32, $C$9, 100%, $E$9)</f>
        <v>14.648400000000001</v>
      </c>
      <c r="I462" s="9">
        <f>14.6526 * CHOOSE(CONTROL!$C$32, $C$9, 100%, $E$9)</f>
        <v>14.6526</v>
      </c>
      <c r="J462" s="9">
        <f>14.6484 * CHOOSE(CONTROL!$C$32, $C$9, 100%, $E$9)</f>
        <v>14.648400000000001</v>
      </c>
      <c r="K462" s="9">
        <f>14.6526 * CHOOSE(CONTROL!$C$32, $C$9, 100%, $E$9)</f>
        <v>14.6526</v>
      </c>
      <c r="L462" s="9">
        <f>7.029 * CHOOSE(CONTROL!$C$32, $C$9, 100%, $E$9)</f>
        <v>7.0289999999999999</v>
      </c>
      <c r="M462" s="9">
        <f>7.0332 * CHOOSE(CONTROL!$C$32, $C$9, 100%, $E$9)</f>
        <v>7.0331999999999999</v>
      </c>
      <c r="N462" s="9">
        <f>7.029 * CHOOSE(CONTROL!$C$32, $C$9, 100%, $E$9)</f>
        <v>7.0289999999999999</v>
      </c>
      <c r="O462" s="9">
        <f>7.0332 * CHOOSE(CONTROL!$C$32, $C$9, 100%, $E$9)</f>
        <v>7.0331999999999999</v>
      </c>
    </row>
    <row r="463" spans="1:15" ht="15.75" x14ac:dyDescent="0.25">
      <c r="A463" s="14">
        <v>54969</v>
      </c>
      <c r="B463" s="10">
        <f>7.6635 * CHOOSE(CONTROL!$C$32, $C$9, 100%, $E$9)</f>
        <v>7.6635</v>
      </c>
      <c r="C463" s="10">
        <f>7.6635 * CHOOSE(CONTROL!$C$32, $C$9, 100%, $E$9)</f>
        <v>7.6635</v>
      </c>
      <c r="D463" s="10">
        <f>7.6647 * CHOOSE(CONTROL!$C$32, $C$9, 100%, $E$9)</f>
        <v>7.6646999999999998</v>
      </c>
      <c r="E463" s="9">
        <f>6.9871 * CHOOSE(CONTROL!$C$32, $C$9, 100%, $E$9)</f>
        <v>6.9870999999999999</v>
      </c>
      <c r="F463" s="9">
        <f>6.9871 * CHOOSE(CONTROL!$C$32, $C$9, 100%, $E$9)</f>
        <v>6.9870999999999999</v>
      </c>
      <c r="G463" s="9">
        <f>6.9913 * CHOOSE(CONTROL!$C$32, $C$9, 100%, $E$9)</f>
        <v>6.9912999999999998</v>
      </c>
      <c r="H463" s="9">
        <f>14.6789 * CHOOSE(CONTROL!$C$32, $C$9, 100%, $E$9)</f>
        <v>14.678900000000001</v>
      </c>
      <c r="I463" s="9">
        <f>14.6831 * CHOOSE(CONTROL!$C$32, $C$9, 100%, $E$9)</f>
        <v>14.6831</v>
      </c>
      <c r="J463" s="9">
        <f>14.6789 * CHOOSE(CONTROL!$C$32, $C$9, 100%, $E$9)</f>
        <v>14.678900000000001</v>
      </c>
      <c r="K463" s="9">
        <f>14.6831 * CHOOSE(CONTROL!$C$32, $C$9, 100%, $E$9)</f>
        <v>14.6831</v>
      </c>
      <c r="L463" s="9">
        <f>6.9871 * CHOOSE(CONTROL!$C$32, $C$9, 100%, $E$9)</f>
        <v>6.9870999999999999</v>
      </c>
      <c r="M463" s="9">
        <f>6.9913 * CHOOSE(CONTROL!$C$32, $C$9, 100%, $E$9)</f>
        <v>6.9912999999999998</v>
      </c>
      <c r="N463" s="9">
        <f>6.9871 * CHOOSE(CONTROL!$C$32, $C$9, 100%, $E$9)</f>
        <v>6.9870999999999999</v>
      </c>
      <c r="O463" s="9">
        <f>6.9913 * CHOOSE(CONTROL!$C$32, $C$9, 100%, $E$9)</f>
        <v>6.9912999999999998</v>
      </c>
    </row>
    <row r="464" spans="1:15" ht="15.75" x14ac:dyDescent="0.25">
      <c r="A464" s="14">
        <v>55000</v>
      </c>
      <c r="B464" s="10">
        <f>7.7741 * CHOOSE(CONTROL!$C$32, $C$9, 100%, $E$9)</f>
        <v>7.7740999999999998</v>
      </c>
      <c r="C464" s="10">
        <f>7.7741 * CHOOSE(CONTROL!$C$32, $C$9, 100%, $E$9)</f>
        <v>7.7740999999999998</v>
      </c>
      <c r="D464" s="10">
        <f>7.7754 * CHOOSE(CONTROL!$C$32, $C$9, 100%, $E$9)</f>
        <v>7.7754000000000003</v>
      </c>
      <c r="E464" s="9">
        <f>7.0695 * CHOOSE(CONTROL!$C$32, $C$9, 100%, $E$9)</f>
        <v>7.0694999999999997</v>
      </c>
      <c r="F464" s="9">
        <f>7.0695 * CHOOSE(CONTROL!$C$32, $C$9, 100%, $E$9)</f>
        <v>7.0694999999999997</v>
      </c>
      <c r="G464" s="9">
        <f>7.0737 * CHOOSE(CONTROL!$C$32, $C$9, 100%, $E$9)</f>
        <v>7.0736999999999997</v>
      </c>
      <c r="H464" s="9">
        <f>14.7095 * CHOOSE(CONTROL!$C$32, $C$9, 100%, $E$9)</f>
        <v>14.7095</v>
      </c>
      <c r="I464" s="9">
        <f>14.7137 * CHOOSE(CONTROL!$C$32, $C$9, 100%, $E$9)</f>
        <v>14.713699999999999</v>
      </c>
      <c r="J464" s="9">
        <f>14.7095 * CHOOSE(CONTROL!$C$32, $C$9, 100%, $E$9)</f>
        <v>14.7095</v>
      </c>
      <c r="K464" s="9">
        <f>14.7137 * CHOOSE(CONTROL!$C$32, $C$9, 100%, $E$9)</f>
        <v>14.713699999999999</v>
      </c>
      <c r="L464" s="9">
        <f>7.0695 * CHOOSE(CONTROL!$C$32, $C$9, 100%, $E$9)</f>
        <v>7.0694999999999997</v>
      </c>
      <c r="M464" s="9">
        <f>7.0737 * CHOOSE(CONTROL!$C$32, $C$9, 100%, $E$9)</f>
        <v>7.0736999999999997</v>
      </c>
      <c r="N464" s="9">
        <f>7.0695 * CHOOSE(CONTROL!$C$32, $C$9, 100%, $E$9)</f>
        <v>7.0694999999999997</v>
      </c>
      <c r="O464" s="9">
        <f>7.0737 * CHOOSE(CONTROL!$C$32, $C$9, 100%, $E$9)</f>
        <v>7.0736999999999997</v>
      </c>
    </row>
    <row r="465" spans="1:15" ht="15.75" x14ac:dyDescent="0.25">
      <c r="A465" s="14">
        <v>55031</v>
      </c>
      <c r="B465" s="10">
        <f>7.7808 * CHOOSE(CONTROL!$C$32, $C$9, 100%, $E$9)</f>
        <v>7.7808000000000002</v>
      </c>
      <c r="C465" s="10">
        <f>7.7808 * CHOOSE(CONTROL!$C$32, $C$9, 100%, $E$9)</f>
        <v>7.7808000000000002</v>
      </c>
      <c r="D465" s="10">
        <f>7.7821 * CHOOSE(CONTROL!$C$32, $C$9, 100%, $E$9)</f>
        <v>7.7820999999999998</v>
      </c>
      <c r="E465" s="9">
        <f>6.9359 * CHOOSE(CONTROL!$C$32, $C$9, 100%, $E$9)</f>
        <v>6.9359000000000002</v>
      </c>
      <c r="F465" s="9">
        <f>6.9359 * CHOOSE(CONTROL!$C$32, $C$9, 100%, $E$9)</f>
        <v>6.9359000000000002</v>
      </c>
      <c r="G465" s="9">
        <f>6.9401 * CHOOSE(CONTROL!$C$32, $C$9, 100%, $E$9)</f>
        <v>6.9401000000000002</v>
      </c>
      <c r="H465" s="9">
        <f>14.7402 * CHOOSE(CONTROL!$C$32, $C$9, 100%, $E$9)</f>
        <v>14.7402</v>
      </c>
      <c r="I465" s="9">
        <f>14.7444 * CHOOSE(CONTROL!$C$32, $C$9, 100%, $E$9)</f>
        <v>14.744400000000001</v>
      </c>
      <c r="J465" s="9">
        <f>14.7402 * CHOOSE(CONTROL!$C$32, $C$9, 100%, $E$9)</f>
        <v>14.7402</v>
      </c>
      <c r="K465" s="9">
        <f>14.7444 * CHOOSE(CONTROL!$C$32, $C$9, 100%, $E$9)</f>
        <v>14.744400000000001</v>
      </c>
      <c r="L465" s="9">
        <f>6.9359 * CHOOSE(CONTROL!$C$32, $C$9, 100%, $E$9)</f>
        <v>6.9359000000000002</v>
      </c>
      <c r="M465" s="9">
        <f>6.9401 * CHOOSE(CONTROL!$C$32, $C$9, 100%, $E$9)</f>
        <v>6.9401000000000002</v>
      </c>
      <c r="N465" s="9">
        <f>6.9359 * CHOOSE(CONTROL!$C$32, $C$9, 100%, $E$9)</f>
        <v>6.9359000000000002</v>
      </c>
      <c r="O465" s="9">
        <f>6.9401 * CHOOSE(CONTROL!$C$32, $C$9, 100%, $E$9)</f>
        <v>6.9401000000000002</v>
      </c>
    </row>
    <row r="466" spans="1:15" ht="15.75" x14ac:dyDescent="0.25">
      <c r="A466" s="14">
        <v>55061</v>
      </c>
      <c r="B466" s="10">
        <f>7.7778 * CHOOSE(CONTROL!$C$32, $C$9, 100%, $E$9)</f>
        <v>7.7778</v>
      </c>
      <c r="C466" s="10">
        <f>7.7778 * CHOOSE(CONTROL!$C$32, $C$9, 100%, $E$9)</f>
        <v>7.7778</v>
      </c>
      <c r="D466" s="10">
        <f>7.779 * CHOOSE(CONTROL!$C$32, $C$9, 100%, $E$9)</f>
        <v>7.7789999999999999</v>
      </c>
      <c r="E466" s="9">
        <f>6.9184 * CHOOSE(CONTROL!$C$32, $C$9, 100%, $E$9)</f>
        <v>6.9184000000000001</v>
      </c>
      <c r="F466" s="9">
        <f>6.9184 * CHOOSE(CONTROL!$C$32, $C$9, 100%, $E$9)</f>
        <v>6.9184000000000001</v>
      </c>
      <c r="G466" s="9">
        <f>6.9226 * CHOOSE(CONTROL!$C$32, $C$9, 100%, $E$9)</f>
        <v>6.9226000000000001</v>
      </c>
      <c r="H466" s="9">
        <f>14.7709 * CHOOSE(CONTROL!$C$32, $C$9, 100%, $E$9)</f>
        <v>14.770899999999999</v>
      </c>
      <c r="I466" s="9">
        <f>14.7751 * CHOOSE(CONTROL!$C$32, $C$9, 100%, $E$9)</f>
        <v>14.7751</v>
      </c>
      <c r="J466" s="9">
        <f>14.7709 * CHOOSE(CONTROL!$C$32, $C$9, 100%, $E$9)</f>
        <v>14.770899999999999</v>
      </c>
      <c r="K466" s="9">
        <f>14.7751 * CHOOSE(CONTROL!$C$32, $C$9, 100%, $E$9)</f>
        <v>14.7751</v>
      </c>
      <c r="L466" s="9">
        <f>6.9184 * CHOOSE(CONTROL!$C$32, $C$9, 100%, $E$9)</f>
        <v>6.9184000000000001</v>
      </c>
      <c r="M466" s="9">
        <f>6.9226 * CHOOSE(CONTROL!$C$32, $C$9, 100%, $E$9)</f>
        <v>6.9226000000000001</v>
      </c>
      <c r="N466" s="9">
        <f>6.9184 * CHOOSE(CONTROL!$C$32, $C$9, 100%, $E$9)</f>
        <v>6.9184000000000001</v>
      </c>
      <c r="O466" s="9">
        <f>6.9226 * CHOOSE(CONTROL!$C$32, $C$9, 100%, $E$9)</f>
        <v>6.9226000000000001</v>
      </c>
    </row>
    <row r="467" spans="1:15" ht="15.75" x14ac:dyDescent="0.25">
      <c r="A467" s="14">
        <v>55092</v>
      </c>
      <c r="B467" s="10">
        <f>7.7879 * CHOOSE(CONTROL!$C$32, $C$9, 100%, $E$9)</f>
        <v>7.7878999999999996</v>
      </c>
      <c r="C467" s="10">
        <f>7.7879 * CHOOSE(CONTROL!$C$32, $C$9, 100%, $E$9)</f>
        <v>7.7878999999999996</v>
      </c>
      <c r="D467" s="10">
        <f>7.7888 * CHOOSE(CONTROL!$C$32, $C$9, 100%, $E$9)</f>
        <v>7.7888000000000002</v>
      </c>
      <c r="E467" s="9">
        <f>6.9665 * CHOOSE(CONTROL!$C$32, $C$9, 100%, $E$9)</f>
        <v>6.9664999999999999</v>
      </c>
      <c r="F467" s="9">
        <f>6.9665 * CHOOSE(CONTROL!$C$32, $C$9, 100%, $E$9)</f>
        <v>6.9664999999999999</v>
      </c>
      <c r="G467" s="9">
        <f>6.9697 * CHOOSE(CONTROL!$C$32, $C$9, 100%, $E$9)</f>
        <v>6.9696999999999996</v>
      </c>
      <c r="H467" s="9">
        <f>14.8016 * CHOOSE(CONTROL!$C$32, $C$9, 100%, $E$9)</f>
        <v>14.801600000000001</v>
      </c>
      <c r="I467" s="9">
        <f>14.8049 * CHOOSE(CONTROL!$C$32, $C$9, 100%, $E$9)</f>
        <v>14.8049</v>
      </c>
      <c r="J467" s="9">
        <f>14.8016 * CHOOSE(CONTROL!$C$32, $C$9, 100%, $E$9)</f>
        <v>14.801600000000001</v>
      </c>
      <c r="K467" s="9">
        <f>14.8049 * CHOOSE(CONTROL!$C$32, $C$9, 100%, $E$9)</f>
        <v>14.8049</v>
      </c>
      <c r="L467" s="9">
        <f>6.9665 * CHOOSE(CONTROL!$C$32, $C$9, 100%, $E$9)</f>
        <v>6.9664999999999999</v>
      </c>
      <c r="M467" s="9">
        <f>6.9697 * CHOOSE(CONTROL!$C$32, $C$9, 100%, $E$9)</f>
        <v>6.9696999999999996</v>
      </c>
      <c r="N467" s="9">
        <f>6.9665 * CHOOSE(CONTROL!$C$32, $C$9, 100%, $E$9)</f>
        <v>6.9664999999999999</v>
      </c>
      <c r="O467" s="9">
        <f>6.9697 * CHOOSE(CONTROL!$C$32, $C$9, 100%, $E$9)</f>
        <v>6.9696999999999996</v>
      </c>
    </row>
    <row r="468" spans="1:15" ht="15.75" x14ac:dyDescent="0.25">
      <c r="A468" s="14">
        <v>55122</v>
      </c>
      <c r="B468" s="10">
        <f>7.7909 * CHOOSE(CONTROL!$C$32, $C$9, 100%, $E$9)</f>
        <v>7.7908999999999997</v>
      </c>
      <c r="C468" s="10">
        <f>7.7909 * CHOOSE(CONTROL!$C$32, $C$9, 100%, $E$9)</f>
        <v>7.7908999999999997</v>
      </c>
      <c r="D468" s="10">
        <f>7.7919 * CHOOSE(CONTROL!$C$32, $C$9, 100%, $E$9)</f>
        <v>7.7919</v>
      </c>
      <c r="E468" s="9">
        <f>6.9993 * CHOOSE(CONTROL!$C$32, $C$9, 100%, $E$9)</f>
        <v>6.9992999999999999</v>
      </c>
      <c r="F468" s="9">
        <f>6.9993 * CHOOSE(CONTROL!$C$32, $C$9, 100%, $E$9)</f>
        <v>6.9992999999999999</v>
      </c>
      <c r="G468" s="9">
        <f>7.0025 * CHOOSE(CONTROL!$C$32, $C$9, 100%, $E$9)</f>
        <v>7.0025000000000004</v>
      </c>
      <c r="H468" s="9">
        <f>14.8325 * CHOOSE(CONTROL!$C$32, $C$9, 100%, $E$9)</f>
        <v>14.8325</v>
      </c>
      <c r="I468" s="9">
        <f>14.8357 * CHOOSE(CONTROL!$C$32, $C$9, 100%, $E$9)</f>
        <v>14.835699999999999</v>
      </c>
      <c r="J468" s="9">
        <f>14.8325 * CHOOSE(CONTROL!$C$32, $C$9, 100%, $E$9)</f>
        <v>14.8325</v>
      </c>
      <c r="K468" s="9">
        <f>14.8357 * CHOOSE(CONTROL!$C$32, $C$9, 100%, $E$9)</f>
        <v>14.835699999999999</v>
      </c>
      <c r="L468" s="9">
        <f>6.9993 * CHOOSE(CONTROL!$C$32, $C$9, 100%, $E$9)</f>
        <v>6.9992999999999999</v>
      </c>
      <c r="M468" s="9">
        <f>7.0025 * CHOOSE(CONTROL!$C$32, $C$9, 100%, $E$9)</f>
        <v>7.0025000000000004</v>
      </c>
      <c r="N468" s="9">
        <f>6.9993 * CHOOSE(CONTROL!$C$32, $C$9, 100%, $E$9)</f>
        <v>6.9992999999999999</v>
      </c>
      <c r="O468" s="9">
        <f>7.0025 * CHOOSE(CONTROL!$C$32, $C$9, 100%, $E$9)</f>
        <v>7.0025000000000004</v>
      </c>
    </row>
    <row r="469" spans="1:15" ht="15.75" x14ac:dyDescent="0.25">
      <c r="A469" s="14">
        <v>55153</v>
      </c>
      <c r="B469" s="10">
        <f>7.7909 * CHOOSE(CONTROL!$C$32, $C$9, 100%, $E$9)</f>
        <v>7.7908999999999997</v>
      </c>
      <c r="C469" s="10">
        <f>7.7909 * CHOOSE(CONTROL!$C$32, $C$9, 100%, $E$9)</f>
        <v>7.7908999999999997</v>
      </c>
      <c r="D469" s="10">
        <f>7.7919 * CHOOSE(CONTROL!$C$32, $C$9, 100%, $E$9)</f>
        <v>7.7919</v>
      </c>
      <c r="E469" s="9">
        <f>6.9225 * CHOOSE(CONTROL!$C$32, $C$9, 100%, $E$9)</f>
        <v>6.9225000000000003</v>
      </c>
      <c r="F469" s="9">
        <f>6.9225 * CHOOSE(CONTROL!$C$32, $C$9, 100%, $E$9)</f>
        <v>6.9225000000000003</v>
      </c>
      <c r="G469" s="9">
        <f>6.9257 * CHOOSE(CONTROL!$C$32, $C$9, 100%, $E$9)</f>
        <v>6.9257</v>
      </c>
      <c r="H469" s="9">
        <f>14.8634 * CHOOSE(CONTROL!$C$32, $C$9, 100%, $E$9)</f>
        <v>14.8634</v>
      </c>
      <c r="I469" s="9">
        <f>14.8666 * CHOOSE(CONTROL!$C$32, $C$9, 100%, $E$9)</f>
        <v>14.8666</v>
      </c>
      <c r="J469" s="9">
        <f>14.8634 * CHOOSE(CONTROL!$C$32, $C$9, 100%, $E$9)</f>
        <v>14.8634</v>
      </c>
      <c r="K469" s="9">
        <f>14.8666 * CHOOSE(CONTROL!$C$32, $C$9, 100%, $E$9)</f>
        <v>14.8666</v>
      </c>
      <c r="L469" s="9">
        <f>6.9225 * CHOOSE(CONTROL!$C$32, $C$9, 100%, $E$9)</f>
        <v>6.9225000000000003</v>
      </c>
      <c r="M469" s="9">
        <f>6.9257 * CHOOSE(CONTROL!$C$32, $C$9, 100%, $E$9)</f>
        <v>6.9257</v>
      </c>
      <c r="N469" s="9">
        <f>6.9225 * CHOOSE(CONTROL!$C$32, $C$9, 100%, $E$9)</f>
        <v>6.9225000000000003</v>
      </c>
      <c r="O469" s="9">
        <f>6.9257 * CHOOSE(CONTROL!$C$32, $C$9, 100%, $E$9)</f>
        <v>6.9257</v>
      </c>
    </row>
    <row r="470" spans="1:15" ht="15.75" x14ac:dyDescent="0.25">
      <c r="A470" s="14">
        <v>55184</v>
      </c>
      <c r="B470" s="10">
        <f>7.8558 * CHOOSE(CONTROL!$C$32, $C$9, 100%, $E$9)</f>
        <v>7.8558000000000003</v>
      </c>
      <c r="C470" s="10">
        <f>7.8558 * CHOOSE(CONTROL!$C$32, $C$9, 100%, $E$9)</f>
        <v>7.8558000000000003</v>
      </c>
      <c r="D470" s="10">
        <f>7.8567 * CHOOSE(CONTROL!$C$32, $C$9, 100%, $E$9)</f>
        <v>7.8567</v>
      </c>
      <c r="E470" s="9">
        <f>7.026 * CHOOSE(CONTROL!$C$32, $C$9, 100%, $E$9)</f>
        <v>7.0259999999999998</v>
      </c>
      <c r="F470" s="9">
        <f>7.026 * CHOOSE(CONTROL!$C$32, $C$9, 100%, $E$9)</f>
        <v>7.0259999999999998</v>
      </c>
      <c r="G470" s="9">
        <f>7.0292 * CHOOSE(CONTROL!$C$32, $C$9, 100%, $E$9)</f>
        <v>7.0292000000000003</v>
      </c>
      <c r="H470" s="9">
        <f>14.8943 * CHOOSE(CONTROL!$C$32, $C$9, 100%, $E$9)</f>
        <v>14.894299999999999</v>
      </c>
      <c r="I470" s="9">
        <f>14.8976 * CHOOSE(CONTROL!$C$32, $C$9, 100%, $E$9)</f>
        <v>14.897600000000001</v>
      </c>
      <c r="J470" s="9">
        <f>14.8943 * CHOOSE(CONTROL!$C$32, $C$9, 100%, $E$9)</f>
        <v>14.894299999999999</v>
      </c>
      <c r="K470" s="9">
        <f>14.8976 * CHOOSE(CONTROL!$C$32, $C$9, 100%, $E$9)</f>
        <v>14.897600000000001</v>
      </c>
      <c r="L470" s="9">
        <f>7.026 * CHOOSE(CONTROL!$C$32, $C$9, 100%, $E$9)</f>
        <v>7.0259999999999998</v>
      </c>
      <c r="M470" s="9">
        <f>7.0292 * CHOOSE(CONTROL!$C$32, $C$9, 100%, $E$9)</f>
        <v>7.0292000000000003</v>
      </c>
      <c r="N470" s="9">
        <f>7.026 * CHOOSE(CONTROL!$C$32, $C$9, 100%, $E$9)</f>
        <v>7.0259999999999998</v>
      </c>
      <c r="O470" s="9">
        <f>7.0292 * CHOOSE(CONTROL!$C$32, $C$9, 100%, $E$9)</f>
        <v>7.0292000000000003</v>
      </c>
    </row>
    <row r="471" spans="1:15" ht="15.75" x14ac:dyDescent="0.25">
      <c r="A471" s="14">
        <v>55212</v>
      </c>
      <c r="B471" s="10">
        <f>7.8527 * CHOOSE(CONTROL!$C$32, $C$9, 100%, $E$9)</f>
        <v>7.8526999999999996</v>
      </c>
      <c r="C471" s="10">
        <f>7.8527 * CHOOSE(CONTROL!$C$32, $C$9, 100%, $E$9)</f>
        <v>7.8526999999999996</v>
      </c>
      <c r="D471" s="10">
        <f>7.8537 * CHOOSE(CONTROL!$C$32, $C$9, 100%, $E$9)</f>
        <v>7.8536999999999999</v>
      </c>
      <c r="E471" s="9">
        <f>6.8743 * CHOOSE(CONTROL!$C$32, $C$9, 100%, $E$9)</f>
        <v>6.8742999999999999</v>
      </c>
      <c r="F471" s="9">
        <f>6.8743 * CHOOSE(CONTROL!$C$32, $C$9, 100%, $E$9)</f>
        <v>6.8742999999999999</v>
      </c>
      <c r="G471" s="9">
        <f>6.8776 * CHOOSE(CONTROL!$C$32, $C$9, 100%, $E$9)</f>
        <v>6.8776000000000002</v>
      </c>
      <c r="H471" s="9">
        <f>14.9254 * CHOOSE(CONTROL!$C$32, $C$9, 100%, $E$9)</f>
        <v>14.9254</v>
      </c>
      <c r="I471" s="9">
        <f>14.9286 * CHOOSE(CONTROL!$C$32, $C$9, 100%, $E$9)</f>
        <v>14.928599999999999</v>
      </c>
      <c r="J471" s="9">
        <f>14.9254 * CHOOSE(CONTROL!$C$32, $C$9, 100%, $E$9)</f>
        <v>14.9254</v>
      </c>
      <c r="K471" s="9">
        <f>14.9286 * CHOOSE(CONTROL!$C$32, $C$9, 100%, $E$9)</f>
        <v>14.928599999999999</v>
      </c>
      <c r="L471" s="9">
        <f>6.8743 * CHOOSE(CONTROL!$C$32, $C$9, 100%, $E$9)</f>
        <v>6.8742999999999999</v>
      </c>
      <c r="M471" s="9">
        <f>6.8776 * CHOOSE(CONTROL!$C$32, $C$9, 100%, $E$9)</f>
        <v>6.8776000000000002</v>
      </c>
      <c r="N471" s="9">
        <f>6.8743 * CHOOSE(CONTROL!$C$32, $C$9, 100%, $E$9)</f>
        <v>6.8742999999999999</v>
      </c>
      <c r="O471" s="9">
        <f>6.8776 * CHOOSE(CONTROL!$C$32, $C$9, 100%, $E$9)</f>
        <v>6.8776000000000002</v>
      </c>
    </row>
    <row r="472" spans="1:15" ht="15.75" x14ac:dyDescent="0.25">
      <c r="A472" s="14">
        <v>55243</v>
      </c>
      <c r="B472" s="10">
        <f>7.8497 * CHOOSE(CONTROL!$C$32, $C$9, 100%, $E$9)</f>
        <v>7.8497000000000003</v>
      </c>
      <c r="C472" s="10">
        <f>7.8497 * CHOOSE(CONTROL!$C$32, $C$9, 100%, $E$9)</f>
        <v>7.8497000000000003</v>
      </c>
      <c r="D472" s="10">
        <f>7.8506 * CHOOSE(CONTROL!$C$32, $C$9, 100%, $E$9)</f>
        <v>7.8506</v>
      </c>
      <c r="E472" s="9">
        <f>6.9901 * CHOOSE(CONTROL!$C$32, $C$9, 100%, $E$9)</f>
        <v>6.9901</v>
      </c>
      <c r="F472" s="9">
        <f>6.9901 * CHOOSE(CONTROL!$C$32, $C$9, 100%, $E$9)</f>
        <v>6.9901</v>
      </c>
      <c r="G472" s="9">
        <f>6.9933 * CHOOSE(CONTROL!$C$32, $C$9, 100%, $E$9)</f>
        <v>6.9932999999999996</v>
      </c>
      <c r="H472" s="9">
        <f>14.9565 * CHOOSE(CONTROL!$C$32, $C$9, 100%, $E$9)</f>
        <v>14.9565</v>
      </c>
      <c r="I472" s="9">
        <f>14.9597 * CHOOSE(CONTROL!$C$32, $C$9, 100%, $E$9)</f>
        <v>14.9597</v>
      </c>
      <c r="J472" s="9">
        <f>14.9565 * CHOOSE(CONTROL!$C$32, $C$9, 100%, $E$9)</f>
        <v>14.9565</v>
      </c>
      <c r="K472" s="9">
        <f>14.9597 * CHOOSE(CONTROL!$C$32, $C$9, 100%, $E$9)</f>
        <v>14.9597</v>
      </c>
      <c r="L472" s="9">
        <f>6.9901 * CHOOSE(CONTROL!$C$32, $C$9, 100%, $E$9)</f>
        <v>6.9901</v>
      </c>
      <c r="M472" s="9">
        <f>6.9933 * CHOOSE(CONTROL!$C$32, $C$9, 100%, $E$9)</f>
        <v>6.9932999999999996</v>
      </c>
      <c r="N472" s="9">
        <f>6.9901 * CHOOSE(CONTROL!$C$32, $C$9, 100%, $E$9)</f>
        <v>6.9901</v>
      </c>
      <c r="O472" s="9">
        <f>6.9933 * CHOOSE(CONTROL!$C$32, $C$9, 100%, $E$9)</f>
        <v>6.9932999999999996</v>
      </c>
    </row>
    <row r="473" spans="1:15" ht="15.75" x14ac:dyDescent="0.25">
      <c r="A473" s="14">
        <v>55273</v>
      </c>
      <c r="B473" s="10">
        <f>7.8513 * CHOOSE(CONTROL!$C$32, $C$9, 100%, $E$9)</f>
        <v>7.8513000000000002</v>
      </c>
      <c r="C473" s="10">
        <f>7.8513 * CHOOSE(CONTROL!$C$32, $C$9, 100%, $E$9)</f>
        <v>7.8513000000000002</v>
      </c>
      <c r="D473" s="10">
        <f>7.8523 * CHOOSE(CONTROL!$C$32, $C$9, 100%, $E$9)</f>
        <v>7.8522999999999996</v>
      </c>
      <c r="E473" s="9">
        <f>7.1125 * CHOOSE(CONTROL!$C$32, $C$9, 100%, $E$9)</f>
        <v>7.1124999999999998</v>
      </c>
      <c r="F473" s="9">
        <f>7.1125 * CHOOSE(CONTROL!$C$32, $C$9, 100%, $E$9)</f>
        <v>7.1124999999999998</v>
      </c>
      <c r="G473" s="9">
        <f>7.1157 * CHOOSE(CONTROL!$C$32, $C$9, 100%, $E$9)</f>
        <v>7.1157000000000004</v>
      </c>
      <c r="H473" s="9">
        <f>14.9876 * CHOOSE(CONTROL!$C$32, $C$9, 100%, $E$9)</f>
        <v>14.9876</v>
      </c>
      <c r="I473" s="9">
        <f>14.9909 * CHOOSE(CONTROL!$C$32, $C$9, 100%, $E$9)</f>
        <v>14.9909</v>
      </c>
      <c r="J473" s="9">
        <f>14.9876 * CHOOSE(CONTROL!$C$32, $C$9, 100%, $E$9)</f>
        <v>14.9876</v>
      </c>
      <c r="K473" s="9">
        <f>14.9909 * CHOOSE(CONTROL!$C$32, $C$9, 100%, $E$9)</f>
        <v>14.9909</v>
      </c>
      <c r="L473" s="9">
        <f>7.1125 * CHOOSE(CONTROL!$C$32, $C$9, 100%, $E$9)</f>
        <v>7.1124999999999998</v>
      </c>
      <c r="M473" s="9">
        <f>7.1157 * CHOOSE(CONTROL!$C$32, $C$9, 100%, $E$9)</f>
        <v>7.1157000000000004</v>
      </c>
      <c r="N473" s="9">
        <f>7.1125 * CHOOSE(CONTROL!$C$32, $C$9, 100%, $E$9)</f>
        <v>7.1124999999999998</v>
      </c>
      <c r="O473" s="9">
        <f>7.1157 * CHOOSE(CONTROL!$C$32, $C$9, 100%, $E$9)</f>
        <v>7.1157000000000004</v>
      </c>
    </row>
    <row r="474" spans="1:15" ht="15.75" x14ac:dyDescent="0.25">
      <c r="A474" s="14">
        <v>55304</v>
      </c>
      <c r="B474" s="10">
        <f>7.8513 * CHOOSE(CONTROL!$C$32, $C$9, 100%, $E$9)</f>
        <v>7.8513000000000002</v>
      </c>
      <c r="C474" s="10">
        <f>7.8513 * CHOOSE(CONTROL!$C$32, $C$9, 100%, $E$9)</f>
        <v>7.8513000000000002</v>
      </c>
      <c r="D474" s="10">
        <f>7.8526 * CHOOSE(CONTROL!$C$32, $C$9, 100%, $E$9)</f>
        <v>7.8525999999999998</v>
      </c>
      <c r="E474" s="9">
        <f>7.16 * CHOOSE(CONTROL!$C$32, $C$9, 100%, $E$9)</f>
        <v>7.16</v>
      </c>
      <c r="F474" s="9">
        <f>7.16 * CHOOSE(CONTROL!$C$32, $C$9, 100%, $E$9)</f>
        <v>7.16</v>
      </c>
      <c r="G474" s="9">
        <f>7.1642 * CHOOSE(CONTROL!$C$32, $C$9, 100%, $E$9)</f>
        <v>7.1642000000000001</v>
      </c>
      <c r="H474" s="9">
        <f>15.0189 * CHOOSE(CONTROL!$C$32, $C$9, 100%, $E$9)</f>
        <v>15.0189</v>
      </c>
      <c r="I474" s="9">
        <f>15.0231 * CHOOSE(CONTROL!$C$32, $C$9, 100%, $E$9)</f>
        <v>15.023099999999999</v>
      </c>
      <c r="J474" s="9">
        <f>15.0189 * CHOOSE(CONTROL!$C$32, $C$9, 100%, $E$9)</f>
        <v>15.0189</v>
      </c>
      <c r="K474" s="9">
        <f>15.0231 * CHOOSE(CONTROL!$C$32, $C$9, 100%, $E$9)</f>
        <v>15.023099999999999</v>
      </c>
      <c r="L474" s="9">
        <f>7.16 * CHOOSE(CONTROL!$C$32, $C$9, 100%, $E$9)</f>
        <v>7.16</v>
      </c>
      <c r="M474" s="9">
        <f>7.1642 * CHOOSE(CONTROL!$C$32, $C$9, 100%, $E$9)</f>
        <v>7.1642000000000001</v>
      </c>
      <c r="N474" s="9">
        <f>7.16 * CHOOSE(CONTROL!$C$32, $C$9, 100%, $E$9)</f>
        <v>7.16</v>
      </c>
      <c r="O474" s="9">
        <f>7.1642 * CHOOSE(CONTROL!$C$32, $C$9, 100%, $E$9)</f>
        <v>7.1642000000000001</v>
      </c>
    </row>
    <row r="475" spans="1:15" ht="15.75" x14ac:dyDescent="0.25">
      <c r="A475" s="14">
        <v>55334</v>
      </c>
      <c r="B475" s="10">
        <f>7.8574 * CHOOSE(CONTROL!$C$32, $C$9, 100%, $E$9)</f>
        <v>7.8574000000000002</v>
      </c>
      <c r="C475" s="10">
        <f>7.8574 * CHOOSE(CONTROL!$C$32, $C$9, 100%, $E$9)</f>
        <v>7.8574000000000002</v>
      </c>
      <c r="D475" s="10">
        <f>7.8587 * CHOOSE(CONTROL!$C$32, $C$9, 100%, $E$9)</f>
        <v>7.8586999999999998</v>
      </c>
      <c r="E475" s="9">
        <f>7.1167 * CHOOSE(CONTROL!$C$32, $C$9, 100%, $E$9)</f>
        <v>7.1166999999999998</v>
      </c>
      <c r="F475" s="9">
        <f>7.1167 * CHOOSE(CONTROL!$C$32, $C$9, 100%, $E$9)</f>
        <v>7.1166999999999998</v>
      </c>
      <c r="G475" s="9">
        <f>7.1209 * CHOOSE(CONTROL!$C$32, $C$9, 100%, $E$9)</f>
        <v>7.1208999999999998</v>
      </c>
      <c r="H475" s="9">
        <f>15.0501 * CHOOSE(CONTROL!$C$32, $C$9, 100%, $E$9)</f>
        <v>15.0501</v>
      </c>
      <c r="I475" s="9">
        <f>15.0543 * CHOOSE(CONTROL!$C$32, $C$9, 100%, $E$9)</f>
        <v>15.0543</v>
      </c>
      <c r="J475" s="9">
        <f>15.0501 * CHOOSE(CONTROL!$C$32, $C$9, 100%, $E$9)</f>
        <v>15.0501</v>
      </c>
      <c r="K475" s="9">
        <f>15.0543 * CHOOSE(CONTROL!$C$32, $C$9, 100%, $E$9)</f>
        <v>15.0543</v>
      </c>
      <c r="L475" s="9">
        <f>7.1167 * CHOOSE(CONTROL!$C$32, $C$9, 100%, $E$9)</f>
        <v>7.1166999999999998</v>
      </c>
      <c r="M475" s="9">
        <f>7.1209 * CHOOSE(CONTROL!$C$32, $C$9, 100%, $E$9)</f>
        <v>7.1208999999999998</v>
      </c>
      <c r="N475" s="9">
        <f>7.1167 * CHOOSE(CONTROL!$C$32, $C$9, 100%, $E$9)</f>
        <v>7.1166999999999998</v>
      </c>
      <c r="O475" s="9">
        <f>7.1209 * CHOOSE(CONTROL!$C$32, $C$9, 100%, $E$9)</f>
        <v>7.1208999999999998</v>
      </c>
    </row>
    <row r="476" spans="1:15" ht="15.75" x14ac:dyDescent="0.25">
      <c r="A476" s="14">
        <v>55365</v>
      </c>
      <c r="B476" s="10">
        <f>7.9705 * CHOOSE(CONTROL!$C$32, $C$9, 100%, $E$9)</f>
        <v>7.9705000000000004</v>
      </c>
      <c r="C476" s="10">
        <f>7.9705 * CHOOSE(CONTROL!$C$32, $C$9, 100%, $E$9)</f>
        <v>7.9705000000000004</v>
      </c>
      <c r="D476" s="10">
        <f>7.9718 * CHOOSE(CONTROL!$C$32, $C$9, 100%, $E$9)</f>
        <v>7.9718</v>
      </c>
      <c r="E476" s="9">
        <f>7.2005 * CHOOSE(CONTROL!$C$32, $C$9, 100%, $E$9)</f>
        <v>7.2004999999999999</v>
      </c>
      <c r="F476" s="9">
        <f>7.2005 * CHOOSE(CONTROL!$C$32, $C$9, 100%, $E$9)</f>
        <v>7.2004999999999999</v>
      </c>
      <c r="G476" s="9">
        <f>7.2047 * CHOOSE(CONTROL!$C$32, $C$9, 100%, $E$9)</f>
        <v>7.2046999999999999</v>
      </c>
      <c r="H476" s="9">
        <f>15.0815 * CHOOSE(CONTROL!$C$32, $C$9, 100%, $E$9)</f>
        <v>15.0815</v>
      </c>
      <c r="I476" s="9">
        <f>15.0857 * CHOOSE(CONTROL!$C$32, $C$9, 100%, $E$9)</f>
        <v>15.085699999999999</v>
      </c>
      <c r="J476" s="9">
        <f>15.0815 * CHOOSE(CONTROL!$C$32, $C$9, 100%, $E$9)</f>
        <v>15.0815</v>
      </c>
      <c r="K476" s="9">
        <f>15.0857 * CHOOSE(CONTROL!$C$32, $C$9, 100%, $E$9)</f>
        <v>15.085699999999999</v>
      </c>
      <c r="L476" s="9">
        <f>7.2005 * CHOOSE(CONTROL!$C$32, $C$9, 100%, $E$9)</f>
        <v>7.2004999999999999</v>
      </c>
      <c r="M476" s="9">
        <f>7.2047 * CHOOSE(CONTROL!$C$32, $C$9, 100%, $E$9)</f>
        <v>7.2046999999999999</v>
      </c>
      <c r="N476" s="9">
        <f>7.2005 * CHOOSE(CONTROL!$C$32, $C$9, 100%, $E$9)</f>
        <v>7.2004999999999999</v>
      </c>
      <c r="O476" s="9">
        <f>7.2047 * CHOOSE(CONTROL!$C$32, $C$9, 100%, $E$9)</f>
        <v>7.2046999999999999</v>
      </c>
    </row>
    <row r="477" spans="1:15" ht="15.75" x14ac:dyDescent="0.25">
      <c r="A477" s="14">
        <v>55396</v>
      </c>
      <c r="B477" s="10">
        <f>7.9772 * CHOOSE(CONTROL!$C$32, $C$9, 100%, $E$9)</f>
        <v>7.9771999999999998</v>
      </c>
      <c r="C477" s="10">
        <f>7.9772 * CHOOSE(CONTROL!$C$32, $C$9, 100%, $E$9)</f>
        <v>7.9771999999999998</v>
      </c>
      <c r="D477" s="10">
        <f>7.9784 * CHOOSE(CONTROL!$C$32, $C$9, 100%, $E$9)</f>
        <v>7.9783999999999997</v>
      </c>
      <c r="E477" s="9">
        <f>7.0627 * CHOOSE(CONTROL!$C$32, $C$9, 100%, $E$9)</f>
        <v>7.0627000000000004</v>
      </c>
      <c r="F477" s="9">
        <f>7.0627 * CHOOSE(CONTROL!$C$32, $C$9, 100%, $E$9)</f>
        <v>7.0627000000000004</v>
      </c>
      <c r="G477" s="9">
        <f>7.0669 * CHOOSE(CONTROL!$C$32, $C$9, 100%, $E$9)</f>
        <v>7.0669000000000004</v>
      </c>
      <c r="H477" s="9">
        <f>15.1129 * CHOOSE(CONTROL!$C$32, $C$9, 100%, $E$9)</f>
        <v>15.1129</v>
      </c>
      <c r="I477" s="9">
        <f>15.1171 * CHOOSE(CONTROL!$C$32, $C$9, 100%, $E$9)</f>
        <v>15.117100000000001</v>
      </c>
      <c r="J477" s="9">
        <f>15.1129 * CHOOSE(CONTROL!$C$32, $C$9, 100%, $E$9)</f>
        <v>15.1129</v>
      </c>
      <c r="K477" s="9">
        <f>15.1171 * CHOOSE(CONTROL!$C$32, $C$9, 100%, $E$9)</f>
        <v>15.117100000000001</v>
      </c>
      <c r="L477" s="9">
        <f>7.0627 * CHOOSE(CONTROL!$C$32, $C$9, 100%, $E$9)</f>
        <v>7.0627000000000004</v>
      </c>
      <c r="M477" s="9">
        <f>7.0669 * CHOOSE(CONTROL!$C$32, $C$9, 100%, $E$9)</f>
        <v>7.0669000000000004</v>
      </c>
      <c r="N477" s="9">
        <f>7.0627 * CHOOSE(CONTROL!$C$32, $C$9, 100%, $E$9)</f>
        <v>7.0627000000000004</v>
      </c>
      <c r="O477" s="9">
        <f>7.0669 * CHOOSE(CONTROL!$C$32, $C$9, 100%, $E$9)</f>
        <v>7.0669000000000004</v>
      </c>
    </row>
    <row r="478" spans="1:15" ht="15.75" x14ac:dyDescent="0.25">
      <c r="A478" s="14">
        <v>55426</v>
      </c>
      <c r="B478" s="10">
        <f>7.9742 * CHOOSE(CONTROL!$C$32, $C$9, 100%, $E$9)</f>
        <v>7.9741999999999997</v>
      </c>
      <c r="C478" s="10">
        <f>7.9742 * CHOOSE(CONTROL!$C$32, $C$9, 100%, $E$9)</f>
        <v>7.9741999999999997</v>
      </c>
      <c r="D478" s="10">
        <f>7.9754 * CHOOSE(CONTROL!$C$32, $C$9, 100%, $E$9)</f>
        <v>7.9753999999999996</v>
      </c>
      <c r="E478" s="9">
        <f>7.0447 * CHOOSE(CONTROL!$C$32, $C$9, 100%, $E$9)</f>
        <v>7.0446999999999997</v>
      </c>
      <c r="F478" s="9">
        <f>7.0447 * CHOOSE(CONTROL!$C$32, $C$9, 100%, $E$9)</f>
        <v>7.0446999999999997</v>
      </c>
      <c r="G478" s="9">
        <f>7.0489 * CHOOSE(CONTROL!$C$32, $C$9, 100%, $E$9)</f>
        <v>7.0488999999999997</v>
      </c>
      <c r="H478" s="9">
        <f>15.1444 * CHOOSE(CONTROL!$C$32, $C$9, 100%, $E$9)</f>
        <v>15.144399999999999</v>
      </c>
      <c r="I478" s="9">
        <f>15.1486 * CHOOSE(CONTROL!$C$32, $C$9, 100%, $E$9)</f>
        <v>15.1486</v>
      </c>
      <c r="J478" s="9">
        <f>15.1444 * CHOOSE(CONTROL!$C$32, $C$9, 100%, $E$9)</f>
        <v>15.144399999999999</v>
      </c>
      <c r="K478" s="9">
        <f>15.1486 * CHOOSE(CONTROL!$C$32, $C$9, 100%, $E$9)</f>
        <v>15.1486</v>
      </c>
      <c r="L478" s="9">
        <f>7.0447 * CHOOSE(CONTROL!$C$32, $C$9, 100%, $E$9)</f>
        <v>7.0446999999999997</v>
      </c>
      <c r="M478" s="9">
        <f>7.0489 * CHOOSE(CONTROL!$C$32, $C$9, 100%, $E$9)</f>
        <v>7.0488999999999997</v>
      </c>
      <c r="N478" s="9">
        <f>7.0447 * CHOOSE(CONTROL!$C$32, $C$9, 100%, $E$9)</f>
        <v>7.0446999999999997</v>
      </c>
      <c r="O478" s="9">
        <f>7.0489 * CHOOSE(CONTROL!$C$32, $C$9, 100%, $E$9)</f>
        <v>7.0488999999999997</v>
      </c>
    </row>
    <row r="479" spans="1:15" ht="15.75" x14ac:dyDescent="0.25">
      <c r="A479" s="14">
        <v>55457</v>
      </c>
      <c r="B479" s="10">
        <f>7.985 * CHOOSE(CONTROL!$C$32, $C$9, 100%, $E$9)</f>
        <v>7.9850000000000003</v>
      </c>
      <c r="C479" s="10">
        <f>7.985 * CHOOSE(CONTROL!$C$32, $C$9, 100%, $E$9)</f>
        <v>7.9850000000000003</v>
      </c>
      <c r="D479" s="10">
        <f>7.986 * CHOOSE(CONTROL!$C$32, $C$9, 100%, $E$9)</f>
        <v>7.9859999999999998</v>
      </c>
      <c r="E479" s="9">
        <f>7.0946 * CHOOSE(CONTROL!$C$32, $C$9, 100%, $E$9)</f>
        <v>7.0945999999999998</v>
      </c>
      <c r="F479" s="9">
        <f>7.0946 * CHOOSE(CONTROL!$C$32, $C$9, 100%, $E$9)</f>
        <v>7.0945999999999998</v>
      </c>
      <c r="G479" s="9">
        <f>7.0978 * CHOOSE(CONTROL!$C$32, $C$9, 100%, $E$9)</f>
        <v>7.0978000000000003</v>
      </c>
      <c r="H479" s="9">
        <f>15.176 * CHOOSE(CONTROL!$C$32, $C$9, 100%, $E$9)</f>
        <v>15.176</v>
      </c>
      <c r="I479" s="9">
        <f>15.1792 * CHOOSE(CONTROL!$C$32, $C$9, 100%, $E$9)</f>
        <v>15.1792</v>
      </c>
      <c r="J479" s="9">
        <f>15.176 * CHOOSE(CONTROL!$C$32, $C$9, 100%, $E$9)</f>
        <v>15.176</v>
      </c>
      <c r="K479" s="9">
        <f>15.1792 * CHOOSE(CONTROL!$C$32, $C$9, 100%, $E$9)</f>
        <v>15.1792</v>
      </c>
      <c r="L479" s="9">
        <f>7.0946 * CHOOSE(CONTROL!$C$32, $C$9, 100%, $E$9)</f>
        <v>7.0945999999999998</v>
      </c>
      <c r="M479" s="9">
        <f>7.0978 * CHOOSE(CONTROL!$C$32, $C$9, 100%, $E$9)</f>
        <v>7.0978000000000003</v>
      </c>
      <c r="N479" s="9">
        <f>7.0946 * CHOOSE(CONTROL!$C$32, $C$9, 100%, $E$9)</f>
        <v>7.0945999999999998</v>
      </c>
      <c r="O479" s="9">
        <f>7.0978 * CHOOSE(CONTROL!$C$32, $C$9, 100%, $E$9)</f>
        <v>7.0978000000000003</v>
      </c>
    </row>
    <row r="480" spans="1:15" ht="15.75" x14ac:dyDescent="0.25">
      <c r="A480" s="14">
        <v>55487</v>
      </c>
      <c r="B480" s="10">
        <f>7.9881 * CHOOSE(CONTROL!$C$32, $C$9, 100%, $E$9)</f>
        <v>7.9881000000000002</v>
      </c>
      <c r="C480" s="10">
        <f>7.9881 * CHOOSE(CONTROL!$C$32, $C$9, 100%, $E$9)</f>
        <v>7.9881000000000002</v>
      </c>
      <c r="D480" s="10">
        <f>7.989 * CHOOSE(CONTROL!$C$32, $C$9, 100%, $E$9)</f>
        <v>7.9889999999999999</v>
      </c>
      <c r="E480" s="9">
        <f>7.1284 * CHOOSE(CONTROL!$C$32, $C$9, 100%, $E$9)</f>
        <v>7.1284000000000001</v>
      </c>
      <c r="F480" s="9">
        <f>7.1284 * CHOOSE(CONTROL!$C$32, $C$9, 100%, $E$9)</f>
        <v>7.1284000000000001</v>
      </c>
      <c r="G480" s="9">
        <f>7.1316 * CHOOSE(CONTROL!$C$32, $C$9, 100%, $E$9)</f>
        <v>7.1315999999999997</v>
      </c>
      <c r="H480" s="9">
        <f>15.2076 * CHOOSE(CONTROL!$C$32, $C$9, 100%, $E$9)</f>
        <v>15.207599999999999</v>
      </c>
      <c r="I480" s="9">
        <f>15.2108 * CHOOSE(CONTROL!$C$32, $C$9, 100%, $E$9)</f>
        <v>15.210800000000001</v>
      </c>
      <c r="J480" s="9">
        <f>15.2076 * CHOOSE(CONTROL!$C$32, $C$9, 100%, $E$9)</f>
        <v>15.207599999999999</v>
      </c>
      <c r="K480" s="9">
        <f>15.2108 * CHOOSE(CONTROL!$C$32, $C$9, 100%, $E$9)</f>
        <v>15.210800000000001</v>
      </c>
      <c r="L480" s="9">
        <f>7.1284 * CHOOSE(CONTROL!$C$32, $C$9, 100%, $E$9)</f>
        <v>7.1284000000000001</v>
      </c>
      <c r="M480" s="9">
        <f>7.1316 * CHOOSE(CONTROL!$C$32, $C$9, 100%, $E$9)</f>
        <v>7.1315999999999997</v>
      </c>
      <c r="N480" s="9">
        <f>7.1284 * CHOOSE(CONTROL!$C$32, $C$9, 100%, $E$9)</f>
        <v>7.1284000000000001</v>
      </c>
      <c r="O480" s="9">
        <f>7.1316 * CHOOSE(CONTROL!$C$32, $C$9, 100%, $E$9)</f>
        <v>7.1315999999999997</v>
      </c>
    </row>
    <row r="481" spans="1:15" ht="15.75" x14ac:dyDescent="0.25">
      <c r="A481" s="14">
        <v>55518</v>
      </c>
      <c r="B481" s="10">
        <f>7.9881 * CHOOSE(CONTROL!$C$32, $C$9, 100%, $E$9)</f>
        <v>7.9881000000000002</v>
      </c>
      <c r="C481" s="10">
        <f>7.9881 * CHOOSE(CONTROL!$C$32, $C$9, 100%, $E$9)</f>
        <v>7.9881000000000002</v>
      </c>
      <c r="D481" s="10">
        <f>7.989 * CHOOSE(CONTROL!$C$32, $C$9, 100%, $E$9)</f>
        <v>7.9889999999999999</v>
      </c>
      <c r="E481" s="9">
        <f>7.0493 * CHOOSE(CONTROL!$C$32, $C$9, 100%, $E$9)</f>
        <v>7.0492999999999997</v>
      </c>
      <c r="F481" s="9">
        <f>7.0493 * CHOOSE(CONTROL!$C$32, $C$9, 100%, $E$9)</f>
        <v>7.0492999999999997</v>
      </c>
      <c r="G481" s="9">
        <f>7.0525 * CHOOSE(CONTROL!$C$32, $C$9, 100%, $E$9)</f>
        <v>7.0525000000000002</v>
      </c>
      <c r="H481" s="9">
        <f>15.2393 * CHOOSE(CONTROL!$C$32, $C$9, 100%, $E$9)</f>
        <v>15.2393</v>
      </c>
      <c r="I481" s="9">
        <f>15.2425 * CHOOSE(CONTROL!$C$32, $C$9, 100%, $E$9)</f>
        <v>15.2425</v>
      </c>
      <c r="J481" s="9">
        <f>15.2393 * CHOOSE(CONTROL!$C$32, $C$9, 100%, $E$9)</f>
        <v>15.2393</v>
      </c>
      <c r="K481" s="9">
        <f>15.2425 * CHOOSE(CONTROL!$C$32, $C$9, 100%, $E$9)</f>
        <v>15.2425</v>
      </c>
      <c r="L481" s="9">
        <f>7.0493 * CHOOSE(CONTROL!$C$32, $C$9, 100%, $E$9)</f>
        <v>7.0492999999999997</v>
      </c>
      <c r="M481" s="9">
        <f>7.0525 * CHOOSE(CONTROL!$C$32, $C$9, 100%, $E$9)</f>
        <v>7.0525000000000002</v>
      </c>
      <c r="N481" s="9">
        <f>7.0493 * CHOOSE(CONTROL!$C$32, $C$9, 100%, $E$9)</f>
        <v>7.0492999999999997</v>
      </c>
      <c r="O481" s="9">
        <f>7.0525 * CHOOSE(CONTROL!$C$32, $C$9, 100%, $E$9)</f>
        <v>7.0525000000000002</v>
      </c>
    </row>
    <row r="482" spans="1:15" ht="15.75" x14ac:dyDescent="0.25">
      <c r="A482" s="14">
        <v>55549</v>
      </c>
      <c r="B482" s="10">
        <f>8.0544 * CHOOSE(CONTROL!$C$32, $C$9, 100%, $E$9)</f>
        <v>8.0543999999999993</v>
      </c>
      <c r="C482" s="10">
        <f>8.0544 * CHOOSE(CONTROL!$C$32, $C$9, 100%, $E$9)</f>
        <v>8.0543999999999993</v>
      </c>
      <c r="D482" s="10">
        <f>8.0554 * CHOOSE(CONTROL!$C$32, $C$9, 100%, $E$9)</f>
        <v>8.0554000000000006</v>
      </c>
      <c r="E482" s="9">
        <f>7.1554 * CHOOSE(CONTROL!$C$32, $C$9, 100%, $E$9)</f>
        <v>7.1554000000000002</v>
      </c>
      <c r="F482" s="9">
        <f>7.1554 * CHOOSE(CONTROL!$C$32, $C$9, 100%, $E$9)</f>
        <v>7.1554000000000002</v>
      </c>
      <c r="G482" s="9">
        <f>7.1587 * CHOOSE(CONTROL!$C$32, $C$9, 100%, $E$9)</f>
        <v>7.1586999999999996</v>
      </c>
      <c r="H482" s="9">
        <f>15.271 * CHOOSE(CONTROL!$C$32, $C$9, 100%, $E$9)</f>
        <v>15.271000000000001</v>
      </c>
      <c r="I482" s="9">
        <f>15.2742 * CHOOSE(CONTROL!$C$32, $C$9, 100%, $E$9)</f>
        <v>15.2742</v>
      </c>
      <c r="J482" s="9">
        <f>15.271 * CHOOSE(CONTROL!$C$32, $C$9, 100%, $E$9)</f>
        <v>15.271000000000001</v>
      </c>
      <c r="K482" s="9">
        <f>15.2742 * CHOOSE(CONTROL!$C$32, $C$9, 100%, $E$9)</f>
        <v>15.2742</v>
      </c>
      <c r="L482" s="9">
        <f>7.1554 * CHOOSE(CONTROL!$C$32, $C$9, 100%, $E$9)</f>
        <v>7.1554000000000002</v>
      </c>
      <c r="M482" s="9">
        <f>7.1587 * CHOOSE(CONTROL!$C$32, $C$9, 100%, $E$9)</f>
        <v>7.1586999999999996</v>
      </c>
      <c r="N482" s="9">
        <f>7.1554 * CHOOSE(CONTROL!$C$32, $C$9, 100%, $E$9)</f>
        <v>7.1554000000000002</v>
      </c>
      <c r="O482" s="9">
        <f>7.1587 * CHOOSE(CONTROL!$C$32, $C$9, 100%, $E$9)</f>
        <v>7.1586999999999996</v>
      </c>
    </row>
    <row r="483" spans="1:15" ht="15.75" x14ac:dyDescent="0.25">
      <c r="A483" s="14">
        <v>55577</v>
      </c>
      <c r="B483" s="10">
        <f>8.0514 * CHOOSE(CONTROL!$C$32, $C$9, 100%, $E$9)</f>
        <v>8.0513999999999992</v>
      </c>
      <c r="C483" s="10">
        <f>8.0514 * CHOOSE(CONTROL!$C$32, $C$9, 100%, $E$9)</f>
        <v>8.0513999999999992</v>
      </c>
      <c r="D483" s="10">
        <f>8.0524 * CHOOSE(CONTROL!$C$32, $C$9, 100%, $E$9)</f>
        <v>8.0524000000000004</v>
      </c>
      <c r="E483" s="9">
        <f>6.9993 * CHOOSE(CONTROL!$C$32, $C$9, 100%, $E$9)</f>
        <v>6.9992999999999999</v>
      </c>
      <c r="F483" s="9">
        <f>6.9993 * CHOOSE(CONTROL!$C$32, $C$9, 100%, $E$9)</f>
        <v>6.9992999999999999</v>
      </c>
      <c r="G483" s="9">
        <f>7.0025 * CHOOSE(CONTROL!$C$32, $C$9, 100%, $E$9)</f>
        <v>7.0025000000000004</v>
      </c>
      <c r="H483" s="9">
        <f>15.3028 * CHOOSE(CONTROL!$C$32, $C$9, 100%, $E$9)</f>
        <v>15.3028</v>
      </c>
      <c r="I483" s="9">
        <f>15.306 * CHOOSE(CONTROL!$C$32, $C$9, 100%, $E$9)</f>
        <v>15.305999999999999</v>
      </c>
      <c r="J483" s="9">
        <f>15.3028 * CHOOSE(CONTROL!$C$32, $C$9, 100%, $E$9)</f>
        <v>15.3028</v>
      </c>
      <c r="K483" s="9">
        <f>15.306 * CHOOSE(CONTROL!$C$32, $C$9, 100%, $E$9)</f>
        <v>15.305999999999999</v>
      </c>
      <c r="L483" s="9">
        <f>6.9993 * CHOOSE(CONTROL!$C$32, $C$9, 100%, $E$9)</f>
        <v>6.9992999999999999</v>
      </c>
      <c r="M483" s="9">
        <f>7.0025 * CHOOSE(CONTROL!$C$32, $C$9, 100%, $E$9)</f>
        <v>7.0025000000000004</v>
      </c>
      <c r="N483" s="9">
        <f>6.9993 * CHOOSE(CONTROL!$C$32, $C$9, 100%, $E$9)</f>
        <v>6.9992999999999999</v>
      </c>
      <c r="O483" s="9">
        <f>7.0025 * CHOOSE(CONTROL!$C$32, $C$9, 100%, $E$9)</f>
        <v>7.0025000000000004</v>
      </c>
    </row>
    <row r="484" spans="1:15" ht="15.75" x14ac:dyDescent="0.25">
      <c r="A484" s="14">
        <v>55609</v>
      </c>
      <c r="B484" s="10">
        <f>8.0484 * CHOOSE(CONTROL!$C$32, $C$9, 100%, $E$9)</f>
        <v>8.0484000000000009</v>
      </c>
      <c r="C484" s="10">
        <f>8.0484 * CHOOSE(CONTROL!$C$32, $C$9, 100%, $E$9)</f>
        <v>8.0484000000000009</v>
      </c>
      <c r="D484" s="10">
        <f>8.0493 * CHOOSE(CONTROL!$C$32, $C$9, 100%, $E$9)</f>
        <v>8.0493000000000006</v>
      </c>
      <c r="E484" s="9">
        <f>7.1186 * CHOOSE(CONTROL!$C$32, $C$9, 100%, $E$9)</f>
        <v>7.1185999999999998</v>
      </c>
      <c r="F484" s="9">
        <f>7.1186 * CHOOSE(CONTROL!$C$32, $C$9, 100%, $E$9)</f>
        <v>7.1185999999999998</v>
      </c>
      <c r="G484" s="9">
        <f>7.1218 * CHOOSE(CONTROL!$C$32, $C$9, 100%, $E$9)</f>
        <v>7.1218000000000004</v>
      </c>
      <c r="H484" s="9">
        <f>15.3347 * CHOOSE(CONTROL!$C$32, $C$9, 100%, $E$9)</f>
        <v>15.3347</v>
      </c>
      <c r="I484" s="9">
        <f>15.3379 * CHOOSE(CONTROL!$C$32, $C$9, 100%, $E$9)</f>
        <v>15.337899999999999</v>
      </c>
      <c r="J484" s="9">
        <f>15.3347 * CHOOSE(CONTROL!$C$32, $C$9, 100%, $E$9)</f>
        <v>15.3347</v>
      </c>
      <c r="K484" s="9">
        <f>15.3379 * CHOOSE(CONTROL!$C$32, $C$9, 100%, $E$9)</f>
        <v>15.337899999999999</v>
      </c>
      <c r="L484" s="9">
        <f>7.1186 * CHOOSE(CONTROL!$C$32, $C$9, 100%, $E$9)</f>
        <v>7.1185999999999998</v>
      </c>
      <c r="M484" s="9">
        <f>7.1218 * CHOOSE(CONTROL!$C$32, $C$9, 100%, $E$9)</f>
        <v>7.1218000000000004</v>
      </c>
      <c r="N484" s="9">
        <f>7.1186 * CHOOSE(CONTROL!$C$32, $C$9, 100%, $E$9)</f>
        <v>7.1185999999999998</v>
      </c>
      <c r="O484" s="9">
        <f>7.1218 * CHOOSE(CONTROL!$C$32, $C$9, 100%, $E$9)</f>
        <v>7.1218000000000004</v>
      </c>
    </row>
    <row r="485" spans="1:15" ht="15.75" x14ac:dyDescent="0.25">
      <c r="A485" s="14">
        <v>55639</v>
      </c>
      <c r="B485" s="10">
        <f>8.0502 * CHOOSE(CONTROL!$C$32, $C$9, 100%, $E$9)</f>
        <v>8.0502000000000002</v>
      </c>
      <c r="C485" s="10">
        <f>8.0502 * CHOOSE(CONTROL!$C$32, $C$9, 100%, $E$9)</f>
        <v>8.0502000000000002</v>
      </c>
      <c r="D485" s="10">
        <f>8.0512 * CHOOSE(CONTROL!$C$32, $C$9, 100%, $E$9)</f>
        <v>8.0511999999999997</v>
      </c>
      <c r="E485" s="9">
        <f>7.2448 * CHOOSE(CONTROL!$C$32, $C$9, 100%, $E$9)</f>
        <v>7.2447999999999997</v>
      </c>
      <c r="F485" s="9">
        <f>7.2448 * CHOOSE(CONTROL!$C$32, $C$9, 100%, $E$9)</f>
        <v>7.2447999999999997</v>
      </c>
      <c r="G485" s="9">
        <f>7.248 * CHOOSE(CONTROL!$C$32, $C$9, 100%, $E$9)</f>
        <v>7.2480000000000002</v>
      </c>
      <c r="H485" s="9">
        <f>15.3666 * CHOOSE(CONTROL!$C$32, $C$9, 100%, $E$9)</f>
        <v>15.3666</v>
      </c>
      <c r="I485" s="9">
        <f>15.3699 * CHOOSE(CONTROL!$C$32, $C$9, 100%, $E$9)</f>
        <v>15.369899999999999</v>
      </c>
      <c r="J485" s="9">
        <f>15.3666 * CHOOSE(CONTROL!$C$32, $C$9, 100%, $E$9)</f>
        <v>15.3666</v>
      </c>
      <c r="K485" s="9">
        <f>15.3699 * CHOOSE(CONTROL!$C$32, $C$9, 100%, $E$9)</f>
        <v>15.369899999999999</v>
      </c>
      <c r="L485" s="9">
        <f>7.2448 * CHOOSE(CONTROL!$C$32, $C$9, 100%, $E$9)</f>
        <v>7.2447999999999997</v>
      </c>
      <c r="M485" s="9">
        <f>7.248 * CHOOSE(CONTROL!$C$32, $C$9, 100%, $E$9)</f>
        <v>7.2480000000000002</v>
      </c>
      <c r="N485" s="9">
        <f>7.2448 * CHOOSE(CONTROL!$C$32, $C$9, 100%, $E$9)</f>
        <v>7.2447999999999997</v>
      </c>
      <c r="O485" s="9">
        <f>7.248 * CHOOSE(CONTROL!$C$32, $C$9, 100%, $E$9)</f>
        <v>7.2480000000000002</v>
      </c>
    </row>
    <row r="486" spans="1:15" ht="15.75" x14ac:dyDescent="0.25">
      <c r="A486" s="14">
        <v>55670</v>
      </c>
      <c r="B486" s="10">
        <f>8.0502 * CHOOSE(CONTROL!$C$32, $C$9, 100%, $E$9)</f>
        <v>8.0502000000000002</v>
      </c>
      <c r="C486" s="10">
        <f>8.0502 * CHOOSE(CONTROL!$C$32, $C$9, 100%, $E$9)</f>
        <v>8.0502000000000002</v>
      </c>
      <c r="D486" s="10">
        <f>8.0514 * CHOOSE(CONTROL!$C$32, $C$9, 100%, $E$9)</f>
        <v>8.0513999999999992</v>
      </c>
      <c r="E486" s="9">
        <f>7.2937 * CHOOSE(CONTROL!$C$32, $C$9, 100%, $E$9)</f>
        <v>7.2937000000000003</v>
      </c>
      <c r="F486" s="9">
        <f>7.2937 * CHOOSE(CONTROL!$C$32, $C$9, 100%, $E$9)</f>
        <v>7.2937000000000003</v>
      </c>
      <c r="G486" s="9">
        <f>7.2979 * CHOOSE(CONTROL!$C$32, $C$9, 100%, $E$9)</f>
        <v>7.2979000000000003</v>
      </c>
      <c r="H486" s="9">
        <f>15.3987 * CHOOSE(CONTROL!$C$32, $C$9, 100%, $E$9)</f>
        <v>15.3987</v>
      </c>
      <c r="I486" s="9">
        <f>15.4029 * CHOOSE(CONTROL!$C$32, $C$9, 100%, $E$9)</f>
        <v>15.402900000000001</v>
      </c>
      <c r="J486" s="9">
        <f>15.3987 * CHOOSE(CONTROL!$C$32, $C$9, 100%, $E$9)</f>
        <v>15.3987</v>
      </c>
      <c r="K486" s="9">
        <f>15.4029 * CHOOSE(CONTROL!$C$32, $C$9, 100%, $E$9)</f>
        <v>15.402900000000001</v>
      </c>
      <c r="L486" s="9">
        <f>7.2937 * CHOOSE(CONTROL!$C$32, $C$9, 100%, $E$9)</f>
        <v>7.2937000000000003</v>
      </c>
      <c r="M486" s="9">
        <f>7.2979 * CHOOSE(CONTROL!$C$32, $C$9, 100%, $E$9)</f>
        <v>7.2979000000000003</v>
      </c>
      <c r="N486" s="9">
        <f>7.2937 * CHOOSE(CONTROL!$C$32, $C$9, 100%, $E$9)</f>
        <v>7.2937000000000003</v>
      </c>
      <c r="O486" s="9">
        <f>7.2979 * CHOOSE(CONTROL!$C$32, $C$9, 100%, $E$9)</f>
        <v>7.2979000000000003</v>
      </c>
    </row>
    <row r="487" spans="1:15" ht="15.75" x14ac:dyDescent="0.25">
      <c r="A487" s="14">
        <v>55700</v>
      </c>
      <c r="B487" s="10">
        <f>8.0563 * CHOOSE(CONTROL!$C$32, $C$9, 100%, $E$9)</f>
        <v>8.0563000000000002</v>
      </c>
      <c r="C487" s="10">
        <f>8.0563 * CHOOSE(CONTROL!$C$32, $C$9, 100%, $E$9)</f>
        <v>8.0563000000000002</v>
      </c>
      <c r="D487" s="10">
        <f>8.0575 * CHOOSE(CONTROL!$C$32, $C$9, 100%, $E$9)</f>
        <v>8.0574999999999992</v>
      </c>
      <c r="E487" s="9">
        <f>7.249 * CHOOSE(CONTROL!$C$32, $C$9, 100%, $E$9)</f>
        <v>7.2489999999999997</v>
      </c>
      <c r="F487" s="9">
        <f>7.249 * CHOOSE(CONTROL!$C$32, $C$9, 100%, $E$9)</f>
        <v>7.2489999999999997</v>
      </c>
      <c r="G487" s="9">
        <f>7.2532 * CHOOSE(CONTROL!$C$32, $C$9, 100%, $E$9)</f>
        <v>7.2531999999999996</v>
      </c>
      <c r="H487" s="9">
        <f>15.4307 * CHOOSE(CONTROL!$C$32, $C$9, 100%, $E$9)</f>
        <v>15.4307</v>
      </c>
      <c r="I487" s="9">
        <f>15.4349 * CHOOSE(CONTROL!$C$32, $C$9, 100%, $E$9)</f>
        <v>15.434900000000001</v>
      </c>
      <c r="J487" s="9">
        <f>15.4307 * CHOOSE(CONTROL!$C$32, $C$9, 100%, $E$9)</f>
        <v>15.4307</v>
      </c>
      <c r="K487" s="9">
        <f>15.4349 * CHOOSE(CONTROL!$C$32, $C$9, 100%, $E$9)</f>
        <v>15.434900000000001</v>
      </c>
      <c r="L487" s="9">
        <f>7.249 * CHOOSE(CONTROL!$C$32, $C$9, 100%, $E$9)</f>
        <v>7.2489999999999997</v>
      </c>
      <c r="M487" s="9">
        <f>7.2532 * CHOOSE(CONTROL!$C$32, $C$9, 100%, $E$9)</f>
        <v>7.2531999999999996</v>
      </c>
      <c r="N487" s="9">
        <f>7.249 * CHOOSE(CONTROL!$C$32, $C$9, 100%, $E$9)</f>
        <v>7.2489999999999997</v>
      </c>
      <c r="O487" s="9">
        <f>7.2532 * CHOOSE(CONTROL!$C$32, $C$9, 100%, $E$9)</f>
        <v>7.2531999999999996</v>
      </c>
    </row>
    <row r="488" spans="1:15" ht="15.75" x14ac:dyDescent="0.25">
      <c r="A488" s="14">
        <v>55731</v>
      </c>
      <c r="B488" s="10">
        <f>8.1719 * CHOOSE(CONTROL!$C$32, $C$9, 100%, $E$9)</f>
        <v>8.1719000000000008</v>
      </c>
      <c r="C488" s="10">
        <f>8.1719 * CHOOSE(CONTROL!$C$32, $C$9, 100%, $E$9)</f>
        <v>8.1719000000000008</v>
      </c>
      <c r="D488" s="10">
        <f>8.1731 * CHOOSE(CONTROL!$C$32, $C$9, 100%, $E$9)</f>
        <v>8.1730999999999998</v>
      </c>
      <c r="E488" s="9">
        <f>7.3341 * CHOOSE(CONTROL!$C$32, $C$9, 100%, $E$9)</f>
        <v>7.3341000000000003</v>
      </c>
      <c r="F488" s="9">
        <f>7.3341 * CHOOSE(CONTROL!$C$32, $C$9, 100%, $E$9)</f>
        <v>7.3341000000000003</v>
      </c>
      <c r="G488" s="9">
        <f>7.3383 * CHOOSE(CONTROL!$C$32, $C$9, 100%, $E$9)</f>
        <v>7.3383000000000003</v>
      </c>
      <c r="H488" s="9">
        <f>15.4629 * CHOOSE(CONTROL!$C$32, $C$9, 100%, $E$9)</f>
        <v>15.462899999999999</v>
      </c>
      <c r="I488" s="9">
        <f>15.4671 * CHOOSE(CONTROL!$C$32, $C$9, 100%, $E$9)</f>
        <v>15.4671</v>
      </c>
      <c r="J488" s="9">
        <f>15.4629 * CHOOSE(CONTROL!$C$32, $C$9, 100%, $E$9)</f>
        <v>15.462899999999999</v>
      </c>
      <c r="K488" s="9">
        <f>15.4671 * CHOOSE(CONTROL!$C$32, $C$9, 100%, $E$9)</f>
        <v>15.4671</v>
      </c>
      <c r="L488" s="9">
        <f>7.3341 * CHOOSE(CONTROL!$C$32, $C$9, 100%, $E$9)</f>
        <v>7.3341000000000003</v>
      </c>
      <c r="M488" s="9">
        <f>7.3383 * CHOOSE(CONTROL!$C$32, $C$9, 100%, $E$9)</f>
        <v>7.3383000000000003</v>
      </c>
      <c r="N488" s="9">
        <f>7.3341 * CHOOSE(CONTROL!$C$32, $C$9, 100%, $E$9)</f>
        <v>7.3341000000000003</v>
      </c>
      <c r="O488" s="9">
        <f>7.3383 * CHOOSE(CONTROL!$C$32, $C$9, 100%, $E$9)</f>
        <v>7.3383000000000003</v>
      </c>
    </row>
    <row r="489" spans="1:15" ht="15.75" x14ac:dyDescent="0.25">
      <c r="A489" s="14">
        <v>55762</v>
      </c>
      <c r="B489" s="10">
        <f>8.1786 * CHOOSE(CONTROL!$C$32, $C$9, 100%, $E$9)</f>
        <v>8.1785999999999994</v>
      </c>
      <c r="C489" s="10">
        <f>8.1786 * CHOOSE(CONTROL!$C$32, $C$9, 100%, $E$9)</f>
        <v>8.1785999999999994</v>
      </c>
      <c r="D489" s="10">
        <f>8.1798 * CHOOSE(CONTROL!$C$32, $C$9, 100%, $E$9)</f>
        <v>8.1798000000000002</v>
      </c>
      <c r="E489" s="9">
        <f>7.192 * CHOOSE(CONTROL!$C$32, $C$9, 100%, $E$9)</f>
        <v>7.1920000000000002</v>
      </c>
      <c r="F489" s="9">
        <f>7.192 * CHOOSE(CONTROL!$C$32, $C$9, 100%, $E$9)</f>
        <v>7.1920000000000002</v>
      </c>
      <c r="G489" s="9">
        <f>7.1962 * CHOOSE(CONTROL!$C$32, $C$9, 100%, $E$9)</f>
        <v>7.1962000000000002</v>
      </c>
      <c r="H489" s="9">
        <f>15.4951 * CHOOSE(CONTROL!$C$32, $C$9, 100%, $E$9)</f>
        <v>15.495100000000001</v>
      </c>
      <c r="I489" s="9">
        <f>15.4993 * CHOOSE(CONTROL!$C$32, $C$9, 100%, $E$9)</f>
        <v>15.4993</v>
      </c>
      <c r="J489" s="9">
        <f>15.4951 * CHOOSE(CONTROL!$C$32, $C$9, 100%, $E$9)</f>
        <v>15.495100000000001</v>
      </c>
      <c r="K489" s="9">
        <f>15.4993 * CHOOSE(CONTROL!$C$32, $C$9, 100%, $E$9)</f>
        <v>15.4993</v>
      </c>
      <c r="L489" s="9">
        <f>7.192 * CHOOSE(CONTROL!$C$32, $C$9, 100%, $E$9)</f>
        <v>7.1920000000000002</v>
      </c>
      <c r="M489" s="9">
        <f>7.1962 * CHOOSE(CONTROL!$C$32, $C$9, 100%, $E$9)</f>
        <v>7.1962000000000002</v>
      </c>
      <c r="N489" s="9">
        <f>7.192 * CHOOSE(CONTROL!$C$32, $C$9, 100%, $E$9)</f>
        <v>7.1920000000000002</v>
      </c>
      <c r="O489" s="9">
        <f>7.1962 * CHOOSE(CONTROL!$C$32, $C$9, 100%, $E$9)</f>
        <v>7.1962000000000002</v>
      </c>
    </row>
    <row r="490" spans="1:15" ht="15.75" x14ac:dyDescent="0.25">
      <c r="A490" s="14">
        <v>55792</v>
      </c>
      <c r="B490" s="10">
        <f>8.1755 * CHOOSE(CONTROL!$C$32, $C$9, 100%, $E$9)</f>
        <v>8.1754999999999995</v>
      </c>
      <c r="C490" s="10">
        <f>8.1755 * CHOOSE(CONTROL!$C$32, $C$9, 100%, $E$9)</f>
        <v>8.1754999999999995</v>
      </c>
      <c r="D490" s="10">
        <f>8.1768 * CHOOSE(CONTROL!$C$32, $C$9, 100%, $E$9)</f>
        <v>8.1768000000000001</v>
      </c>
      <c r="E490" s="9">
        <f>7.1736 * CHOOSE(CONTROL!$C$32, $C$9, 100%, $E$9)</f>
        <v>7.1736000000000004</v>
      </c>
      <c r="F490" s="9">
        <f>7.1736 * CHOOSE(CONTROL!$C$32, $C$9, 100%, $E$9)</f>
        <v>7.1736000000000004</v>
      </c>
      <c r="G490" s="9">
        <f>7.1778 * CHOOSE(CONTROL!$C$32, $C$9, 100%, $E$9)</f>
        <v>7.1778000000000004</v>
      </c>
      <c r="H490" s="9">
        <f>15.5274 * CHOOSE(CONTROL!$C$32, $C$9, 100%, $E$9)</f>
        <v>15.5274</v>
      </c>
      <c r="I490" s="9">
        <f>15.5316 * CHOOSE(CONTROL!$C$32, $C$9, 100%, $E$9)</f>
        <v>15.531599999999999</v>
      </c>
      <c r="J490" s="9">
        <f>15.5274 * CHOOSE(CONTROL!$C$32, $C$9, 100%, $E$9)</f>
        <v>15.5274</v>
      </c>
      <c r="K490" s="9">
        <f>15.5316 * CHOOSE(CONTROL!$C$32, $C$9, 100%, $E$9)</f>
        <v>15.531599999999999</v>
      </c>
      <c r="L490" s="9">
        <f>7.1736 * CHOOSE(CONTROL!$C$32, $C$9, 100%, $E$9)</f>
        <v>7.1736000000000004</v>
      </c>
      <c r="M490" s="9">
        <f>7.1778 * CHOOSE(CONTROL!$C$32, $C$9, 100%, $E$9)</f>
        <v>7.1778000000000004</v>
      </c>
      <c r="N490" s="9">
        <f>7.1736 * CHOOSE(CONTROL!$C$32, $C$9, 100%, $E$9)</f>
        <v>7.1736000000000004</v>
      </c>
      <c r="O490" s="9">
        <f>7.1778 * CHOOSE(CONTROL!$C$32, $C$9, 100%, $E$9)</f>
        <v>7.1778000000000004</v>
      </c>
    </row>
    <row r="491" spans="1:15" ht="15.75" x14ac:dyDescent="0.25">
      <c r="A491" s="14">
        <v>55823</v>
      </c>
      <c r="B491" s="10">
        <f>8.1872 * CHOOSE(CONTROL!$C$32, $C$9, 100%, $E$9)</f>
        <v>8.1872000000000007</v>
      </c>
      <c r="C491" s="10">
        <f>8.1872 * CHOOSE(CONTROL!$C$32, $C$9, 100%, $E$9)</f>
        <v>8.1872000000000007</v>
      </c>
      <c r="D491" s="10">
        <f>8.1881 * CHOOSE(CONTROL!$C$32, $C$9, 100%, $E$9)</f>
        <v>8.1881000000000004</v>
      </c>
      <c r="E491" s="9">
        <f>7.2254 * CHOOSE(CONTROL!$C$32, $C$9, 100%, $E$9)</f>
        <v>7.2253999999999996</v>
      </c>
      <c r="F491" s="9">
        <f>7.2254 * CHOOSE(CONTROL!$C$32, $C$9, 100%, $E$9)</f>
        <v>7.2253999999999996</v>
      </c>
      <c r="G491" s="9">
        <f>7.2286 * CHOOSE(CONTROL!$C$32, $C$9, 100%, $E$9)</f>
        <v>7.2286000000000001</v>
      </c>
      <c r="H491" s="9">
        <f>15.5597 * CHOOSE(CONTROL!$C$32, $C$9, 100%, $E$9)</f>
        <v>15.559699999999999</v>
      </c>
      <c r="I491" s="9">
        <f>15.563 * CHOOSE(CONTROL!$C$32, $C$9, 100%, $E$9)</f>
        <v>15.563000000000001</v>
      </c>
      <c r="J491" s="9">
        <f>15.5597 * CHOOSE(CONTROL!$C$32, $C$9, 100%, $E$9)</f>
        <v>15.559699999999999</v>
      </c>
      <c r="K491" s="9">
        <f>15.563 * CHOOSE(CONTROL!$C$32, $C$9, 100%, $E$9)</f>
        <v>15.563000000000001</v>
      </c>
      <c r="L491" s="9">
        <f>7.2254 * CHOOSE(CONTROL!$C$32, $C$9, 100%, $E$9)</f>
        <v>7.2253999999999996</v>
      </c>
      <c r="M491" s="9">
        <f>7.2286 * CHOOSE(CONTROL!$C$32, $C$9, 100%, $E$9)</f>
        <v>7.2286000000000001</v>
      </c>
      <c r="N491" s="9">
        <f>7.2254 * CHOOSE(CONTROL!$C$32, $C$9, 100%, $E$9)</f>
        <v>7.2253999999999996</v>
      </c>
      <c r="O491" s="9">
        <f>7.2286 * CHOOSE(CONTROL!$C$32, $C$9, 100%, $E$9)</f>
        <v>7.2286000000000001</v>
      </c>
    </row>
    <row r="492" spans="1:15" ht="15.75" x14ac:dyDescent="0.25">
      <c r="A492" s="14">
        <v>55853</v>
      </c>
      <c r="B492" s="10">
        <f>8.1902 * CHOOSE(CONTROL!$C$32, $C$9, 100%, $E$9)</f>
        <v>8.1902000000000008</v>
      </c>
      <c r="C492" s="10">
        <f>8.1902 * CHOOSE(CONTROL!$C$32, $C$9, 100%, $E$9)</f>
        <v>8.1902000000000008</v>
      </c>
      <c r="D492" s="10">
        <f>8.1912 * CHOOSE(CONTROL!$C$32, $C$9, 100%, $E$9)</f>
        <v>8.1912000000000003</v>
      </c>
      <c r="E492" s="9">
        <f>7.2601 * CHOOSE(CONTROL!$C$32, $C$9, 100%, $E$9)</f>
        <v>7.2601000000000004</v>
      </c>
      <c r="F492" s="9">
        <f>7.2601 * CHOOSE(CONTROL!$C$32, $C$9, 100%, $E$9)</f>
        <v>7.2601000000000004</v>
      </c>
      <c r="G492" s="9">
        <f>7.2634 * CHOOSE(CONTROL!$C$32, $C$9, 100%, $E$9)</f>
        <v>7.2633999999999999</v>
      </c>
      <c r="H492" s="9">
        <f>15.5921 * CHOOSE(CONTROL!$C$32, $C$9, 100%, $E$9)</f>
        <v>15.5921</v>
      </c>
      <c r="I492" s="9">
        <f>15.5954 * CHOOSE(CONTROL!$C$32, $C$9, 100%, $E$9)</f>
        <v>15.5954</v>
      </c>
      <c r="J492" s="9">
        <f>15.5921 * CHOOSE(CONTROL!$C$32, $C$9, 100%, $E$9)</f>
        <v>15.5921</v>
      </c>
      <c r="K492" s="9">
        <f>15.5954 * CHOOSE(CONTROL!$C$32, $C$9, 100%, $E$9)</f>
        <v>15.5954</v>
      </c>
      <c r="L492" s="9">
        <f>7.2601 * CHOOSE(CONTROL!$C$32, $C$9, 100%, $E$9)</f>
        <v>7.2601000000000004</v>
      </c>
      <c r="M492" s="9">
        <f>7.2634 * CHOOSE(CONTROL!$C$32, $C$9, 100%, $E$9)</f>
        <v>7.2633999999999999</v>
      </c>
      <c r="N492" s="9">
        <f>7.2601 * CHOOSE(CONTROL!$C$32, $C$9, 100%, $E$9)</f>
        <v>7.2601000000000004</v>
      </c>
      <c r="O492" s="9">
        <f>7.2634 * CHOOSE(CONTROL!$C$32, $C$9, 100%, $E$9)</f>
        <v>7.2633999999999999</v>
      </c>
    </row>
    <row r="493" spans="1:15" ht="15.75" x14ac:dyDescent="0.25">
      <c r="A493" s="14">
        <v>55884</v>
      </c>
      <c r="B493" s="10">
        <f>8.1902 * CHOOSE(CONTROL!$C$32, $C$9, 100%, $E$9)</f>
        <v>8.1902000000000008</v>
      </c>
      <c r="C493" s="10">
        <f>8.1902 * CHOOSE(CONTROL!$C$32, $C$9, 100%, $E$9)</f>
        <v>8.1902000000000008</v>
      </c>
      <c r="D493" s="10">
        <f>8.1912 * CHOOSE(CONTROL!$C$32, $C$9, 100%, $E$9)</f>
        <v>8.1912000000000003</v>
      </c>
      <c r="E493" s="9">
        <f>7.1786 * CHOOSE(CONTROL!$C$32, $C$9, 100%, $E$9)</f>
        <v>7.1786000000000003</v>
      </c>
      <c r="F493" s="9">
        <f>7.1786 * CHOOSE(CONTROL!$C$32, $C$9, 100%, $E$9)</f>
        <v>7.1786000000000003</v>
      </c>
      <c r="G493" s="9">
        <f>7.1818 * CHOOSE(CONTROL!$C$32, $C$9, 100%, $E$9)</f>
        <v>7.1818</v>
      </c>
      <c r="H493" s="9">
        <f>15.6246 * CHOOSE(CONTROL!$C$32, $C$9, 100%, $E$9)</f>
        <v>15.624599999999999</v>
      </c>
      <c r="I493" s="9">
        <f>15.6279 * CHOOSE(CONTROL!$C$32, $C$9, 100%, $E$9)</f>
        <v>15.6279</v>
      </c>
      <c r="J493" s="9">
        <f>15.6246 * CHOOSE(CONTROL!$C$32, $C$9, 100%, $E$9)</f>
        <v>15.624599999999999</v>
      </c>
      <c r="K493" s="9">
        <f>15.6279 * CHOOSE(CONTROL!$C$32, $C$9, 100%, $E$9)</f>
        <v>15.6279</v>
      </c>
      <c r="L493" s="9">
        <f>7.1786 * CHOOSE(CONTROL!$C$32, $C$9, 100%, $E$9)</f>
        <v>7.1786000000000003</v>
      </c>
      <c r="M493" s="9">
        <f>7.1818 * CHOOSE(CONTROL!$C$32, $C$9, 100%, $E$9)</f>
        <v>7.1818</v>
      </c>
      <c r="N493" s="9">
        <f>7.1786 * CHOOSE(CONTROL!$C$32, $C$9, 100%, $E$9)</f>
        <v>7.1786000000000003</v>
      </c>
      <c r="O493" s="9">
        <f>7.1818 * CHOOSE(CONTROL!$C$32, $C$9, 100%, $E$9)</f>
        <v>7.1818</v>
      </c>
    </row>
    <row r="494" spans="1:15" ht="15.75" x14ac:dyDescent="0.25">
      <c r="A494" s="14">
        <v>55915</v>
      </c>
      <c r="B494" s="10">
        <f>8.2582 * CHOOSE(CONTROL!$C$32, $C$9, 100%, $E$9)</f>
        <v>8.2582000000000004</v>
      </c>
      <c r="C494" s="10">
        <f>8.2582 * CHOOSE(CONTROL!$C$32, $C$9, 100%, $E$9)</f>
        <v>8.2582000000000004</v>
      </c>
      <c r="D494" s="10">
        <f>8.2591 * CHOOSE(CONTROL!$C$32, $C$9, 100%, $E$9)</f>
        <v>8.2591000000000001</v>
      </c>
      <c r="E494" s="9">
        <f>7.2875 * CHOOSE(CONTROL!$C$32, $C$9, 100%, $E$9)</f>
        <v>7.2874999999999996</v>
      </c>
      <c r="F494" s="9">
        <f>7.2875 * CHOOSE(CONTROL!$C$32, $C$9, 100%, $E$9)</f>
        <v>7.2874999999999996</v>
      </c>
      <c r="G494" s="9">
        <f>7.2907 * CHOOSE(CONTROL!$C$32, $C$9, 100%, $E$9)</f>
        <v>7.2907000000000002</v>
      </c>
      <c r="H494" s="9">
        <f>15.6572 * CHOOSE(CONTROL!$C$32, $C$9, 100%, $E$9)</f>
        <v>15.6572</v>
      </c>
      <c r="I494" s="9">
        <f>15.6604 * CHOOSE(CONTROL!$C$32, $C$9, 100%, $E$9)</f>
        <v>15.660399999999999</v>
      </c>
      <c r="J494" s="9">
        <f>15.6572 * CHOOSE(CONTROL!$C$32, $C$9, 100%, $E$9)</f>
        <v>15.6572</v>
      </c>
      <c r="K494" s="9">
        <f>15.6604 * CHOOSE(CONTROL!$C$32, $C$9, 100%, $E$9)</f>
        <v>15.660399999999999</v>
      </c>
      <c r="L494" s="9">
        <f>7.2875 * CHOOSE(CONTROL!$C$32, $C$9, 100%, $E$9)</f>
        <v>7.2874999999999996</v>
      </c>
      <c r="M494" s="9">
        <f>7.2907 * CHOOSE(CONTROL!$C$32, $C$9, 100%, $E$9)</f>
        <v>7.2907000000000002</v>
      </c>
      <c r="N494" s="9">
        <f>7.2875 * CHOOSE(CONTROL!$C$32, $C$9, 100%, $E$9)</f>
        <v>7.2874999999999996</v>
      </c>
      <c r="O494" s="9">
        <f>7.2907 * CHOOSE(CONTROL!$C$32, $C$9, 100%, $E$9)</f>
        <v>7.2907000000000002</v>
      </c>
    </row>
    <row r="495" spans="1:15" ht="15.75" x14ac:dyDescent="0.25">
      <c r="A495" s="14">
        <v>55943</v>
      </c>
      <c r="B495" s="10">
        <f>8.2551 * CHOOSE(CONTROL!$C$32, $C$9, 100%, $E$9)</f>
        <v>8.2551000000000005</v>
      </c>
      <c r="C495" s="10">
        <f>8.2551 * CHOOSE(CONTROL!$C$32, $C$9, 100%, $E$9)</f>
        <v>8.2551000000000005</v>
      </c>
      <c r="D495" s="10">
        <f>8.2561 * CHOOSE(CONTROL!$C$32, $C$9, 100%, $E$9)</f>
        <v>8.2561</v>
      </c>
      <c r="E495" s="9">
        <f>7.1267 * CHOOSE(CONTROL!$C$32, $C$9, 100%, $E$9)</f>
        <v>7.1266999999999996</v>
      </c>
      <c r="F495" s="9">
        <f>7.1267 * CHOOSE(CONTROL!$C$32, $C$9, 100%, $E$9)</f>
        <v>7.1266999999999996</v>
      </c>
      <c r="G495" s="9">
        <f>7.13 * CHOOSE(CONTROL!$C$32, $C$9, 100%, $E$9)</f>
        <v>7.13</v>
      </c>
      <c r="H495" s="9">
        <f>15.6898 * CHOOSE(CONTROL!$C$32, $C$9, 100%, $E$9)</f>
        <v>15.6898</v>
      </c>
      <c r="I495" s="9">
        <f>15.693 * CHOOSE(CONTROL!$C$32, $C$9, 100%, $E$9)</f>
        <v>15.693</v>
      </c>
      <c r="J495" s="9">
        <f>15.6898 * CHOOSE(CONTROL!$C$32, $C$9, 100%, $E$9)</f>
        <v>15.6898</v>
      </c>
      <c r="K495" s="9">
        <f>15.693 * CHOOSE(CONTROL!$C$32, $C$9, 100%, $E$9)</f>
        <v>15.693</v>
      </c>
      <c r="L495" s="9">
        <f>7.1267 * CHOOSE(CONTROL!$C$32, $C$9, 100%, $E$9)</f>
        <v>7.1266999999999996</v>
      </c>
      <c r="M495" s="9">
        <f>7.13 * CHOOSE(CONTROL!$C$32, $C$9, 100%, $E$9)</f>
        <v>7.13</v>
      </c>
      <c r="N495" s="9">
        <f>7.1267 * CHOOSE(CONTROL!$C$32, $C$9, 100%, $E$9)</f>
        <v>7.1266999999999996</v>
      </c>
      <c r="O495" s="9">
        <f>7.13 * CHOOSE(CONTROL!$C$32, $C$9, 100%, $E$9)</f>
        <v>7.13</v>
      </c>
    </row>
    <row r="496" spans="1:15" ht="15.75" x14ac:dyDescent="0.25">
      <c r="A496" s="14">
        <v>55974</v>
      </c>
      <c r="B496" s="10">
        <f>8.2521 * CHOOSE(CONTROL!$C$32, $C$9, 100%, $E$9)</f>
        <v>8.2521000000000004</v>
      </c>
      <c r="C496" s="10">
        <f>8.2521 * CHOOSE(CONTROL!$C$32, $C$9, 100%, $E$9)</f>
        <v>8.2521000000000004</v>
      </c>
      <c r="D496" s="10">
        <f>8.253 * CHOOSE(CONTROL!$C$32, $C$9, 100%, $E$9)</f>
        <v>8.2530000000000001</v>
      </c>
      <c r="E496" s="9">
        <f>7.2497 * CHOOSE(CONTROL!$C$32, $C$9, 100%, $E$9)</f>
        <v>7.2496999999999998</v>
      </c>
      <c r="F496" s="9">
        <f>7.2497 * CHOOSE(CONTROL!$C$32, $C$9, 100%, $E$9)</f>
        <v>7.2496999999999998</v>
      </c>
      <c r="G496" s="9">
        <f>7.2529 * CHOOSE(CONTROL!$C$32, $C$9, 100%, $E$9)</f>
        <v>7.2529000000000003</v>
      </c>
      <c r="H496" s="9">
        <f>15.7225 * CHOOSE(CONTROL!$C$32, $C$9, 100%, $E$9)</f>
        <v>15.7225</v>
      </c>
      <c r="I496" s="9">
        <f>15.7257 * CHOOSE(CONTROL!$C$32, $C$9, 100%, $E$9)</f>
        <v>15.7257</v>
      </c>
      <c r="J496" s="9">
        <f>15.7225 * CHOOSE(CONTROL!$C$32, $C$9, 100%, $E$9)</f>
        <v>15.7225</v>
      </c>
      <c r="K496" s="9">
        <f>15.7257 * CHOOSE(CONTROL!$C$32, $C$9, 100%, $E$9)</f>
        <v>15.7257</v>
      </c>
      <c r="L496" s="9">
        <f>7.2497 * CHOOSE(CONTROL!$C$32, $C$9, 100%, $E$9)</f>
        <v>7.2496999999999998</v>
      </c>
      <c r="M496" s="9">
        <f>7.2529 * CHOOSE(CONTROL!$C$32, $C$9, 100%, $E$9)</f>
        <v>7.2529000000000003</v>
      </c>
      <c r="N496" s="9">
        <f>7.2497 * CHOOSE(CONTROL!$C$32, $C$9, 100%, $E$9)</f>
        <v>7.2496999999999998</v>
      </c>
      <c r="O496" s="9">
        <f>7.2529 * CHOOSE(CONTROL!$C$32, $C$9, 100%, $E$9)</f>
        <v>7.2529000000000003</v>
      </c>
    </row>
    <row r="497" spans="1:15" ht="15.75" x14ac:dyDescent="0.25">
      <c r="A497" s="14">
        <v>56004</v>
      </c>
      <c r="B497" s="10">
        <f>8.2541 * CHOOSE(CONTROL!$C$32, $C$9, 100%, $E$9)</f>
        <v>8.2540999999999993</v>
      </c>
      <c r="C497" s="10">
        <f>8.2541 * CHOOSE(CONTROL!$C$32, $C$9, 100%, $E$9)</f>
        <v>8.2540999999999993</v>
      </c>
      <c r="D497" s="10">
        <f>8.2551 * CHOOSE(CONTROL!$C$32, $C$9, 100%, $E$9)</f>
        <v>8.2551000000000005</v>
      </c>
      <c r="E497" s="9">
        <f>7.3798 * CHOOSE(CONTROL!$C$32, $C$9, 100%, $E$9)</f>
        <v>7.3798000000000004</v>
      </c>
      <c r="F497" s="9">
        <f>7.3798 * CHOOSE(CONTROL!$C$32, $C$9, 100%, $E$9)</f>
        <v>7.3798000000000004</v>
      </c>
      <c r="G497" s="9">
        <f>7.383 * CHOOSE(CONTROL!$C$32, $C$9, 100%, $E$9)</f>
        <v>7.383</v>
      </c>
      <c r="H497" s="9">
        <f>15.7552 * CHOOSE(CONTROL!$C$32, $C$9, 100%, $E$9)</f>
        <v>15.7552</v>
      </c>
      <c r="I497" s="9">
        <f>15.7585 * CHOOSE(CONTROL!$C$32, $C$9, 100%, $E$9)</f>
        <v>15.7585</v>
      </c>
      <c r="J497" s="9">
        <f>15.7552 * CHOOSE(CONTROL!$C$32, $C$9, 100%, $E$9)</f>
        <v>15.7552</v>
      </c>
      <c r="K497" s="9">
        <f>15.7585 * CHOOSE(CONTROL!$C$32, $C$9, 100%, $E$9)</f>
        <v>15.7585</v>
      </c>
      <c r="L497" s="9">
        <f>7.3798 * CHOOSE(CONTROL!$C$32, $C$9, 100%, $E$9)</f>
        <v>7.3798000000000004</v>
      </c>
      <c r="M497" s="9">
        <f>7.383 * CHOOSE(CONTROL!$C$32, $C$9, 100%, $E$9)</f>
        <v>7.383</v>
      </c>
      <c r="N497" s="9">
        <f>7.3798 * CHOOSE(CONTROL!$C$32, $C$9, 100%, $E$9)</f>
        <v>7.3798000000000004</v>
      </c>
      <c r="O497" s="9">
        <f>7.383 * CHOOSE(CONTROL!$C$32, $C$9, 100%, $E$9)</f>
        <v>7.383</v>
      </c>
    </row>
    <row r="498" spans="1:15" ht="15.75" x14ac:dyDescent="0.25">
      <c r="A498" s="14">
        <v>56035</v>
      </c>
      <c r="B498" s="10">
        <f>8.2541 * CHOOSE(CONTROL!$C$32, $C$9, 100%, $E$9)</f>
        <v>8.2540999999999993</v>
      </c>
      <c r="C498" s="10">
        <f>8.2541 * CHOOSE(CONTROL!$C$32, $C$9, 100%, $E$9)</f>
        <v>8.2540999999999993</v>
      </c>
      <c r="D498" s="10">
        <f>8.2554 * CHOOSE(CONTROL!$C$32, $C$9, 100%, $E$9)</f>
        <v>8.2553999999999998</v>
      </c>
      <c r="E498" s="9">
        <f>7.4302 * CHOOSE(CONTROL!$C$32, $C$9, 100%, $E$9)</f>
        <v>7.4302000000000001</v>
      </c>
      <c r="F498" s="9">
        <f>7.4302 * CHOOSE(CONTROL!$C$32, $C$9, 100%, $E$9)</f>
        <v>7.4302000000000001</v>
      </c>
      <c r="G498" s="9">
        <f>7.4344 * CHOOSE(CONTROL!$C$32, $C$9, 100%, $E$9)</f>
        <v>7.4344000000000001</v>
      </c>
      <c r="H498" s="9">
        <f>15.7881 * CHOOSE(CONTROL!$C$32, $C$9, 100%, $E$9)</f>
        <v>15.7881</v>
      </c>
      <c r="I498" s="9">
        <f>15.7923 * CHOOSE(CONTROL!$C$32, $C$9, 100%, $E$9)</f>
        <v>15.792299999999999</v>
      </c>
      <c r="J498" s="9">
        <f>15.7881 * CHOOSE(CONTROL!$C$32, $C$9, 100%, $E$9)</f>
        <v>15.7881</v>
      </c>
      <c r="K498" s="9">
        <f>15.7923 * CHOOSE(CONTROL!$C$32, $C$9, 100%, $E$9)</f>
        <v>15.792299999999999</v>
      </c>
      <c r="L498" s="9">
        <f>7.4302 * CHOOSE(CONTROL!$C$32, $C$9, 100%, $E$9)</f>
        <v>7.4302000000000001</v>
      </c>
      <c r="M498" s="9">
        <f>7.4344 * CHOOSE(CONTROL!$C$32, $C$9, 100%, $E$9)</f>
        <v>7.4344000000000001</v>
      </c>
      <c r="N498" s="9">
        <f>7.4302 * CHOOSE(CONTROL!$C$32, $C$9, 100%, $E$9)</f>
        <v>7.4302000000000001</v>
      </c>
      <c r="O498" s="9">
        <f>7.4344 * CHOOSE(CONTROL!$C$32, $C$9, 100%, $E$9)</f>
        <v>7.4344000000000001</v>
      </c>
    </row>
    <row r="499" spans="1:15" ht="15.75" x14ac:dyDescent="0.25">
      <c r="A499" s="14">
        <v>56065</v>
      </c>
      <c r="B499" s="10">
        <f>8.2602 * CHOOSE(CONTROL!$C$32, $C$9, 100%, $E$9)</f>
        <v>8.2601999999999993</v>
      </c>
      <c r="C499" s="10">
        <f>8.2602 * CHOOSE(CONTROL!$C$32, $C$9, 100%, $E$9)</f>
        <v>8.2601999999999993</v>
      </c>
      <c r="D499" s="10">
        <f>8.2614 * CHOOSE(CONTROL!$C$32, $C$9, 100%, $E$9)</f>
        <v>8.2614000000000001</v>
      </c>
      <c r="E499" s="9">
        <f>7.384 * CHOOSE(CONTROL!$C$32, $C$9, 100%, $E$9)</f>
        <v>7.3840000000000003</v>
      </c>
      <c r="F499" s="9">
        <f>7.384 * CHOOSE(CONTROL!$C$32, $C$9, 100%, $E$9)</f>
        <v>7.3840000000000003</v>
      </c>
      <c r="G499" s="9">
        <f>7.3882 * CHOOSE(CONTROL!$C$32, $C$9, 100%, $E$9)</f>
        <v>7.3882000000000003</v>
      </c>
      <c r="H499" s="9">
        <f>15.821 * CHOOSE(CONTROL!$C$32, $C$9, 100%, $E$9)</f>
        <v>15.821</v>
      </c>
      <c r="I499" s="9">
        <f>15.8252 * CHOOSE(CONTROL!$C$32, $C$9, 100%, $E$9)</f>
        <v>15.825200000000001</v>
      </c>
      <c r="J499" s="9">
        <f>15.821 * CHOOSE(CONTROL!$C$32, $C$9, 100%, $E$9)</f>
        <v>15.821</v>
      </c>
      <c r="K499" s="9">
        <f>15.8252 * CHOOSE(CONTROL!$C$32, $C$9, 100%, $E$9)</f>
        <v>15.825200000000001</v>
      </c>
      <c r="L499" s="9">
        <f>7.384 * CHOOSE(CONTROL!$C$32, $C$9, 100%, $E$9)</f>
        <v>7.3840000000000003</v>
      </c>
      <c r="M499" s="9">
        <f>7.3882 * CHOOSE(CONTROL!$C$32, $C$9, 100%, $E$9)</f>
        <v>7.3882000000000003</v>
      </c>
      <c r="N499" s="9">
        <f>7.384 * CHOOSE(CONTROL!$C$32, $C$9, 100%, $E$9)</f>
        <v>7.3840000000000003</v>
      </c>
      <c r="O499" s="9">
        <f>7.3882 * CHOOSE(CONTROL!$C$32, $C$9, 100%, $E$9)</f>
        <v>7.3882000000000003</v>
      </c>
    </row>
    <row r="500" spans="1:15" ht="15.75" x14ac:dyDescent="0.25">
      <c r="A500" s="14">
        <v>56096</v>
      </c>
      <c r="B500" s="10">
        <f>8.3783 * CHOOSE(CONTROL!$C$32, $C$9, 100%, $E$9)</f>
        <v>8.3782999999999994</v>
      </c>
      <c r="C500" s="10">
        <f>8.3783 * CHOOSE(CONTROL!$C$32, $C$9, 100%, $E$9)</f>
        <v>8.3782999999999994</v>
      </c>
      <c r="D500" s="10">
        <f>8.3796 * CHOOSE(CONTROL!$C$32, $C$9, 100%, $E$9)</f>
        <v>8.3795999999999999</v>
      </c>
      <c r="E500" s="9">
        <f>7.4705 * CHOOSE(CONTROL!$C$32, $C$9, 100%, $E$9)</f>
        <v>7.4705000000000004</v>
      </c>
      <c r="F500" s="9">
        <f>7.4705 * CHOOSE(CONTROL!$C$32, $C$9, 100%, $E$9)</f>
        <v>7.4705000000000004</v>
      </c>
      <c r="G500" s="9">
        <f>7.4747 * CHOOSE(CONTROL!$C$32, $C$9, 100%, $E$9)</f>
        <v>7.4747000000000003</v>
      </c>
      <c r="H500" s="9">
        <f>15.8539 * CHOOSE(CONTROL!$C$32, $C$9, 100%, $E$9)</f>
        <v>15.853899999999999</v>
      </c>
      <c r="I500" s="9">
        <f>15.8581 * CHOOSE(CONTROL!$C$32, $C$9, 100%, $E$9)</f>
        <v>15.8581</v>
      </c>
      <c r="J500" s="9">
        <f>15.8539 * CHOOSE(CONTROL!$C$32, $C$9, 100%, $E$9)</f>
        <v>15.853899999999999</v>
      </c>
      <c r="K500" s="9">
        <f>15.8581 * CHOOSE(CONTROL!$C$32, $C$9, 100%, $E$9)</f>
        <v>15.8581</v>
      </c>
      <c r="L500" s="9">
        <f>7.4705 * CHOOSE(CONTROL!$C$32, $C$9, 100%, $E$9)</f>
        <v>7.4705000000000004</v>
      </c>
      <c r="M500" s="9">
        <f>7.4747 * CHOOSE(CONTROL!$C$32, $C$9, 100%, $E$9)</f>
        <v>7.4747000000000003</v>
      </c>
      <c r="N500" s="9">
        <f>7.4705 * CHOOSE(CONTROL!$C$32, $C$9, 100%, $E$9)</f>
        <v>7.4705000000000004</v>
      </c>
      <c r="O500" s="9">
        <f>7.4747 * CHOOSE(CONTROL!$C$32, $C$9, 100%, $E$9)</f>
        <v>7.4747000000000003</v>
      </c>
    </row>
    <row r="501" spans="1:15" ht="15.75" x14ac:dyDescent="0.25">
      <c r="A501" s="14">
        <v>56127</v>
      </c>
      <c r="B501" s="10">
        <f>8.385 * CHOOSE(CONTROL!$C$32, $C$9, 100%, $E$9)</f>
        <v>8.3849999999999998</v>
      </c>
      <c r="C501" s="10">
        <f>8.385 * CHOOSE(CONTROL!$C$32, $C$9, 100%, $E$9)</f>
        <v>8.3849999999999998</v>
      </c>
      <c r="D501" s="10">
        <f>8.3863 * CHOOSE(CONTROL!$C$32, $C$9, 100%, $E$9)</f>
        <v>8.3863000000000003</v>
      </c>
      <c r="E501" s="9">
        <f>7.324 * CHOOSE(CONTROL!$C$32, $C$9, 100%, $E$9)</f>
        <v>7.3239999999999998</v>
      </c>
      <c r="F501" s="9">
        <f>7.324 * CHOOSE(CONTROL!$C$32, $C$9, 100%, $E$9)</f>
        <v>7.3239999999999998</v>
      </c>
      <c r="G501" s="9">
        <f>7.3282 * CHOOSE(CONTROL!$C$32, $C$9, 100%, $E$9)</f>
        <v>7.3281999999999998</v>
      </c>
      <c r="H501" s="9">
        <f>15.8869 * CHOOSE(CONTROL!$C$32, $C$9, 100%, $E$9)</f>
        <v>15.886900000000001</v>
      </c>
      <c r="I501" s="9">
        <f>15.8912 * CHOOSE(CONTROL!$C$32, $C$9, 100%, $E$9)</f>
        <v>15.8912</v>
      </c>
      <c r="J501" s="9">
        <f>15.8869 * CHOOSE(CONTROL!$C$32, $C$9, 100%, $E$9)</f>
        <v>15.886900000000001</v>
      </c>
      <c r="K501" s="9">
        <f>15.8912 * CHOOSE(CONTROL!$C$32, $C$9, 100%, $E$9)</f>
        <v>15.8912</v>
      </c>
      <c r="L501" s="9">
        <f>7.324 * CHOOSE(CONTROL!$C$32, $C$9, 100%, $E$9)</f>
        <v>7.3239999999999998</v>
      </c>
      <c r="M501" s="9">
        <f>7.3282 * CHOOSE(CONTROL!$C$32, $C$9, 100%, $E$9)</f>
        <v>7.3281999999999998</v>
      </c>
      <c r="N501" s="9">
        <f>7.324 * CHOOSE(CONTROL!$C$32, $C$9, 100%, $E$9)</f>
        <v>7.3239999999999998</v>
      </c>
      <c r="O501" s="9">
        <f>7.3282 * CHOOSE(CONTROL!$C$32, $C$9, 100%, $E$9)</f>
        <v>7.3281999999999998</v>
      </c>
    </row>
    <row r="502" spans="1:15" ht="15.75" x14ac:dyDescent="0.25">
      <c r="A502" s="14">
        <v>56157</v>
      </c>
      <c r="B502" s="10">
        <f>8.382 * CHOOSE(CONTROL!$C$32, $C$9, 100%, $E$9)</f>
        <v>8.3819999999999997</v>
      </c>
      <c r="C502" s="10">
        <f>8.382 * CHOOSE(CONTROL!$C$32, $C$9, 100%, $E$9)</f>
        <v>8.3819999999999997</v>
      </c>
      <c r="D502" s="10">
        <f>8.3832 * CHOOSE(CONTROL!$C$32, $C$9, 100%, $E$9)</f>
        <v>8.3832000000000004</v>
      </c>
      <c r="E502" s="9">
        <f>7.3051 * CHOOSE(CONTROL!$C$32, $C$9, 100%, $E$9)</f>
        <v>7.3051000000000004</v>
      </c>
      <c r="F502" s="9">
        <f>7.3051 * CHOOSE(CONTROL!$C$32, $C$9, 100%, $E$9)</f>
        <v>7.3051000000000004</v>
      </c>
      <c r="G502" s="9">
        <f>7.3093 * CHOOSE(CONTROL!$C$32, $C$9, 100%, $E$9)</f>
        <v>7.3093000000000004</v>
      </c>
      <c r="H502" s="9">
        <f>15.92 * CHOOSE(CONTROL!$C$32, $C$9, 100%, $E$9)</f>
        <v>15.92</v>
      </c>
      <c r="I502" s="9">
        <f>15.9242 * CHOOSE(CONTROL!$C$32, $C$9, 100%, $E$9)</f>
        <v>15.924200000000001</v>
      </c>
      <c r="J502" s="9">
        <f>15.92 * CHOOSE(CONTROL!$C$32, $C$9, 100%, $E$9)</f>
        <v>15.92</v>
      </c>
      <c r="K502" s="9">
        <f>15.9242 * CHOOSE(CONTROL!$C$32, $C$9, 100%, $E$9)</f>
        <v>15.924200000000001</v>
      </c>
      <c r="L502" s="9">
        <f>7.3051 * CHOOSE(CONTROL!$C$32, $C$9, 100%, $E$9)</f>
        <v>7.3051000000000004</v>
      </c>
      <c r="M502" s="9">
        <f>7.3093 * CHOOSE(CONTROL!$C$32, $C$9, 100%, $E$9)</f>
        <v>7.3093000000000004</v>
      </c>
      <c r="N502" s="9">
        <f>7.3051 * CHOOSE(CONTROL!$C$32, $C$9, 100%, $E$9)</f>
        <v>7.3051000000000004</v>
      </c>
      <c r="O502" s="9">
        <f>7.3093 * CHOOSE(CONTROL!$C$32, $C$9, 100%, $E$9)</f>
        <v>7.3093000000000004</v>
      </c>
    </row>
    <row r="503" spans="1:15" ht="15.75" x14ac:dyDescent="0.25">
      <c r="A503" s="14">
        <v>56188</v>
      </c>
      <c r="B503" s="10">
        <f>8.3944 * CHOOSE(CONTROL!$C$32, $C$9, 100%, $E$9)</f>
        <v>8.3943999999999992</v>
      </c>
      <c r="C503" s="10">
        <f>8.3944 * CHOOSE(CONTROL!$C$32, $C$9, 100%, $E$9)</f>
        <v>8.3943999999999992</v>
      </c>
      <c r="D503" s="10">
        <f>8.3954 * CHOOSE(CONTROL!$C$32, $C$9, 100%, $E$9)</f>
        <v>8.3954000000000004</v>
      </c>
      <c r="E503" s="9">
        <f>7.3589 * CHOOSE(CONTROL!$C$32, $C$9, 100%, $E$9)</f>
        <v>7.3589000000000002</v>
      </c>
      <c r="F503" s="9">
        <f>7.3589 * CHOOSE(CONTROL!$C$32, $C$9, 100%, $E$9)</f>
        <v>7.3589000000000002</v>
      </c>
      <c r="G503" s="9">
        <f>7.3621 * CHOOSE(CONTROL!$C$32, $C$9, 100%, $E$9)</f>
        <v>7.3620999999999999</v>
      </c>
      <c r="H503" s="9">
        <f>15.9532 * CHOOSE(CONTROL!$C$32, $C$9, 100%, $E$9)</f>
        <v>15.953200000000001</v>
      </c>
      <c r="I503" s="9">
        <f>15.9564 * CHOOSE(CONTROL!$C$32, $C$9, 100%, $E$9)</f>
        <v>15.9564</v>
      </c>
      <c r="J503" s="9">
        <f>15.9532 * CHOOSE(CONTROL!$C$32, $C$9, 100%, $E$9)</f>
        <v>15.953200000000001</v>
      </c>
      <c r="K503" s="9">
        <f>15.9564 * CHOOSE(CONTROL!$C$32, $C$9, 100%, $E$9)</f>
        <v>15.9564</v>
      </c>
      <c r="L503" s="9">
        <f>7.3589 * CHOOSE(CONTROL!$C$32, $C$9, 100%, $E$9)</f>
        <v>7.3589000000000002</v>
      </c>
      <c r="M503" s="9">
        <f>7.3621 * CHOOSE(CONTROL!$C$32, $C$9, 100%, $E$9)</f>
        <v>7.3620999999999999</v>
      </c>
      <c r="N503" s="9">
        <f>7.3589 * CHOOSE(CONTROL!$C$32, $C$9, 100%, $E$9)</f>
        <v>7.3589000000000002</v>
      </c>
      <c r="O503" s="9">
        <f>7.3621 * CHOOSE(CONTROL!$C$32, $C$9, 100%, $E$9)</f>
        <v>7.3620999999999999</v>
      </c>
    </row>
    <row r="504" spans="1:15" ht="15.75" x14ac:dyDescent="0.25">
      <c r="A504" s="14">
        <v>56218</v>
      </c>
      <c r="B504" s="10">
        <f>8.3975 * CHOOSE(CONTROL!$C$32, $C$9, 100%, $E$9)</f>
        <v>8.3975000000000009</v>
      </c>
      <c r="C504" s="10">
        <f>8.3975 * CHOOSE(CONTROL!$C$32, $C$9, 100%, $E$9)</f>
        <v>8.3975000000000009</v>
      </c>
      <c r="D504" s="10">
        <f>8.3984 * CHOOSE(CONTROL!$C$32, $C$9, 100%, $E$9)</f>
        <v>8.3984000000000005</v>
      </c>
      <c r="E504" s="9">
        <f>7.3946 * CHOOSE(CONTROL!$C$32, $C$9, 100%, $E$9)</f>
        <v>7.3945999999999996</v>
      </c>
      <c r="F504" s="9">
        <f>7.3946 * CHOOSE(CONTROL!$C$32, $C$9, 100%, $E$9)</f>
        <v>7.3945999999999996</v>
      </c>
      <c r="G504" s="9">
        <f>7.3978 * CHOOSE(CONTROL!$C$32, $C$9, 100%, $E$9)</f>
        <v>7.3978000000000002</v>
      </c>
      <c r="H504" s="9">
        <f>15.9864 * CHOOSE(CONTROL!$C$32, $C$9, 100%, $E$9)</f>
        <v>15.9864</v>
      </c>
      <c r="I504" s="9">
        <f>15.9897 * CHOOSE(CONTROL!$C$32, $C$9, 100%, $E$9)</f>
        <v>15.989699999999999</v>
      </c>
      <c r="J504" s="9">
        <f>15.9864 * CHOOSE(CONTROL!$C$32, $C$9, 100%, $E$9)</f>
        <v>15.9864</v>
      </c>
      <c r="K504" s="9">
        <f>15.9897 * CHOOSE(CONTROL!$C$32, $C$9, 100%, $E$9)</f>
        <v>15.989699999999999</v>
      </c>
      <c r="L504" s="9">
        <f>7.3946 * CHOOSE(CONTROL!$C$32, $C$9, 100%, $E$9)</f>
        <v>7.3945999999999996</v>
      </c>
      <c r="M504" s="9">
        <f>7.3978 * CHOOSE(CONTROL!$C$32, $C$9, 100%, $E$9)</f>
        <v>7.3978000000000002</v>
      </c>
      <c r="N504" s="9">
        <f>7.3946 * CHOOSE(CONTROL!$C$32, $C$9, 100%, $E$9)</f>
        <v>7.3945999999999996</v>
      </c>
      <c r="O504" s="9">
        <f>7.3978 * CHOOSE(CONTROL!$C$32, $C$9, 100%, $E$9)</f>
        <v>7.3978000000000002</v>
      </c>
    </row>
    <row r="505" spans="1:15" ht="15.75" x14ac:dyDescent="0.25">
      <c r="A505" s="14">
        <v>56249</v>
      </c>
      <c r="B505" s="10">
        <f>8.3975 * CHOOSE(CONTROL!$C$32, $C$9, 100%, $E$9)</f>
        <v>8.3975000000000009</v>
      </c>
      <c r="C505" s="10">
        <f>8.3975 * CHOOSE(CONTROL!$C$32, $C$9, 100%, $E$9)</f>
        <v>8.3975000000000009</v>
      </c>
      <c r="D505" s="10">
        <f>8.3984 * CHOOSE(CONTROL!$C$32, $C$9, 100%, $E$9)</f>
        <v>8.3984000000000005</v>
      </c>
      <c r="E505" s="9">
        <f>7.3106 * CHOOSE(CONTROL!$C$32, $C$9, 100%, $E$9)</f>
        <v>7.3106</v>
      </c>
      <c r="F505" s="9">
        <f>7.3106 * CHOOSE(CONTROL!$C$32, $C$9, 100%, $E$9)</f>
        <v>7.3106</v>
      </c>
      <c r="G505" s="9">
        <f>7.3138 * CHOOSE(CONTROL!$C$32, $C$9, 100%, $E$9)</f>
        <v>7.3137999999999996</v>
      </c>
      <c r="H505" s="9">
        <f>16.0198 * CHOOSE(CONTROL!$C$32, $C$9, 100%, $E$9)</f>
        <v>16.0198</v>
      </c>
      <c r="I505" s="9">
        <f>16.023 * CHOOSE(CONTROL!$C$32, $C$9, 100%, $E$9)</f>
        <v>16.023</v>
      </c>
      <c r="J505" s="9">
        <f>16.0198 * CHOOSE(CONTROL!$C$32, $C$9, 100%, $E$9)</f>
        <v>16.0198</v>
      </c>
      <c r="K505" s="9">
        <f>16.023 * CHOOSE(CONTROL!$C$32, $C$9, 100%, $E$9)</f>
        <v>16.023</v>
      </c>
      <c r="L505" s="9">
        <f>7.3106 * CHOOSE(CONTROL!$C$32, $C$9, 100%, $E$9)</f>
        <v>7.3106</v>
      </c>
      <c r="M505" s="9">
        <f>7.3138 * CHOOSE(CONTROL!$C$32, $C$9, 100%, $E$9)</f>
        <v>7.3137999999999996</v>
      </c>
      <c r="N505" s="9">
        <f>7.3106 * CHOOSE(CONTROL!$C$32, $C$9, 100%, $E$9)</f>
        <v>7.3106</v>
      </c>
      <c r="O505" s="9">
        <f>7.3138 * CHOOSE(CONTROL!$C$32, $C$9, 100%, $E$9)</f>
        <v>7.3137999999999996</v>
      </c>
    </row>
    <row r="506" spans="1:15" ht="15.75" x14ac:dyDescent="0.25">
      <c r="A506" s="14">
        <v>56280</v>
      </c>
      <c r="B506" s="10">
        <f>8.467 * CHOOSE(CONTROL!$C$32, $C$9, 100%, $E$9)</f>
        <v>8.4670000000000005</v>
      </c>
      <c r="C506" s="10">
        <f>8.467 * CHOOSE(CONTROL!$C$32, $C$9, 100%, $E$9)</f>
        <v>8.4670000000000005</v>
      </c>
      <c r="D506" s="10">
        <f>8.468 * CHOOSE(CONTROL!$C$32, $C$9, 100%, $E$9)</f>
        <v>8.468</v>
      </c>
      <c r="E506" s="9">
        <f>7.4223 * CHOOSE(CONTROL!$C$32, $C$9, 100%, $E$9)</f>
        <v>7.4222999999999999</v>
      </c>
      <c r="F506" s="9">
        <f>7.4223 * CHOOSE(CONTROL!$C$32, $C$9, 100%, $E$9)</f>
        <v>7.4222999999999999</v>
      </c>
      <c r="G506" s="9">
        <f>7.4255 * CHOOSE(CONTROL!$C$32, $C$9, 100%, $E$9)</f>
        <v>7.4255000000000004</v>
      </c>
      <c r="H506" s="9">
        <f>16.0531 * CHOOSE(CONTROL!$C$32, $C$9, 100%, $E$9)</f>
        <v>16.053100000000001</v>
      </c>
      <c r="I506" s="9">
        <f>16.0564 * CHOOSE(CONTROL!$C$32, $C$9, 100%, $E$9)</f>
        <v>16.0564</v>
      </c>
      <c r="J506" s="9">
        <f>16.0531 * CHOOSE(CONTROL!$C$32, $C$9, 100%, $E$9)</f>
        <v>16.053100000000001</v>
      </c>
      <c r="K506" s="9">
        <f>16.0564 * CHOOSE(CONTROL!$C$32, $C$9, 100%, $E$9)</f>
        <v>16.0564</v>
      </c>
      <c r="L506" s="9">
        <f>7.4223 * CHOOSE(CONTROL!$C$32, $C$9, 100%, $E$9)</f>
        <v>7.4222999999999999</v>
      </c>
      <c r="M506" s="9">
        <f>7.4255 * CHOOSE(CONTROL!$C$32, $C$9, 100%, $E$9)</f>
        <v>7.4255000000000004</v>
      </c>
      <c r="N506" s="9">
        <f>7.4223 * CHOOSE(CONTROL!$C$32, $C$9, 100%, $E$9)</f>
        <v>7.4222999999999999</v>
      </c>
      <c r="O506" s="9">
        <f>7.4255 * CHOOSE(CONTROL!$C$32, $C$9, 100%, $E$9)</f>
        <v>7.4255000000000004</v>
      </c>
    </row>
    <row r="507" spans="1:15" ht="15.75" x14ac:dyDescent="0.25">
      <c r="A507" s="14">
        <v>56308</v>
      </c>
      <c r="B507" s="10">
        <f>8.464 * CHOOSE(CONTROL!$C$32, $C$9, 100%, $E$9)</f>
        <v>8.4640000000000004</v>
      </c>
      <c r="C507" s="10">
        <f>8.464 * CHOOSE(CONTROL!$C$32, $C$9, 100%, $E$9)</f>
        <v>8.4640000000000004</v>
      </c>
      <c r="D507" s="10">
        <f>8.4649 * CHOOSE(CONTROL!$C$32, $C$9, 100%, $E$9)</f>
        <v>8.4649000000000001</v>
      </c>
      <c r="E507" s="9">
        <f>7.2568 * CHOOSE(CONTROL!$C$32, $C$9, 100%, $E$9)</f>
        <v>7.2568000000000001</v>
      </c>
      <c r="F507" s="9">
        <f>7.2568 * CHOOSE(CONTROL!$C$32, $C$9, 100%, $E$9)</f>
        <v>7.2568000000000001</v>
      </c>
      <c r="G507" s="9">
        <f>7.26 * CHOOSE(CONTROL!$C$32, $C$9, 100%, $E$9)</f>
        <v>7.26</v>
      </c>
      <c r="H507" s="9">
        <f>16.0866 * CHOOSE(CONTROL!$C$32, $C$9, 100%, $E$9)</f>
        <v>16.086600000000001</v>
      </c>
      <c r="I507" s="9">
        <f>16.0898 * CHOOSE(CONTROL!$C$32, $C$9, 100%, $E$9)</f>
        <v>16.0898</v>
      </c>
      <c r="J507" s="9">
        <f>16.0866 * CHOOSE(CONTROL!$C$32, $C$9, 100%, $E$9)</f>
        <v>16.086600000000001</v>
      </c>
      <c r="K507" s="9">
        <f>16.0898 * CHOOSE(CONTROL!$C$32, $C$9, 100%, $E$9)</f>
        <v>16.0898</v>
      </c>
      <c r="L507" s="9">
        <f>7.2568 * CHOOSE(CONTROL!$C$32, $C$9, 100%, $E$9)</f>
        <v>7.2568000000000001</v>
      </c>
      <c r="M507" s="9">
        <f>7.26 * CHOOSE(CONTROL!$C$32, $C$9, 100%, $E$9)</f>
        <v>7.26</v>
      </c>
      <c r="N507" s="9">
        <f>7.2568 * CHOOSE(CONTROL!$C$32, $C$9, 100%, $E$9)</f>
        <v>7.2568000000000001</v>
      </c>
      <c r="O507" s="9">
        <f>7.26 * CHOOSE(CONTROL!$C$32, $C$9, 100%, $E$9)</f>
        <v>7.26</v>
      </c>
    </row>
    <row r="508" spans="1:15" ht="15.75" x14ac:dyDescent="0.25">
      <c r="A508" s="14">
        <v>56339</v>
      </c>
      <c r="B508" s="10">
        <f>8.4609 * CHOOSE(CONTROL!$C$32, $C$9, 100%, $E$9)</f>
        <v>8.4609000000000005</v>
      </c>
      <c r="C508" s="10">
        <f>8.4609 * CHOOSE(CONTROL!$C$32, $C$9, 100%, $E$9)</f>
        <v>8.4609000000000005</v>
      </c>
      <c r="D508" s="10">
        <f>8.4619 * CHOOSE(CONTROL!$C$32, $C$9, 100%, $E$9)</f>
        <v>8.4619</v>
      </c>
      <c r="E508" s="9">
        <f>7.3835 * CHOOSE(CONTROL!$C$32, $C$9, 100%, $E$9)</f>
        <v>7.3834999999999997</v>
      </c>
      <c r="F508" s="9">
        <f>7.3835 * CHOOSE(CONTROL!$C$32, $C$9, 100%, $E$9)</f>
        <v>7.3834999999999997</v>
      </c>
      <c r="G508" s="9">
        <f>7.3867 * CHOOSE(CONTROL!$C$32, $C$9, 100%, $E$9)</f>
        <v>7.3867000000000003</v>
      </c>
      <c r="H508" s="9">
        <f>16.1201 * CHOOSE(CONTROL!$C$32, $C$9, 100%, $E$9)</f>
        <v>16.120100000000001</v>
      </c>
      <c r="I508" s="9">
        <f>16.1233 * CHOOSE(CONTROL!$C$32, $C$9, 100%, $E$9)</f>
        <v>16.1233</v>
      </c>
      <c r="J508" s="9">
        <f>16.1201 * CHOOSE(CONTROL!$C$32, $C$9, 100%, $E$9)</f>
        <v>16.120100000000001</v>
      </c>
      <c r="K508" s="9">
        <f>16.1233 * CHOOSE(CONTROL!$C$32, $C$9, 100%, $E$9)</f>
        <v>16.1233</v>
      </c>
      <c r="L508" s="9">
        <f>7.3835 * CHOOSE(CONTROL!$C$32, $C$9, 100%, $E$9)</f>
        <v>7.3834999999999997</v>
      </c>
      <c r="M508" s="9">
        <f>7.3867 * CHOOSE(CONTROL!$C$32, $C$9, 100%, $E$9)</f>
        <v>7.3867000000000003</v>
      </c>
      <c r="N508" s="9">
        <f>7.3835 * CHOOSE(CONTROL!$C$32, $C$9, 100%, $E$9)</f>
        <v>7.3834999999999997</v>
      </c>
      <c r="O508" s="9">
        <f>7.3867 * CHOOSE(CONTROL!$C$32, $C$9, 100%, $E$9)</f>
        <v>7.3867000000000003</v>
      </c>
    </row>
    <row r="509" spans="1:15" ht="15.75" x14ac:dyDescent="0.25">
      <c r="A509" s="14">
        <v>56369</v>
      </c>
      <c r="B509" s="10">
        <f>8.4632 * CHOOSE(CONTROL!$C$32, $C$9, 100%, $E$9)</f>
        <v>8.4632000000000005</v>
      </c>
      <c r="C509" s="10">
        <f>8.4632 * CHOOSE(CONTROL!$C$32, $C$9, 100%, $E$9)</f>
        <v>8.4632000000000005</v>
      </c>
      <c r="D509" s="10">
        <f>8.4642 * CHOOSE(CONTROL!$C$32, $C$9, 100%, $E$9)</f>
        <v>8.4641999999999999</v>
      </c>
      <c r="E509" s="9">
        <f>7.5176 * CHOOSE(CONTROL!$C$32, $C$9, 100%, $E$9)</f>
        <v>7.5175999999999998</v>
      </c>
      <c r="F509" s="9">
        <f>7.5176 * CHOOSE(CONTROL!$C$32, $C$9, 100%, $E$9)</f>
        <v>7.5175999999999998</v>
      </c>
      <c r="G509" s="9">
        <f>7.5208 * CHOOSE(CONTROL!$C$32, $C$9, 100%, $E$9)</f>
        <v>7.5208000000000004</v>
      </c>
      <c r="H509" s="9">
        <f>16.1537 * CHOOSE(CONTROL!$C$32, $C$9, 100%, $E$9)</f>
        <v>16.153700000000001</v>
      </c>
      <c r="I509" s="9">
        <f>16.1569 * CHOOSE(CONTROL!$C$32, $C$9, 100%, $E$9)</f>
        <v>16.1569</v>
      </c>
      <c r="J509" s="9">
        <f>16.1537 * CHOOSE(CONTROL!$C$32, $C$9, 100%, $E$9)</f>
        <v>16.153700000000001</v>
      </c>
      <c r="K509" s="9">
        <f>16.1569 * CHOOSE(CONTROL!$C$32, $C$9, 100%, $E$9)</f>
        <v>16.1569</v>
      </c>
      <c r="L509" s="9">
        <f>7.5176 * CHOOSE(CONTROL!$C$32, $C$9, 100%, $E$9)</f>
        <v>7.5175999999999998</v>
      </c>
      <c r="M509" s="9">
        <f>7.5208 * CHOOSE(CONTROL!$C$32, $C$9, 100%, $E$9)</f>
        <v>7.5208000000000004</v>
      </c>
      <c r="N509" s="9">
        <f>7.5176 * CHOOSE(CONTROL!$C$32, $C$9, 100%, $E$9)</f>
        <v>7.5175999999999998</v>
      </c>
      <c r="O509" s="9">
        <f>7.5208 * CHOOSE(CONTROL!$C$32, $C$9, 100%, $E$9)</f>
        <v>7.5208000000000004</v>
      </c>
    </row>
    <row r="510" spans="1:15" ht="15.75" x14ac:dyDescent="0.25">
      <c r="A510" s="14">
        <v>56400</v>
      </c>
      <c r="B510" s="10">
        <f>8.4632 * CHOOSE(CONTROL!$C$32, $C$9, 100%, $E$9)</f>
        <v>8.4632000000000005</v>
      </c>
      <c r="C510" s="10">
        <f>8.4632 * CHOOSE(CONTROL!$C$32, $C$9, 100%, $E$9)</f>
        <v>8.4632000000000005</v>
      </c>
      <c r="D510" s="10">
        <f>8.4644 * CHOOSE(CONTROL!$C$32, $C$9, 100%, $E$9)</f>
        <v>8.4643999999999995</v>
      </c>
      <c r="E510" s="9">
        <f>7.5695 * CHOOSE(CONTROL!$C$32, $C$9, 100%, $E$9)</f>
        <v>7.5694999999999997</v>
      </c>
      <c r="F510" s="9">
        <f>7.5695 * CHOOSE(CONTROL!$C$32, $C$9, 100%, $E$9)</f>
        <v>7.5694999999999997</v>
      </c>
      <c r="G510" s="9">
        <f>7.5737 * CHOOSE(CONTROL!$C$32, $C$9, 100%, $E$9)</f>
        <v>7.5736999999999997</v>
      </c>
      <c r="H510" s="9">
        <f>16.1873 * CHOOSE(CONTROL!$C$32, $C$9, 100%, $E$9)</f>
        <v>16.1873</v>
      </c>
      <c r="I510" s="9">
        <f>16.1915 * CHOOSE(CONTROL!$C$32, $C$9, 100%, $E$9)</f>
        <v>16.191500000000001</v>
      </c>
      <c r="J510" s="9">
        <f>16.1873 * CHOOSE(CONTROL!$C$32, $C$9, 100%, $E$9)</f>
        <v>16.1873</v>
      </c>
      <c r="K510" s="9">
        <f>16.1915 * CHOOSE(CONTROL!$C$32, $C$9, 100%, $E$9)</f>
        <v>16.191500000000001</v>
      </c>
      <c r="L510" s="9">
        <f>7.5695 * CHOOSE(CONTROL!$C$32, $C$9, 100%, $E$9)</f>
        <v>7.5694999999999997</v>
      </c>
      <c r="M510" s="9">
        <f>7.5737 * CHOOSE(CONTROL!$C$32, $C$9, 100%, $E$9)</f>
        <v>7.5736999999999997</v>
      </c>
      <c r="N510" s="9">
        <f>7.5695 * CHOOSE(CONTROL!$C$32, $C$9, 100%, $E$9)</f>
        <v>7.5694999999999997</v>
      </c>
      <c r="O510" s="9">
        <f>7.5737 * CHOOSE(CONTROL!$C$32, $C$9, 100%, $E$9)</f>
        <v>7.5736999999999997</v>
      </c>
    </row>
    <row r="511" spans="1:15" ht="15.75" x14ac:dyDescent="0.25">
      <c r="A511" s="14">
        <v>56430</v>
      </c>
      <c r="B511" s="10">
        <f>8.4693 * CHOOSE(CONTROL!$C$32, $C$9, 100%, $E$9)</f>
        <v>8.4693000000000005</v>
      </c>
      <c r="C511" s="10">
        <f>8.4693 * CHOOSE(CONTROL!$C$32, $C$9, 100%, $E$9)</f>
        <v>8.4693000000000005</v>
      </c>
      <c r="D511" s="10">
        <f>8.4705 * CHOOSE(CONTROL!$C$32, $C$9, 100%, $E$9)</f>
        <v>8.4704999999999995</v>
      </c>
      <c r="E511" s="9">
        <f>7.5219 * CHOOSE(CONTROL!$C$32, $C$9, 100%, $E$9)</f>
        <v>7.5218999999999996</v>
      </c>
      <c r="F511" s="9">
        <f>7.5219 * CHOOSE(CONTROL!$C$32, $C$9, 100%, $E$9)</f>
        <v>7.5218999999999996</v>
      </c>
      <c r="G511" s="9">
        <f>7.5261 * CHOOSE(CONTROL!$C$32, $C$9, 100%, $E$9)</f>
        <v>7.5260999999999996</v>
      </c>
      <c r="H511" s="9">
        <f>16.221 * CHOOSE(CONTROL!$C$32, $C$9, 100%, $E$9)</f>
        <v>16.221</v>
      </c>
      <c r="I511" s="9">
        <f>16.2252 * CHOOSE(CONTROL!$C$32, $C$9, 100%, $E$9)</f>
        <v>16.225200000000001</v>
      </c>
      <c r="J511" s="9">
        <f>16.221 * CHOOSE(CONTROL!$C$32, $C$9, 100%, $E$9)</f>
        <v>16.221</v>
      </c>
      <c r="K511" s="9">
        <f>16.2252 * CHOOSE(CONTROL!$C$32, $C$9, 100%, $E$9)</f>
        <v>16.225200000000001</v>
      </c>
      <c r="L511" s="9">
        <f>7.5219 * CHOOSE(CONTROL!$C$32, $C$9, 100%, $E$9)</f>
        <v>7.5218999999999996</v>
      </c>
      <c r="M511" s="9">
        <f>7.5261 * CHOOSE(CONTROL!$C$32, $C$9, 100%, $E$9)</f>
        <v>7.5260999999999996</v>
      </c>
      <c r="N511" s="9">
        <f>7.5219 * CHOOSE(CONTROL!$C$32, $C$9, 100%, $E$9)</f>
        <v>7.5218999999999996</v>
      </c>
      <c r="O511" s="9">
        <f>7.5261 * CHOOSE(CONTROL!$C$32, $C$9, 100%, $E$9)</f>
        <v>7.5260999999999996</v>
      </c>
    </row>
    <row r="512" spans="1:15" ht="15.75" x14ac:dyDescent="0.25">
      <c r="A512" s="14">
        <v>56461</v>
      </c>
      <c r="B512" s="10">
        <f>8.59 * CHOOSE(CONTROL!$C$32, $C$9, 100%, $E$9)</f>
        <v>8.59</v>
      </c>
      <c r="C512" s="10">
        <f>8.59 * CHOOSE(CONTROL!$C$32, $C$9, 100%, $E$9)</f>
        <v>8.59</v>
      </c>
      <c r="D512" s="10">
        <f>8.5913 * CHOOSE(CONTROL!$C$32, $C$9, 100%, $E$9)</f>
        <v>8.5913000000000004</v>
      </c>
      <c r="E512" s="9">
        <f>7.6097 * CHOOSE(CONTROL!$C$32, $C$9, 100%, $E$9)</f>
        <v>7.6097000000000001</v>
      </c>
      <c r="F512" s="9">
        <f>7.6097 * CHOOSE(CONTROL!$C$32, $C$9, 100%, $E$9)</f>
        <v>7.6097000000000001</v>
      </c>
      <c r="G512" s="9">
        <f>7.6139 * CHOOSE(CONTROL!$C$32, $C$9, 100%, $E$9)</f>
        <v>7.6139000000000001</v>
      </c>
      <c r="H512" s="9">
        <f>16.2548 * CHOOSE(CONTROL!$C$32, $C$9, 100%, $E$9)</f>
        <v>16.254799999999999</v>
      </c>
      <c r="I512" s="9">
        <f>16.259 * CHOOSE(CONTROL!$C$32, $C$9, 100%, $E$9)</f>
        <v>16.259</v>
      </c>
      <c r="J512" s="9">
        <f>16.2548 * CHOOSE(CONTROL!$C$32, $C$9, 100%, $E$9)</f>
        <v>16.254799999999999</v>
      </c>
      <c r="K512" s="9">
        <f>16.259 * CHOOSE(CONTROL!$C$32, $C$9, 100%, $E$9)</f>
        <v>16.259</v>
      </c>
      <c r="L512" s="9">
        <f>7.6097 * CHOOSE(CONTROL!$C$32, $C$9, 100%, $E$9)</f>
        <v>7.6097000000000001</v>
      </c>
      <c r="M512" s="9">
        <f>7.6139 * CHOOSE(CONTROL!$C$32, $C$9, 100%, $E$9)</f>
        <v>7.6139000000000001</v>
      </c>
      <c r="N512" s="9">
        <f>7.6097 * CHOOSE(CONTROL!$C$32, $C$9, 100%, $E$9)</f>
        <v>7.6097000000000001</v>
      </c>
      <c r="O512" s="9">
        <f>7.6139 * CHOOSE(CONTROL!$C$32, $C$9, 100%, $E$9)</f>
        <v>7.6139000000000001</v>
      </c>
    </row>
    <row r="513" spans="1:15" ht="15.75" x14ac:dyDescent="0.25">
      <c r="A513" s="14">
        <v>56492</v>
      </c>
      <c r="B513" s="10">
        <f>8.5967 * CHOOSE(CONTROL!$C$32, $C$9, 100%, $E$9)</f>
        <v>8.5967000000000002</v>
      </c>
      <c r="C513" s="10">
        <f>8.5967 * CHOOSE(CONTROL!$C$32, $C$9, 100%, $E$9)</f>
        <v>8.5967000000000002</v>
      </c>
      <c r="D513" s="10">
        <f>8.598 * CHOOSE(CONTROL!$C$32, $C$9, 100%, $E$9)</f>
        <v>8.5980000000000008</v>
      </c>
      <c r="E513" s="9">
        <f>7.4587 * CHOOSE(CONTROL!$C$32, $C$9, 100%, $E$9)</f>
        <v>7.4587000000000003</v>
      </c>
      <c r="F513" s="9">
        <f>7.4587 * CHOOSE(CONTROL!$C$32, $C$9, 100%, $E$9)</f>
        <v>7.4587000000000003</v>
      </c>
      <c r="G513" s="9">
        <f>7.4629 * CHOOSE(CONTROL!$C$32, $C$9, 100%, $E$9)</f>
        <v>7.4629000000000003</v>
      </c>
      <c r="H513" s="9">
        <f>16.2887 * CHOOSE(CONTROL!$C$32, $C$9, 100%, $E$9)</f>
        <v>16.288699999999999</v>
      </c>
      <c r="I513" s="9">
        <f>16.2929 * CHOOSE(CONTROL!$C$32, $C$9, 100%, $E$9)</f>
        <v>16.292899999999999</v>
      </c>
      <c r="J513" s="9">
        <f>16.2887 * CHOOSE(CONTROL!$C$32, $C$9, 100%, $E$9)</f>
        <v>16.288699999999999</v>
      </c>
      <c r="K513" s="9">
        <f>16.2929 * CHOOSE(CONTROL!$C$32, $C$9, 100%, $E$9)</f>
        <v>16.292899999999999</v>
      </c>
      <c r="L513" s="9">
        <f>7.4587 * CHOOSE(CONTROL!$C$32, $C$9, 100%, $E$9)</f>
        <v>7.4587000000000003</v>
      </c>
      <c r="M513" s="9">
        <f>7.4629 * CHOOSE(CONTROL!$C$32, $C$9, 100%, $E$9)</f>
        <v>7.4629000000000003</v>
      </c>
      <c r="N513" s="9">
        <f>7.4587 * CHOOSE(CONTROL!$C$32, $C$9, 100%, $E$9)</f>
        <v>7.4587000000000003</v>
      </c>
      <c r="O513" s="9">
        <f>7.4629 * CHOOSE(CONTROL!$C$32, $C$9, 100%, $E$9)</f>
        <v>7.4629000000000003</v>
      </c>
    </row>
    <row r="514" spans="1:15" ht="15.75" x14ac:dyDescent="0.25">
      <c r="A514" s="14">
        <v>56522</v>
      </c>
      <c r="B514" s="10">
        <f>8.5937 * CHOOSE(CONTROL!$C$32, $C$9, 100%, $E$9)</f>
        <v>8.5937000000000001</v>
      </c>
      <c r="C514" s="10">
        <f>8.5937 * CHOOSE(CONTROL!$C$32, $C$9, 100%, $E$9)</f>
        <v>8.5937000000000001</v>
      </c>
      <c r="D514" s="10">
        <f>8.5949 * CHOOSE(CONTROL!$C$32, $C$9, 100%, $E$9)</f>
        <v>8.5949000000000009</v>
      </c>
      <c r="E514" s="9">
        <f>7.4393 * CHOOSE(CONTROL!$C$32, $C$9, 100%, $E$9)</f>
        <v>7.4393000000000002</v>
      </c>
      <c r="F514" s="9">
        <f>7.4393 * CHOOSE(CONTROL!$C$32, $C$9, 100%, $E$9)</f>
        <v>7.4393000000000002</v>
      </c>
      <c r="G514" s="9">
        <f>7.4435 * CHOOSE(CONTROL!$C$32, $C$9, 100%, $E$9)</f>
        <v>7.4435000000000002</v>
      </c>
      <c r="H514" s="9">
        <f>16.3226 * CHOOSE(CONTROL!$C$32, $C$9, 100%, $E$9)</f>
        <v>16.322600000000001</v>
      </c>
      <c r="I514" s="9">
        <f>16.3268 * CHOOSE(CONTROL!$C$32, $C$9, 100%, $E$9)</f>
        <v>16.326799999999999</v>
      </c>
      <c r="J514" s="9">
        <f>16.3226 * CHOOSE(CONTROL!$C$32, $C$9, 100%, $E$9)</f>
        <v>16.322600000000001</v>
      </c>
      <c r="K514" s="9">
        <f>16.3268 * CHOOSE(CONTROL!$C$32, $C$9, 100%, $E$9)</f>
        <v>16.326799999999999</v>
      </c>
      <c r="L514" s="9">
        <f>7.4393 * CHOOSE(CONTROL!$C$32, $C$9, 100%, $E$9)</f>
        <v>7.4393000000000002</v>
      </c>
      <c r="M514" s="9">
        <f>7.4435 * CHOOSE(CONTROL!$C$32, $C$9, 100%, $E$9)</f>
        <v>7.4435000000000002</v>
      </c>
      <c r="N514" s="9">
        <f>7.4393 * CHOOSE(CONTROL!$C$32, $C$9, 100%, $E$9)</f>
        <v>7.4393000000000002</v>
      </c>
      <c r="O514" s="9">
        <f>7.4435 * CHOOSE(CONTROL!$C$32, $C$9, 100%, $E$9)</f>
        <v>7.4435000000000002</v>
      </c>
    </row>
    <row r="515" spans="1:15" ht="15.75" x14ac:dyDescent="0.25">
      <c r="A515" s="14">
        <v>56553</v>
      </c>
      <c r="B515" s="10">
        <f>8.607 * CHOOSE(CONTROL!$C$32, $C$9, 100%, $E$9)</f>
        <v>8.6069999999999993</v>
      </c>
      <c r="C515" s="10">
        <f>8.607 * CHOOSE(CONTROL!$C$32, $C$9, 100%, $E$9)</f>
        <v>8.6069999999999993</v>
      </c>
      <c r="D515" s="10">
        <f>8.6079 * CHOOSE(CONTROL!$C$32, $C$9, 100%, $E$9)</f>
        <v>8.6079000000000008</v>
      </c>
      <c r="E515" s="9">
        <f>7.4951 * CHOOSE(CONTROL!$C$32, $C$9, 100%, $E$9)</f>
        <v>7.4950999999999999</v>
      </c>
      <c r="F515" s="9">
        <f>7.4951 * CHOOSE(CONTROL!$C$32, $C$9, 100%, $E$9)</f>
        <v>7.4950999999999999</v>
      </c>
      <c r="G515" s="9">
        <f>7.4983 * CHOOSE(CONTROL!$C$32, $C$9, 100%, $E$9)</f>
        <v>7.4983000000000004</v>
      </c>
      <c r="H515" s="9">
        <f>16.3566 * CHOOSE(CONTROL!$C$32, $C$9, 100%, $E$9)</f>
        <v>16.3566</v>
      </c>
      <c r="I515" s="9">
        <f>16.3599 * CHOOSE(CONTROL!$C$32, $C$9, 100%, $E$9)</f>
        <v>16.3599</v>
      </c>
      <c r="J515" s="9">
        <f>16.3566 * CHOOSE(CONTROL!$C$32, $C$9, 100%, $E$9)</f>
        <v>16.3566</v>
      </c>
      <c r="K515" s="9">
        <f>16.3599 * CHOOSE(CONTROL!$C$32, $C$9, 100%, $E$9)</f>
        <v>16.3599</v>
      </c>
      <c r="L515" s="9">
        <f>7.4951 * CHOOSE(CONTROL!$C$32, $C$9, 100%, $E$9)</f>
        <v>7.4950999999999999</v>
      </c>
      <c r="M515" s="9">
        <f>7.4983 * CHOOSE(CONTROL!$C$32, $C$9, 100%, $E$9)</f>
        <v>7.4983000000000004</v>
      </c>
      <c r="N515" s="9">
        <f>7.4951 * CHOOSE(CONTROL!$C$32, $C$9, 100%, $E$9)</f>
        <v>7.4950999999999999</v>
      </c>
      <c r="O515" s="9">
        <f>7.4983 * CHOOSE(CONTROL!$C$32, $C$9, 100%, $E$9)</f>
        <v>7.4983000000000004</v>
      </c>
    </row>
    <row r="516" spans="1:15" ht="15.75" x14ac:dyDescent="0.25">
      <c r="A516" s="14">
        <v>56583</v>
      </c>
      <c r="B516" s="10">
        <f>8.61 * CHOOSE(CONTROL!$C$32, $C$9, 100%, $E$9)</f>
        <v>8.61</v>
      </c>
      <c r="C516" s="10">
        <f>8.61 * CHOOSE(CONTROL!$C$32, $C$9, 100%, $E$9)</f>
        <v>8.61</v>
      </c>
      <c r="D516" s="10">
        <f>8.611 * CHOOSE(CONTROL!$C$32, $C$9, 100%, $E$9)</f>
        <v>8.6110000000000007</v>
      </c>
      <c r="E516" s="9">
        <f>7.5318 * CHOOSE(CONTROL!$C$32, $C$9, 100%, $E$9)</f>
        <v>7.5317999999999996</v>
      </c>
      <c r="F516" s="9">
        <f>7.5318 * CHOOSE(CONTROL!$C$32, $C$9, 100%, $E$9)</f>
        <v>7.5317999999999996</v>
      </c>
      <c r="G516" s="9">
        <f>7.535 * CHOOSE(CONTROL!$C$32, $C$9, 100%, $E$9)</f>
        <v>7.5350000000000001</v>
      </c>
      <c r="H516" s="9">
        <f>16.3907 * CHOOSE(CONTROL!$C$32, $C$9, 100%, $E$9)</f>
        <v>16.390699999999999</v>
      </c>
      <c r="I516" s="9">
        <f>16.3939 * CHOOSE(CONTROL!$C$32, $C$9, 100%, $E$9)</f>
        <v>16.393899999999999</v>
      </c>
      <c r="J516" s="9">
        <f>16.3907 * CHOOSE(CONTROL!$C$32, $C$9, 100%, $E$9)</f>
        <v>16.390699999999999</v>
      </c>
      <c r="K516" s="9">
        <f>16.3939 * CHOOSE(CONTROL!$C$32, $C$9, 100%, $E$9)</f>
        <v>16.393899999999999</v>
      </c>
      <c r="L516" s="9">
        <f>7.5318 * CHOOSE(CONTROL!$C$32, $C$9, 100%, $E$9)</f>
        <v>7.5317999999999996</v>
      </c>
      <c r="M516" s="9">
        <f>7.535 * CHOOSE(CONTROL!$C$32, $C$9, 100%, $E$9)</f>
        <v>7.5350000000000001</v>
      </c>
      <c r="N516" s="9">
        <f>7.5318 * CHOOSE(CONTROL!$C$32, $C$9, 100%, $E$9)</f>
        <v>7.5317999999999996</v>
      </c>
      <c r="O516" s="9">
        <f>7.535 * CHOOSE(CONTROL!$C$32, $C$9, 100%, $E$9)</f>
        <v>7.5350000000000001</v>
      </c>
    </row>
    <row r="517" spans="1:15" ht="15.75" x14ac:dyDescent="0.25">
      <c r="A517" s="14">
        <v>56614</v>
      </c>
      <c r="B517" s="10">
        <f>8.61 * CHOOSE(CONTROL!$C$32, $C$9, 100%, $E$9)</f>
        <v>8.61</v>
      </c>
      <c r="C517" s="10">
        <f>8.61 * CHOOSE(CONTROL!$C$32, $C$9, 100%, $E$9)</f>
        <v>8.61</v>
      </c>
      <c r="D517" s="10">
        <f>8.611 * CHOOSE(CONTROL!$C$32, $C$9, 100%, $E$9)</f>
        <v>8.6110000000000007</v>
      </c>
      <c r="E517" s="9">
        <f>7.4453 * CHOOSE(CONTROL!$C$32, $C$9, 100%, $E$9)</f>
        <v>7.4452999999999996</v>
      </c>
      <c r="F517" s="9">
        <f>7.4453 * CHOOSE(CONTROL!$C$32, $C$9, 100%, $E$9)</f>
        <v>7.4452999999999996</v>
      </c>
      <c r="G517" s="9">
        <f>7.4485 * CHOOSE(CONTROL!$C$32, $C$9, 100%, $E$9)</f>
        <v>7.4485000000000001</v>
      </c>
      <c r="H517" s="9">
        <f>16.4249 * CHOOSE(CONTROL!$C$32, $C$9, 100%, $E$9)</f>
        <v>16.424900000000001</v>
      </c>
      <c r="I517" s="9">
        <f>16.4281 * CHOOSE(CONTROL!$C$32, $C$9, 100%, $E$9)</f>
        <v>16.428100000000001</v>
      </c>
      <c r="J517" s="9">
        <f>16.4249 * CHOOSE(CONTROL!$C$32, $C$9, 100%, $E$9)</f>
        <v>16.424900000000001</v>
      </c>
      <c r="K517" s="9">
        <f>16.4281 * CHOOSE(CONTROL!$C$32, $C$9, 100%, $E$9)</f>
        <v>16.428100000000001</v>
      </c>
      <c r="L517" s="9">
        <f>7.4453 * CHOOSE(CONTROL!$C$32, $C$9, 100%, $E$9)</f>
        <v>7.4452999999999996</v>
      </c>
      <c r="M517" s="9">
        <f>7.4485 * CHOOSE(CONTROL!$C$32, $C$9, 100%, $E$9)</f>
        <v>7.4485000000000001</v>
      </c>
      <c r="N517" s="9">
        <f>7.4453 * CHOOSE(CONTROL!$C$32, $C$9, 100%, $E$9)</f>
        <v>7.4452999999999996</v>
      </c>
      <c r="O517" s="9">
        <f>7.4485 * CHOOSE(CONTROL!$C$32, $C$9, 100%, $E$9)</f>
        <v>7.4485000000000001</v>
      </c>
    </row>
    <row r="518" spans="1:15" ht="15.75" x14ac:dyDescent="0.25">
      <c r="A518" s="13">
        <v>56645</v>
      </c>
      <c r="B518" s="10">
        <f>8.6812 * CHOOSE(CONTROL!$C$32, $C$9, 100%, $E$9)</f>
        <v>8.6812000000000005</v>
      </c>
      <c r="C518" s="10">
        <f>8.6812 * CHOOSE(CONTROL!$C$32, $C$9, 100%, $E$9)</f>
        <v>8.6812000000000005</v>
      </c>
      <c r="D518" s="10">
        <f>8.6821 * CHOOSE(CONTROL!$C$32, $C$9, 100%, $E$9)</f>
        <v>8.6821000000000002</v>
      </c>
      <c r="E518" s="9">
        <f>7.5599 * CHOOSE(CONTROL!$C$32, $C$9, 100%, $E$9)</f>
        <v>7.5598999999999998</v>
      </c>
      <c r="F518" s="9">
        <f>7.5599 * CHOOSE(CONTROL!$C$32, $C$9, 100%, $E$9)</f>
        <v>7.5598999999999998</v>
      </c>
      <c r="G518" s="9">
        <f>7.5631 * CHOOSE(CONTROL!$C$32, $C$9, 100%, $E$9)</f>
        <v>7.5631000000000004</v>
      </c>
      <c r="H518" s="9">
        <f>16.4591 * CHOOSE(CONTROL!$C$32, $C$9, 100%, $E$9)</f>
        <v>16.459099999999999</v>
      </c>
      <c r="I518" s="9">
        <f>16.4623 * CHOOSE(CONTROL!$C$32, $C$9, 100%, $E$9)</f>
        <v>16.462299999999999</v>
      </c>
      <c r="J518" s="9">
        <f>16.4591 * CHOOSE(CONTROL!$C$32, $C$9, 100%, $E$9)</f>
        <v>16.459099999999999</v>
      </c>
      <c r="K518" s="9">
        <f>16.4623 * CHOOSE(CONTROL!$C$32, $C$9, 100%, $E$9)</f>
        <v>16.462299999999999</v>
      </c>
      <c r="L518" s="9">
        <f>7.5599 * CHOOSE(CONTROL!$C$32, $C$9, 100%, $E$9)</f>
        <v>7.5598999999999998</v>
      </c>
      <c r="M518" s="9">
        <f>7.5631 * CHOOSE(CONTROL!$C$32, $C$9, 100%, $E$9)</f>
        <v>7.5631000000000004</v>
      </c>
      <c r="N518" s="9">
        <f>7.5599 * CHOOSE(CONTROL!$C$32, $C$9, 100%, $E$9)</f>
        <v>7.5598999999999998</v>
      </c>
      <c r="O518" s="9">
        <f>7.5631 * CHOOSE(CONTROL!$C$32, $C$9, 100%, $E$9)</f>
        <v>7.5631000000000004</v>
      </c>
    </row>
    <row r="519" spans="1:15" ht="15.75" x14ac:dyDescent="0.25">
      <c r="A519" s="13">
        <v>56673</v>
      </c>
      <c r="B519" s="10">
        <f>8.6782 * CHOOSE(CONTROL!$C$32, $C$9, 100%, $E$9)</f>
        <v>8.6782000000000004</v>
      </c>
      <c r="C519" s="10">
        <f>8.6782 * CHOOSE(CONTROL!$C$32, $C$9, 100%, $E$9)</f>
        <v>8.6782000000000004</v>
      </c>
      <c r="D519" s="10">
        <f>8.6791 * CHOOSE(CONTROL!$C$32, $C$9, 100%, $E$9)</f>
        <v>8.6791</v>
      </c>
      <c r="E519" s="9">
        <f>7.3895 * CHOOSE(CONTROL!$C$32, $C$9, 100%, $E$9)</f>
        <v>7.3895</v>
      </c>
      <c r="F519" s="9">
        <f>7.3895 * CHOOSE(CONTROL!$C$32, $C$9, 100%, $E$9)</f>
        <v>7.3895</v>
      </c>
      <c r="G519" s="9">
        <f>7.3927 * CHOOSE(CONTROL!$C$32, $C$9, 100%, $E$9)</f>
        <v>7.3926999999999996</v>
      </c>
      <c r="H519" s="9">
        <f>16.4934 * CHOOSE(CONTROL!$C$32, $C$9, 100%, $E$9)</f>
        <v>16.493400000000001</v>
      </c>
      <c r="I519" s="9">
        <f>16.4966 * CHOOSE(CONTROL!$C$32, $C$9, 100%, $E$9)</f>
        <v>16.496600000000001</v>
      </c>
      <c r="J519" s="9">
        <f>16.4934 * CHOOSE(CONTROL!$C$32, $C$9, 100%, $E$9)</f>
        <v>16.493400000000001</v>
      </c>
      <c r="K519" s="9">
        <f>16.4966 * CHOOSE(CONTROL!$C$32, $C$9, 100%, $E$9)</f>
        <v>16.496600000000001</v>
      </c>
      <c r="L519" s="9">
        <f>7.3895 * CHOOSE(CONTROL!$C$32, $C$9, 100%, $E$9)</f>
        <v>7.3895</v>
      </c>
      <c r="M519" s="9">
        <f>7.3927 * CHOOSE(CONTROL!$C$32, $C$9, 100%, $E$9)</f>
        <v>7.3926999999999996</v>
      </c>
      <c r="N519" s="9">
        <f>7.3895 * CHOOSE(CONTROL!$C$32, $C$9, 100%, $E$9)</f>
        <v>7.3895</v>
      </c>
      <c r="O519" s="9">
        <f>7.3927 * CHOOSE(CONTROL!$C$32, $C$9, 100%, $E$9)</f>
        <v>7.3926999999999996</v>
      </c>
    </row>
    <row r="520" spans="1:15" ht="15.75" x14ac:dyDescent="0.25">
      <c r="A520" s="13">
        <v>56704</v>
      </c>
      <c r="B520" s="10">
        <f>8.6751 * CHOOSE(CONTROL!$C$32, $C$9, 100%, $E$9)</f>
        <v>8.6751000000000005</v>
      </c>
      <c r="C520" s="10">
        <f>8.6751 * CHOOSE(CONTROL!$C$32, $C$9, 100%, $E$9)</f>
        <v>8.6751000000000005</v>
      </c>
      <c r="D520" s="10">
        <f>8.6761 * CHOOSE(CONTROL!$C$32, $C$9, 100%, $E$9)</f>
        <v>8.6760999999999999</v>
      </c>
      <c r="E520" s="9">
        <f>7.52 * CHOOSE(CONTROL!$C$32, $C$9, 100%, $E$9)</f>
        <v>7.52</v>
      </c>
      <c r="F520" s="9">
        <f>7.52 * CHOOSE(CONTROL!$C$32, $C$9, 100%, $E$9)</f>
        <v>7.52</v>
      </c>
      <c r="G520" s="9">
        <f>7.5233 * CHOOSE(CONTROL!$C$32, $C$9, 100%, $E$9)</f>
        <v>7.5232999999999999</v>
      </c>
      <c r="H520" s="9">
        <f>16.5277 * CHOOSE(CONTROL!$C$32, $C$9, 100%, $E$9)</f>
        <v>16.527699999999999</v>
      </c>
      <c r="I520" s="9">
        <f>16.531 * CHOOSE(CONTROL!$C$32, $C$9, 100%, $E$9)</f>
        <v>16.530999999999999</v>
      </c>
      <c r="J520" s="9">
        <f>16.5277 * CHOOSE(CONTROL!$C$32, $C$9, 100%, $E$9)</f>
        <v>16.527699999999999</v>
      </c>
      <c r="K520" s="9">
        <f>16.531 * CHOOSE(CONTROL!$C$32, $C$9, 100%, $E$9)</f>
        <v>16.530999999999999</v>
      </c>
      <c r="L520" s="9">
        <f>7.52 * CHOOSE(CONTROL!$C$32, $C$9, 100%, $E$9)</f>
        <v>7.52</v>
      </c>
      <c r="M520" s="9">
        <f>7.5233 * CHOOSE(CONTROL!$C$32, $C$9, 100%, $E$9)</f>
        <v>7.5232999999999999</v>
      </c>
      <c r="N520" s="9">
        <f>7.52 * CHOOSE(CONTROL!$C$32, $C$9, 100%, $E$9)</f>
        <v>7.52</v>
      </c>
      <c r="O520" s="9">
        <f>7.5233 * CHOOSE(CONTROL!$C$32, $C$9, 100%, $E$9)</f>
        <v>7.5232999999999999</v>
      </c>
    </row>
    <row r="521" spans="1:15" ht="15.75" x14ac:dyDescent="0.25">
      <c r="A521" s="13">
        <v>56734</v>
      </c>
      <c r="B521" s="10">
        <f>8.6776 * CHOOSE(CONTROL!$C$32, $C$9, 100%, $E$9)</f>
        <v>8.6776</v>
      </c>
      <c r="C521" s="10">
        <f>8.6776 * CHOOSE(CONTROL!$C$32, $C$9, 100%, $E$9)</f>
        <v>8.6776</v>
      </c>
      <c r="D521" s="10">
        <f>8.6785 * CHOOSE(CONTROL!$C$32, $C$9, 100%, $E$9)</f>
        <v>8.6784999999999997</v>
      </c>
      <c r="E521" s="9">
        <f>7.6583 * CHOOSE(CONTROL!$C$32, $C$9, 100%, $E$9)</f>
        <v>7.6582999999999997</v>
      </c>
      <c r="F521" s="9">
        <f>7.6583 * CHOOSE(CONTROL!$C$32, $C$9, 100%, $E$9)</f>
        <v>7.6582999999999997</v>
      </c>
      <c r="G521" s="9">
        <f>7.6615 * CHOOSE(CONTROL!$C$32, $C$9, 100%, $E$9)</f>
        <v>7.6615000000000002</v>
      </c>
      <c r="H521" s="9">
        <f>16.5622 * CHOOSE(CONTROL!$C$32, $C$9, 100%, $E$9)</f>
        <v>16.562200000000001</v>
      </c>
      <c r="I521" s="9">
        <f>16.5654 * CHOOSE(CONTROL!$C$32, $C$9, 100%, $E$9)</f>
        <v>16.5654</v>
      </c>
      <c r="J521" s="9">
        <f>16.5622 * CHOOSE(CONTROL!$C$32, $C$9, 100%, $E$9)</f>
        <v>16.562200000000001</v>
      </c>
      <c r="K521" s="9">
        <f>16.5654 * CHOOSE(CONTROL!$C$32, $C$9, 100%, $E$9)</f>
        <v>16.5654</v>
      </c>
      <c r="L521" s="9">
        <f>7.6583 * CHOOSE(CONTROL!$C$32, $C$9, 100%, $E$9)</f>
        <v>7.6582999999999997</v>
      </c>
      <c r="M521" s="9">
        <f>7.6615 * CHOOSE(CONTROL!$C$32, $C$9, 100%, $E$9)</f>
        <v>7.6615000000000002</v>
      </c>
      <c r="N521" s="9">
        <f>7.6583 * CHOOSE(CONTROL!$C$32, $C$9, 100%, $E$9)</f>
        <v>7.6582999999999997</v>
      </c>
      <c r="O521" s="9">
        <f>7.6615 * CHOOSE(CONTROL!$C$32, $C$9, 100%, $E$9)</f>
        <v>7.6615000000000002</v>
      </c>
    </row>
    <row r="522" spans="1:15" ht="15.75" x14ac:dyDescent="0.25">
      <c r="A522" s="13">
        <v>56765</v>
      </c>
      <c r="B522" s="10">
        <f>8.6776 * CHOOSE(CONTROL!$C$32, $C$9, 100%, $E$9)</f>
        <v>8.6776</v>
      </c>
      <c r="C522" s="10">
        <f>8.6776 * CHOOSE(CONTROL!$C$32, $C$9, 100%, $E$9)</f>
        <v>8.6776</v>
      </c>
      <c r="D522" s="10">
        <f>8.6788 * CHOOSE(CONTROL!$C$32, $C$9, 100%, $E$9)</f>
        <v>8.6788000000000007</v>
      </c>
      <c r="E522" s="9">
        <f>7.7118 * CHOOSE(CONTROL!$C$32, $C$9, 100%, $E$9)</f>
        <v>7.7118000000000002</v>
      </c>
      <c r="F522" s="9">
        <f>7.7118 * CHOOSE(CONTROL!$C$32, $C$9, 100%, $E$9)</f>
        <v>7.7118000000000002</v>
      </c>
      <c r="G522" s="9">
        <f>7.716 * CHOOSE(CONTROL!$C$32, $C$9, 100%, $E$9)</f>
        <v>7.7160000000000002</v>
      </c>
      <c r="H522" s="9">
        <f>16.5967 * CHOOSE(CONTROL!$C$32, $C$9, 100%, $E$9)</f>
        <v>16.596699999999998</v>
      </c>
      <c r="I522" s="9">
        <f>16.6009 * CHOOSE(CONTROL!$C$32, $C$9, 100%, $E$9)</f>
        <v>16.600899999999999</v>
      </c>
      <c r="J522" s="9">
        <f>16.5967 * CHOOSE(CONTROL!$C$32, $C$9, 100%, $E$9)</f>
        <v>16.596699999999998</v>
      </c>
      <c r="K522" s="9">
        <f>16.6009 * CHOOSE(CONTROL!$C$32, $C$9, 100%, $E$9)</f>
        <v>16.600899999999999</v>
      </c>
      <c r="L522" s="9">
        <f>7.7118 * CHOOSE(CONTROL!$C$32, $C$9, 100%, $E$9)</f>
        <v>7.7118000000000002</v>
      </c>
      <c r="M522" s="9">
        <f>7.716 * CHOOSE(CONTROL!$C$32, $C$9, 100%, $E$9)</f>
        <v>7.7160000000000002</v>
      </c>
      <c r="N522" s="9">
        <f>7.7118 * CHOOSE(CONTROL!$C$32, $C$9, 100%, $E$9)</f>
        <v>7.7118000000000002</v>
      </c>
      <c r="O522" s="9">
        <f>7.716 * CHOOSE(CONTROL!$C$32, $C$9, 100%, $E$9)</f>
        <v>7.7160000000000002</v>
      </c>
    </row>
    <row r="523" spans="1:15" ht="15.75" x14ac:dyDescent="0.25">
      <c r="A523" s="13">
        <v>56795</v>
      </c>
      <c r="B523" s="10">
        <f>8.6837 * CHOOSE(CONTROL!$C$32, $C$9, 100%, $E$9)</f>
        <v>8.6837</v>
      </c>
      <c r="C523" s="10">
        <f>8.6837 * CHOOSE(CONTROL!$C$32, $C$9, 100%, $E$9)</f>
        <v>8.6837</v>
      </c>
      <c r="D523" s="10">
        <f>8.6849 * CHOOSE(CONTROL!$C$32, $C$9, 100%, $E$9)</f>
        <v>8.6849000000000007</v>
      </c>
      <c r="E523" s="9">
        <f>7.6626 * CHOOSE(CONTROL!$C$32, $C$9, 100%, $E$9)</f>
        <v>7.6626000000000003</v>
      </c>
      <c r="F523" s="9">
        <f>7.6626 * CHOOSE(CONTROL!$C$32, $C$9, 100%, $E$9)</f>
        <v>7.6626000000000003</v>
      </c>
      <c r="G523" s="9">
        <f>7.6668 * CHOOSE(CONTROL!$C$32, $C$9, 100%, $E$9)</f>
        <v>7.6668000000000003</v>
      </c>
      <c r="H523" s="9">
        <f>16.6313 * CHOOSE(CONTROL!$C$32, $C$9, 100%, $E$9)</f>
        <v>16.6313</v>
      </c>
      <c r="I523" s="9">
        <f>16.6355 * CHOOSE(CONTROL!$C$32, $C$9, 100%, $E$9)</f>
        <v>16.6355</v>
      </c>
      <c r="J523" s="9">
        <f>16.6313 * CHOOSE(CONTROL!$C$32, $C$9, 100%, $E$9)</f>
        <v>16.6313</v>
      </c>
      <c r="K523" s="9">
        <f>16.6355 * CHOOSE(CONTROL!$C$32, $C$9, 100%, $E$9)</f>
        <v>16.6355</v>
      </c>
      <c r="L523" s="9">
        <f>7.6626 * CHOOSE(CONTROL!$C$32, $C$9, 100%, $E$9)</f>
        <v>7.6626000000000003</v>
      </c>
      <c r="M523" s="9">
        <f>7.6668 * CHOOSE(CONTROL!$C$32, $C$9, 100%, $E$9)</f>
        <v>7.6668000000000003</v>
      </c>
      <c r="N523" s="9">
        <f>7.6626 * CHOOSE(CONTROL!$C$32, $C$9, 100%, $E$9)</f>
        <v>7.6626000000000003</v>
      </c>
      <c r="O523" s="9">
        <f>7.6668 * CHOOSE(CONTROL!$C$32, $C$9, 100%, $E$9)</f>
        <v>7.6668000000000003</v>
      </c>
    </row>
    <row r="524" spans="1:15" ht="15.75" x14ac:dyDescent="0.25">
      <c r="A524" s="13">
        <v>56826</v>
      </c>
      <c r="B524" s="10">
        <f>8.8071 * CHOOSE(CONTROL!$C$32, $C$9, 100%, $E$9)</f>
        <v>8.8071000000000002</v>
      </c>
      <c r="C524" s="10">
        <f>8.8071 * CHOOSE(CONTROL!$C$32, $C$9, 100%, $E$9)</f>
        <v>8.8071000000000002</v>
      </c>
      <c r="D524" s="10">
        <f>8.8083 * CHOOSE(CONTROL!$C$32, $C$9, 100%, $E$9)</f>
        <v>8.8082999999999991</v>
      </c>
      <c r="E524" s="9">
        <f>7.7519 * CHOOSE(CONTROL!$C$32, $C$9, 100%, $E$9)</f>
        <v>7.7519</v>
      </c>
      <c r="F524" s="9">
        <f>7.7519 * CHOOSE(CONTROL!$C$32, $C$9, 100%, $E$9)</f>
        <v>7.7519</v>
      </c>
      <c r="G524" s="9">
        <f>7.7561 * CHOOSE(CONTROL!$C$32, $C$9, 100%, $E$9)</f>
        <v>7.7561</v>
      </c>
      <c r="H524" s="9">
        <f>16.6659 * CHOOSE(CONTROL!$C$32, $C$9, 100%, $E$9)</f>
        <v>16.665900000000001</v>
      </c>
      <c r="I524" s="9">
        <f>16.6701 * CHOOSE(CONTROL!$C$32, $C$9, 100%, $E$9)</f>
        <v>16.670100000000001</v>
      </c>
      <c r="J524" s="9">
        <f>16.6659 * CHOOSE(CONTROL!$C$32, $C$9, 100%, $E$9)</f>
        <v>16.665900000000001</v>
      </c>
      <c r="K524" s="9">
        <f>16.6701 * CHOOSE(CONTROL!$C$32, $C$9, 100%, $E$9)</f>
        <v>16.670100000000001</v>
      </c>
      <c r="L524" s="9">
        <f>7.7519 * CHOOSE(CONTROL!$C$32, $C$9, 100%, $E$9)</f>
        <v>7.7519</v>
      </c>
      <c r="M524" s="9">
        <f>7.7561 * CHOOSE(CONTROL!$C$32, $C$9, 100%, $E$9)</f>
        <v>7.7561</v>
      </c>
      <c r="N524" s="9">
        <f>7.7519 * CHOOSE(CONTROL!$C$32, $C$9, 100%, $E$9)</f>
        <v>7.7519</v>
      </c>
      <c r="O524" s="9">
        <f>7.7561 * CHOOSE(CONTROL!$C$32, $C$9, 100%, $E$9)</f>
        <v>7.7561</v>
      </c>
    </row>
    <row r="525" spans="1:15" ht="15.75" x14ac:dyDescent="0.25">
      <c r="A525" s="13">
        <v>56857</v>
      </c>
      <c r="B525" s="10">
        <f>8.8138 * CHOOSE(CONTROL!$C$32, $C$9, 100%, $E$9)</f>
        <v>8.8138000000000005</v>
      </c>
      <c r="C525" s="10">
        <f>8.8138 * CHOOSE(CONTROL!$C$32, $C$9, 100%, $E$9)</f>
        <v>8.8138000000000005</v>
      </c>
      <c r="D525" s="10">
        <f>8.815 * CHOOSE(CONTROL!$C$32, $C$9, 100%, $E$9)</f>
        <v>8.8149999999999995</v>
      </c>
      <c r="E525" s="9">
        <f>7.5962 * CHOOSE(CONTROL!$C$32, $C$9, 100%, $E$9)</f>
        <v>7.5961999999999996</v>
      </c>
      <c r="F525" s="9">
        <f>7.5962 * CHOOSE(CONTROL!$C$32, $C$9, 100%, $E$9)</f>
        <v>7.5961999999999996</v>
      </c>
      <c r="G525" s="9">
        <f>7.6004 * CHOOSE(CONTROL!$C$32, $C$9, 100%, $E$9)</f>
        <v>7.6003999999999996</v>
      </c>
      <c r="H525" s="9">
        <f>16.7006 * CHOOSE(CONTROL!$C$32, $C$9, 100%, $E$9)</f>
        <v>16.700600000000001</v>
      </c>
      <c r="I525" s="9">
        <f>16.7048 * CHOOSE(CONTROL!$C$32, $C$9, 100%, $E$9)</f>
        <v>16.704799999999999</v>
      </c>
      <c r="J525" s="9">
        <f>16.7006 * CHOOSE(CONTROL!$C$32, $C$9, 100%, $E$9)</f>
        <v>16.700600000000001</v>
      </c>
      <c r="K525" s="9">
        <f>16.7048 * CHOOSE(CONTROL!$C$32, $C$9, 100%, $E$9)</f>
        <v>16.704799999999999</v>
      </c>
      <c r="L525" s="9">
        <f>7.5962 * CHOOSE(CONTROL!$C$32, $C$9, 100%, $E$9)</f>
        <v>7.5961999999999996</v>
      </c>
      <c r="M525" s="9">
        <f>7.6004 * CHOOSE(CONTROL!$C$32, $C$9, 100%, $E$9)</f>
        <v>7.6003999999999996</v>
      </c>
      <c r="N525" s="9">
        <f>7.5962 * CHOOSE(CONTROL!$C$32, $C$9, 100%, $E$9)</f>
        <v>7.5961999999999996</v>
      </c>
      <c r="O525" s="9">
        <f>7.6004 * CHOOSE(CONTROL!$C$32, $C$9, 100%, $E$9)</f>
        <v>7.6003999999999996</v>
      </c>
    </row>
    <row r="526" spans="1:15" ht="15.75" x14ac:dyDescent="0.25">
      <c r="A526" s="13">
        <v>56887</v>
      </c>
      <c r="B526" s="10">
        <f>8.8107 * CHOOSE(CONTROL!$C$32, $C$9, 100%, $E$9)</f>
        <v>8.8107000000000006</v>
      </c>
      <c r="C526" s="10">
        <f>8.8107 * CHOOSE(CONTROL!$C$32, $C$9, 100%, $E$9)</f>
        <v>8.8107000000000006</v>
      </c>
      <c r="D526" s="10">
        <f>8.812 * CHOOSE(CONTROL!$C$32, $C$9, 100%, $E$9)</f>
        <v>8.8119999999999994</v>
      </c>
      <c r="E526" s="9">
        <f>7.5763 * CHOOSE(CONTROL!$C$32, $C$9, 100%, $E$9)</f>
        <v>7.5762999999999998</v>
      </c>
      <c r="F526" s="9">
        <f>7.5763 * CHOOSE(CONTROL!$C$32, $C$9, 100%, $E$9)</f>
        <v>7.5762999999999998</v>
      </c>
      <c r="G526" s="9">
        <f>7.5805 * CHOOSE(CONTROL!$C$32, $C$9, 100%, $E$9)</f>
        <v>7.5804999999999998</v>
      </c>
      <c r="H526" s="9">
        <f>16.7354 * CHOOSE(CONTROL!$C$32, $C$9, 100%, $E$9)</f>
        <v>16.735399999999998</v>
      </c>
      <c r="I526" s="9">
        <f>16.7396 * CHOOSE(CONTROL!$C$32, $C$9, 100%, $E$9)</f>
        <v>16.739599999999999</v>
      </c>
      <c r="J526" s="9">
        <f>16.7354 * CHOOSE(CONTROL!$C$32, $C$9, 100%, $E$9)</f>
        <v>16.735399999999998</v>
      </c>
      <c r="K526" s="9">
        <f>16.7396 * CHOOSE(CONTROL!$C$32, $C$9, 100%, $E$9)</f>
        <v>16.739599999999999</v>
      </c>
      <c r="L526" s="9">
        <f>7.5763 * CHOOSE(CONTROL!$C$32, $C$9, 100%, $E$9)</f>
        <v>7.5762999999999998</v>
      </c>
      <c r="M526" s="9">
        <f>7.5805 * CHOOSE(CONTROL!$C$32, $C$9, 100%, $E$9)</f>
        <v>7.5804999999999998</v>
      </c>
      <c r="N526" s="9">
        <f>7.5763 * CHOOSE(CONTROL!$C$32, $C$9, 100%, $E$9)</f>
        <v>7.5762999999999998</v>
      </c>
      <c r="O526" s="9">
        <f>7.5805 * CHOOSE(CONTROL!$C$32, $C$9, 100%, $E$9)</f>
        <v>7.5804999999999998</v>
      </c>
    </row>
    <row r="527" spans="1:15" ht="15.75" x14ac:dyDescent="0.25">
      <c r="A527" s="13">
        <v>56918</v>
      </c>
      <c r="B527" s="10">
        <f>8.8249 * CHOOSE(CONTROL!$C$32, $C$9, 100%, $E$9)</f>
        <v>8.8248999999999995</v>
      </c>
      <c r="C527" s="10">
        <f>8.8249 * CHOOSE(CONTROL!$C$32, $C$9, 100%, $E$9)</f>
        <v>8.8248999999999995</v>
      </c>
      <c r="D527" s="10">
        <f>8.8258 * CHOOSE(CONTROL!$C$32, $C$9, 100%, $E$9)</f>
        <v>8.8257999999999992</v>
      </c>
      <c r="E527" s="9">
        <f>7.6341 * CHOOSE(CONTROL!$C$32, $C$9, 100%, $E$9)</f>
        <v>7.6341000000000001</v>
      </c>
      <c r="F527" s="9">
        <f>7.6341 * CHOOSE(CONTROL!$C$32, $C$9, 100%, $E$9)</f>
        <v>7.6341000000000001</v>
      </c>
      <c r="G527" s="9">
        <f>7.6373 * CHOOSE(CONTROL!$C$32, $C$9, 100%, $E$9)</f>
        <v>7.6372999999999998</v>
      </c>
      <c r="H527" s="9">
        <f>16.7703 * CHOOSE(CONTROL!$C$32, $C$9, 100%, $E$9)</f>
        <v>16.770299999999999</v>
      </c>
      <c r="I527" s="9">
        <f>16.7735 * CHOOSE(CONTROL!$C$32, $C$9, 100%, $E$9)</f>
        <v>16.773499999999999</v>
      </c>
      <c r="J527" s="9">
        <f>16.7703 * CHOOSE(CONTROL!$C$32, $C$9, 100%, $E$9)</f>
        <v>16.770299999999999</v>
      </c>
      <c r="K527" s="9">
        <f>16.7735 * CHOOSE(CONTROL!$C$32, $C$9, 100%, $E$9)</f>
        <v>16.773499999999999</v>
      </c>
      <c r="L527" s="9">
        <f>7.6341 * CHOOSE(CONTROL!$C$32, $C$9, 100%, $E$9)</f>
        <v>7.6341000000000001</v>
      </c>
      <c r="M527" s="9">
        <f>7.6373 * CHOOSE(CONTROL!$C$32, $C$9, 100%, $E$9)</f>
        <v>7.6372999999999998</v>
      </c>
      <c r="N527" s="9">
        <f>7.6341 * CHOOSE(CONTROL!$C$32, $C$9, 100%, $E$9)</f>
        <v>7.6341000000000001</v>
      </c>
      <c r="O527" s="9">
        <f>7.6373 * CHOOSE(CONTROL!$C$32, $C$9, 100%, $E$9)</f>
        <v>7.6372999999999998</v>
      </c>
    </row>
    <row r="528" spans="1:15" ht="15.75" x14ac:dyDescent="0.25">
      <c r="A528" s="13">
        <v>56948</v>
      </c>
      <c r="B528" s="10">
        <f>8.8279 * CHOOSE(CONTROL!$C$32, $C$9, 100%, $E$9)</f>
        <v>8.8278999999999996</v>
      </c>
      <c r="C528" s="10">
        <f>8.8279 * CHOOSE(CONTROL!$C$32, $C$9, 100%, $E$9)</f>
        <v>8.8278999999999996</v>
      </c>
      <c r="D528" s="10">
        <f>8.8289 * CHOOSE(CONTROL!$C$32, $C$9, 100%, $E$9)</f>
        <v>8.8289000000000009</v>
      </c>
      <c r="E528" s="9">
        <f>7.6719 * CHOOSE(CONTROL!$C$32, $C$9, 100%, $E$9)</f>
        <v>7.6718999999999999</v>
      </c>
      <c r="F528" s="9">
        <f>7.6719 * CHOOSE(CONTROL!$C$32, $C$9, 100%, $E$9)</f>
        <v>7.6718999999999999</v>
      </c>
      <c r="G528" s="9">
        <f>7.6751 * CHOOSE(CONTROL!$C$32, $C$9, 100%, $E$9)</f>
        <v>7.6750999999999996</v>
      </c>
      <c r="H528" s="9">
        <f>16.8052 * CHOOSE(CONTROL!$C$32, $C$9, 100%, $E$9)</f>
        <v>16.805199999999999</v>
      </c>
      <c r="I528" s="9">
        <f>16.8084 * CHOOSE(CONTROL!$C$32, $C$9, 100%, $E$9)</f>
        <v>16.808399999999999</v>
      </c>
      <c r="J528" s="9">
        <f>16.8052 * CHOOSE(CONTROL!$C$32, $C$9, 100%, $E$9)</f>
        <v>16.805199999999999</v>
      </c>
      <c r="K528" s="9">
        <f>16.8084 * CHOOSE(CONTROL!$C$32, $C$9, 100%, $E$9)</f>
        <v>16.808399999999999</v>
      </c>
      <c r="L528" s="9">
        <f>7.6719 * CHOOSE(CONTROL!$C$32, $C$9, 100%, $E$9)</f>
        <v>7.6718999999999999</v>
      </c>
      <c r="M528" s="9">
        <f>7.6751 * CHOOSE(CONTROL!$C$32, $C$9, 100%, $E$9)</f>
        <v>7.6750999999999996</v>
      </c>
      <c r="N528" s="9">
        <f>7.6719 * CHOOSE(CONTROL!$C$32, $C$9, 100%, $E$9)</f>
        <v>7.6718999999999999</v>
      </c>
      <c r="O528" s="9">
        <f>7.6751 * CHOOSE(CONTROL!$C$32, $C$9, 100%, $E$9)</f>
        <v>7.6750999999999996</v>
      </c>
    </row>
    <row r="529" spans="1:15" ht="15.75" x14ac:dyDescent="0.25">
      <c r="A529" s="13">
        <v>56979</v>
      </c>
      <c r="B529" s="10">
        <f>8.8279 * CHOOSE(CONTROL!$C$32, $C$9, 100%, $E$9)</f>
        <v>8.8278999999999996</v>
      </c>
      <c r="C529" s="10">
        <f>8.8279 * CHOOSE(CONTROL!$C$32, $C$9, 100%, $E$9)</f>
        <v>8.8278999999999996</v>
      </c>
      <c r="D529" s="10">
        <f>8.8289 * CHOOSE(CONTROL!$C$32, $C$9, 100%, $E$9)</f>
        <v>8.8289000000000009</v>
      </c>
      <c r="E529" s="9">
        <f>7.5828 * CHOOSE(CONTROL!$C$32, $C$9, 100%, $E$9)</f>
        <v>7.5827999999999998</v>
      </c>
      <c r="F529" s="9">
        <f>7.5828 * CHOOSE(CONTROL!$C$32, $C$9, 100%, $E$9)</f>
        <v>7.5827999999999998</v>
      </c>
      <c r="G529" s="9">
        <f>7.586 * CHOOSE(CONTROL!$C$32, $C$9, 100%, $E$9)</f>
        <v>7.5860000000000003</v>
      </c>
      <c r="H529" s="9">
        <f>16.8402 * CHOOSE(CONTROL!$C$32, $C$9, 100%, $E$9)</f>
        <v>16.840199999999999</v>
      </c>
      <c r="I529" s="9">
        <f>16.8435 * CHOOSE(CONTROL!$C$32, $C$9, 100%, $E$9)</f>
        <v>16.843499999999999</v>
      </c>
      <c r="J529" s="9">
        <f>16.8402 * CHOOSE(CONTROL!$C$32, $C$9, 100%, $E$9)</f>
        <v>16.840199999999999</v>
      </c>
      <c r="K529" s="9">
        <f>16.8435 * CHOOSE(CONTROL!$C$32, $C$9, 100%, $E$9)</f>
        <v>16.843499999999999</v>
      </c>
      <c r="L529" s="9">
        <f>7.5828 * CHOOSE(CONTROL!$C$32, $C$9, 100%, $E$9)</f>
        <v>7.5827999999999998</v>
      </c>
      <c r="M529" s="9">
        <f>7.586 * CHOOSE(CONTROL!$C$32, $C$9, 100%, $E$9)</f>
        <v>7.5860000000000003</v>
      </c>
      <c r="N529" s="9">
        <f>7.5828 * CHOOSE(CONTROL!$C$32, $C$9, 100%, $E$9)</f>
        <v>7.5827999999999998</v>
      </c>
      <c r="O529" s="9">
        <f>7.586 * CHOOSE(CONTROL!$C$32, $C$9, 100%, $E$9)</f>
        <v>7.5860000000000003</v>
      </c>
    </row>
    <row r="530" spans="1:15" ht="15.75" x14ac:dyDescent="0.25">
      <c r="A530" s="13">
        <v>57010</v>
      </c>
      <c r="B530" s="10">
        <f>8.9008 * CHOOSE(CONTROL!$C$32, $C$9, 100%, $E$9)</f>
        <v>8.9008000000000003</v>
      </c>
      <c r="C530" s="10">
        <f>8.9008 * CHOOSE(CONTROL!$C$32, $C$9, 100%, $E$9)</f>
        <v>8.9008000000000003</v>
      </c>
      <c r="D530" s="10">
        <f>8.9017 * CHOOSE(CONTROL!$C$32, $C$9, 100%, $E$9)</f>
        <v>8.9016999999999999</v>
      </c>
      <c r="E530" s="9">
        <f>7.7003 * CHOOSE(CONTROL!$C$32, $C$9, 100%, $E$9)</f>
        <v>7.7003000000000004</v>
      </c>
      <c r="F530" s="9">
        <f>7.7003 * CHOOSE(CONTROL!$C$32, $C$9, 100%, $E$9)</f>
        <v>7.7003000000000004</v>
      </c>
      <c r="G530" s="9">
        <f>7.7036 * CHOOSE(CONTROL!$C$32, $C$9, 100%, $E$9)</f>
        <v>7.7035999999999998</v>
      </c>
      <c r="H530" s="9">
        <f>16.8753 * CHOOSE(CONTROL!$C$32, $C$9, 100%, $E$9)</f>
        <v>16.875299999999999</v>
      </c>
      <c r="I530" s="9">
        <f>16.8785 * CHOOSE(CONTROL!$C$32, $C$9, 100%, $E$9)</f>
        <v>16.878499999999999</v>
      </c>
      <c r="J530" s="9">
        <f>16.8753 * CHOOSE(CONTROL!$C$32, $C$9, 100%, $E$9)</f>
        <v>16.875299999999999</v>
      </c>
      <c r="K530" s="9">
        <f>16.8785 * CHOOSE(CONTROL!$C$32, $C$9, 100%, $E$9)</f>
        <v>16.878499999999999</v>
      </c>
      <c r="L530" s="9">
        <f>7.7003 * CHOOSE(CONTROL!$C$32, $C$9, 100%, $E$9)</f>
        <v>7.7003000000000004</v>
      </c>
      <c r="M530" s="9">
        <f>7.7036 * CHOOSE(CONTROL!$C$32, $C$9, 100%, $E$9)</f>
        <v>7.7035999999999998</v>
      </c>
      <c r="N530" s="9">
        <f>7.7003 * CHOOSE(CONTROL!$C$32, $C$9, 100%, $E$9)</f>
        <v>7.7003000000000004</v>
      </c>
      <c r="O530" s="9">
        <f>7.7036 * CHOOSE(CONTROL!$C$32, $C$9, 100%, $E$9)</f>
        <v>7.7035999999999998</v>
      </c>
    </row>
    <row r="531" spans="1:15" ht="15.75" x14ac:dyDescent="0.25">
      <c r="A531" s="13">
        <v>57038</v>
      </c>
      <c r="B531" s="10">
        <f>8.8978 * CHOOSE(CONTROL!$C$32, $C$9, 100%, $E$9)</f>
        <v>8.8978000000000002</v>
      </c>
      <c r="C531" s="10">
        <f>8.8978 * CHOOSE(CONTROL!$C$32, $C$9, 100%, $E$9)</f>
        <v>8.8978000000000002</v>
      </c>
      <c r="D531" s="10">
        <f>8.8987 * CHOOSE(CONTROL!$C$32, $C$9, 100%, $E$9)</f>
        <v>8.8986999999999998</v>
      </c>
      <c r="E531" s="9">
        <f>7.5248 * CHOOSE(CONTROL!$C$32, $C$9, 100%, $E$9)</f>
        <v>7.5247999999999999</v>
      </c>
      <c r="F531" s="9">
        <f>7.5248 * CHOOSE(CONTROL!$C$32, $C$9, 100%, $E$9)</f>
        <v>7.5247999999999999</v>
      </c>
      <c r="G531" s="9">
        <f>7.5281 * CHOOSE(CONTROL!$C$32, $C$9, 100%, $E$9)</f>
        <v>7.5281000000000002</v>
      </c>
      <c r="H531" s="9">
        <f>16.9105 * CHOOSE(CONTROL!$C$32, $C$9, 100%, $E$9)</f>
        <v>16.910499999999999</v>
      </c>
      <c r="I531" s="9">
        <f>16.9137 * CHOOSE(CONTROL!$C$32, $C$9, 100%, $E$9)</f>
        <v>16.913699999999999</v>
      </c>
      <c r="J531" s="9">
        <f>16.9105 * CHOOSE(CONTROL!$C$32, $C$9, 100%, $E$9)</f>
        <v>16.910499999999999</v>
      </c>
      <c r="K531" s="9">
        <f>16.9137 * CHOOSE(CONTROL!$C$32, $C$9, 100%, $E$9)</f>
        <v>16.913699999999999</v>
      </c>
      <c r="L531" s="9">
        <f>7.5248 * CHOOSE(CONTROL!$C$32, $C$9, 100%, $E$9)</f>
        <v>7.5247999999999999</v>
      </c>
      <c r="M531" s="9">
        <f>7.5281 * CHOOSE(CONTROL!$C$32, $C$9, 100%, $E$9)</f>
        <v>7.5281000000000002</v>
      </c>
      <c r="N531" s="9">
        <f>7.5248 * CHOOSE(CONTROL!$C$32, $C$9, 100%, $E$9)</f>
        <v>7.5247999999999999</v>
      </c>
      <c r="O531" s="9">
        <f>7.5281 * CHOOSE(CONTROL!$C$32, $C$9, 100%, $E$9)</f>
        <v>7.5281000000000002</v>
      </c>
    </row>
    <row r="532" spans="1:15" ht="15.75" x14ac:dyDescent="0.25">
      <c r="A532" s="13">
        <v>57070</v>
      </c>
      <c r="B532" s="10">
        <f>8.8947 * CHOOSE(CONTROL!$C$32, $C$9, 100%, $E$9)</f>
        <v>8.8947000000000003</v>
      </c>
      <c r="C532" s="10">
        <f>8.8947 * CHOOSE(CONTROL!$C$32, $C$9, 100%, $E$9)</f>
        <v>8.8947000000000003</v>
      </c>
      <c r="D532" s="10">
        <f>8.8957 * CHOOSE(CONTROL!$C$32, $C$9, 100%, $E$9)</f>
        <v>8.8956999999999997</v>
      </c>
      <c r="E532" s="9">
        <f>7.6594 * CHOOSE(CONTROL!$C$32, $C$9, 100%, $E$9)</f>
        <v>7.6593999999999998</v>
      </c>
      <c r="F532" s="9">
        <f>7.6594 * CHOOSE(CONTROL!$C$32, $C$9, 100%, $E$9)</f>
        <v>7.6593999999999998</v>
      </c>
      <c r="G532" s="9">
        <f>7.6626 * CHOOSE(CONTROL!$C$32, $C$9, 100%, $E$9)</f>
        <v>7.6626000000000003</v>
      </c>
      <c r="H532" s="9">
        <f>16.9457 * CHOOSE(CONTROL!$C$32, $C$9, 100%, $E$9)</f>
        <v>16.945699999999999</v>
      </c>
      <c r="I532" s="9">
        <f>16.9489 * CHOOSE(CONTROL!$C$32, $C$9, 100%, $E$9)</f>
        <v>16.948899999999998</v>
      </c>
      <c r="J532" s="9">
        <f>16.9457 * CHOOSE(CONTROL!$C$32, $C$9, 100%, $E$9)</f>
        <v>16.945699999999999</v>
      </c>
      <c r="K532" s="9">
        <f>16.9489 * CHOOSE(CONTROL!$C$32, $C$9, 100%, $E$9)</f>
        <v>16.948899999999998</v>
      </c>
      <c r="L532" s="9">
        <f>7.6594 * CHOOSE(CONTROL!$C$32, $C$9, 100%, $E$9)</f>
        <v>7.6593999999999998</v>
      </c>
      <c r="M532" s="9">
        <f>7.6626 * CHOOSE(CONTROL!$C$32, $C$9, 100%, $E$9)</f>
        <v>7.6626000000000003</v>
      </c>
      <c r="N532" s="9">
        <f>7.6594 * CHOOSE(CONTROL!$C$32, $C$9, 100%, $E$9)</f>
        <v>7.6593999999999998</v>
      </c>
      <c r="O532" s="9">
        <f>7.6626 * CHOOSE(CONTROL!$C$32, $C$9, 100%, $E$9)</f>
        <v>7.6626000000000003</v>
      </c>
    </row>
    <row r="533" spans="1:15" ht="15.75" x14ac:dyDescent="0.25">
      <c r="A533" s="13">
        <v>57100</v>
      </c>
      <c r="B533" s="10">
        <f>8.8974 * CHOOSE(CONTROL!$C$32, $C$9, 100%, $E$9)</f>
        <v>8.8973999999999993</v>
      </c>
      <c r="C533" s="10">
        <f>8.8974 * CHOOSE(CONTROL!$C$32, $C$9, 100%, $E$9)</f>
        <v>8.8973999999999993</v>
      </c>
      <c r="D533" s="10">
        <f>8.8984 * CHOOSE(CONTROL!$C$32, $C$9, 100%, $E$9)</f>
        <v>8.8984000000000005</v>
      </c>
      <c r="E533" s="9">
        <f>7.8019 * CHOOSE(CONTROL!$C$32, $C$9, 100%, $E$9)</f>
        <v>7.8018999999999998</v>
      </c>
      <c r="F533" s="9">
        <f>7.8019 * CHOOSE(CONTROL!$C$32, $C$9, 100%, $E$9)</f>
        <v>7.8018999999999998</v>
      </c>
      <c r="G533" s="9">
        <f>7.8052 * CHOOSE(CONTROL!$C$32, $C$9, 100%, $E$9)</f>
        <v>7.8052000000000001</v>
      </c>
      <c r="H533" s="9">
        <f>16.981 * CHOOSE(CONTROL!$C$32, $C$9, 100%, $E$9)</f>
        <v>16.981000000000002</v>
      </c>
      <c r="I533" s="9">
        <f>16.9842 * CHOOSE(CONTROL!$C$32, $C$9, 100%, $E$9)</f>
        <v>16.984200000000001</v>
      </c>
      <c r="J533" s="9">
        <f>16.981 * CHOOSE(CONTROL!$C$32, $C$9, 100%, $E$9)</f>
        <v>16.981000000000002</v>
      </c>
      <c r="K533" s="9">
        <f>16.9842 * CHOOSE(CONTROL!$C$32, $C$9, 100%, $E$9)</f>
        <v>16.984200000000001</v>
      </c>
      <c r="L533" s="9">
        <f>7.8019 * CHOOSE(CONTROL!$C$32, $C$9, 100%, $E$9)</f>
        <v>7.8018999999999998</v>
      </c>
      <c r="M533" s="9">
        <f>7.8052 * CHOOSE(CONTROL!$C$32, $C$9, 100%, $E$9)</f>
        <v>7.8052000000000001</v>
      </c>
      <c r="N533" s="9">
        <f>7.8019 * CHOOSE(CONTROL!$C$32, $C$9, 100%, $E$9)</f>
        <v>7.8018999999999998</v>
      </c>
      <c r="O533" s="9">
        <f>7.8052 * CHOOSE(CONTROL!$C$32, $C$9, 100%, $E$9)</f>
        <v>7.8052000000000001</v>
      </c>
    </row>
    <row r="534" spans="1:15" ht="15.75" x14ac:dyDescent="0.25">
      <c r="A534" s="13">
        <v>57131</v>
      </c>
      <c r="B534" s="10">
        <f>8.8974 * CHOOSE(CONTROL!$C$32, $C$9, 100%, $E$9)</f>
        <v>8.8973999999999993</v>
      </c>
      <c r="C534" s="10">
        <f>8.8974 * CHOOSE(CONTROL!$C$32, $C$9, 100%, $E$9)</f>
        <v>8.8973999999999993</v>
      </c>
      <c r="D534" s="10">
        <f>8.8987 * CHOOSE(CONTROL!$C$32, $C$9, 100%, $E$9)</f>
        <v>8.8986999999999998</v>
      </c>
      <c r="E534" s="9">
        <f>7.857 * CHOOSE(CONTROL!$C$32, $C$9, 100%, $E$9)</f>
        <v>7.8570000000000002</v>
      </c>
      <c r="F534" s="9">
        <f>7.857 * CHOOSE(CONTROL!$C$32, $C$9, 100%, $E$9)</f>
        <v>7.8570000000000002</v>
      </c>
      <c r="G534" s="9">
        <f>7.8612 * CHOOSE(CONTROL!$C$32, $C$9, 100%, $E$9)</f>
        <v>7.8612000000000002</v>
      </c>
      <c r="H534" s="9">
        <f>17.0164 * CHOOSE(CONTROL!$C$32, $C$9, 100%, $E$9)</f>
        <v>17.016400000000001</v>
      </c>
      <c r="I534" s="9">
        <f>17.0206 * CHOOSE(CONTROL!$C$32, $C$9, 100%, $E$9)</f>
        <v>17.020600000000002</v>
      </c>
      <c r="J534" s="9">
        <f>17.0164 * CHOOSE(CONTROL!$C$32, $C$9, 100%, $E$9)</f>
        <v>17.016400000000001</v>
      </c>
      <c r="K534" s="9">
        <f>17.0206 * CHOOSE(CONTROL!$C$32, $C$9, 100%, $E$9)</f>
        <v>17.020600000000002</v>
      </c>
      <c r="L534" s="9">
        <f>7.857 * CHOOSE(CONTROL!$C$32, $C$9, 100%, $E$9)</f>
        <v>7.8570000000000002</v>
      </c>
      <c r="M534" s="9">
        <f>7.8612 * CHOOSE(CONTROL!$C$32, $C$9, 100%, $E$9)</f>
        <v>7.8612000000000002</v>
      </c>
      <c r="N534" s="9">
        <f>7.857 * CHOOSE(CONTROL!$C$32, $C$9, 100%, $E$9)</f>
        <v>7.8570000000000002</v>
      </c>
      <c r="O534" s="9">
        <f>7.8612 * CHOOSE(CONTROL!$C$32, $C$9, 100%, $E$9)</f>
        <v>7.8612000000000002</v>
      </c>
    </row>
    <row r="535" spans="1:15" ht="15.75" x14ac:dyDescent="0.25">
      <c r="A535" s="13">
        <v>57161</v>
      </c>
      <c r="B535" s="10">
        <f>8.9035 * CHOOSE(CONTROL!$C$32, $C$9, 100%, $E$9)</f>
        <v>8.9034999999999993</v>
      </c>
      <c r="C535" s="10">
        <f>8.9035 * CHOOSE(CONTROL!$C$32, $C$9, 100%, $E$9)</f>
        <v>8.9034999999999993</v>
      </c>
      <c r="D535" s="10">
        <f>8.9047 * CHOOSE(CONTROL!$C$32, $C$9, 100%, $E$9)</f>
        <v>8.9047000000000001</v>
      </c>
      <c r="E535" s="9">
        <f>7.8062 * CHOOSE(CONTROL!$C$32, $C$9, 100%, $E$9)</f>
        <v>7.8061999999999996</v>
      </c>
      <c r="F535" s="9">
        <f>7.8062 * CHOOSE(CONTROL!$C$32, $C$9, 100%, $E$9)</f>
        <v>7.8061999999999996</v>
      </c>
      <c r="G535" s="9">
        <f>7.8104 * CHOOSE(CONTROL!$C$32, $C$9, 100%, $E$9)</f>
        <v>7.8103999999999996</v>
      </c>
      <c r="H535" s="9">
        <f>17.0518 * CHOOSE(CONTROL!$C$32, $C$9, 100%, $E$9)</f>
        <v>17.0518</v>
      </c>
      <c r="I535" s="9">
        <f>17.056 * CHOOSE(CONTROL!$C$32, $C$9, 100%, $E$9)</f>
        <v>17.056000000000001</v>
      </c>
      <c r="J535" s="9">
        <f>17.0518 * CHOOSE(CONTROL!$C$32, $C$9, 100%, $E$9)</f>
        <v>17.0518</v>
      </c>
      <c r="K535" s="9">
        <f>17.056 * CHOOSE(CONTROL!$C$32, $C$9, 100%, $E$9)</f>
        <v>17.056000000000001</v>
      </c>
      <c r="L535" s="9">
        <f>7.8062 * CHOOSE(CONTROL!$C$32, $C$9, 100%, $E$9)</f>
        <v>7.8061999999999996</v>
      </c>
      <c r="M535" s="9">
        <f>7.8104 * CHOOSE(CONTROL!$C$32, $C$9, 100%, $E$9)</f>
        <v>7.8103999999999996</v>
      </c>
      <c r="N535" s="9">
        <f>7.8062 * CHOOSE(CONTROL!$C$32, $C$9, 100%, $E$9)</f>
        <v>7.8061999999999996</v>
      </c>
      <c r="O535" s="9">
        <f>7.8104 * CHOOSE(CONTROL!$C$32, $C$9, 100%, $E$9)</f>
        <v>7.8103999999999996</v>
      </c>
    </row>
    <row r="536" spans="1:15" ht="15.75" x14ac:dyDescent="0.25">
      <c r="A536" s="13">
        <v>57192</v>
      </c>
      <c r="B536" s="10">
        <f>9.0297 * CHOOSE(CONTROL!$C$32, $C$9, 100%, $E$9)</f>
        <v>9.0297000000000001</v>
      </c>
      <c r="C536" s="10">
        <f>9.0297 * CHOOSE(CONTROL!$C$32, $C$9, 100%, $E$9)</f>
        <v>9.0297000000000001</v>
      </c>
      <c r="D536" s="10">
        <f>9.0309 * CHOOSE(CONTROL!$C$32, $C$9, 100%, $E$9)</f>
        <v>9.0309000000000008</v>
      </c>
      <c r="E536" s="9">
        <f>7.897 * CHOOSE(CONTROL!$C$32, $C$9, 100%, $E$9)</f>
        <v>7.8970000000000002</v>
      </c>
      <c r="F536" s="9">
        <f>7.897 * CHOOSE(CONTROL!$C$32, $C$9, 100%, $E$9)</f>
        <v>7.8970000000000002</v>
      </c>
      <c r="G536" s="9">
        <f>7.9012 * CHOOSE(CONTROL!$C$32, $C$9, 100%, $E$9)</f>
        <v>7.9012000000000002</v>
      </c>
      <c r="H536" s="9">
        <f>17.0874 * CHOOSE(CONTROL!$C$32, $C$9, 100%, $E$9)</f>
        <v>17.087399999999999</v>
      </c>
      <c r="I536" s="9">
        <f>17.0916 * CHOOSE(CONTROL!$C$32, $C$9, 100%, $E$9)</f>
        <v>17.0916</v>
      </c>
      <c r="J536" s="9">
        <f>17.0874 * CHOOSE(CONTROL!$C$32, $C$9, 100%, $E$9)</f>
        <v>17.087399999999999</v>
      </c>
      <c r="K536" s="9">
        <f>17.0916 * CHOOSE(CONTROL!$C$32, $C$9, 100%, $E$9)</f>
        <v>17.0916</v>
      </c>
      <c r="L536" s="9">
        <f>7.897 * CHOOSE(CONTROL!$C$32, $C$9, 100%, $E$9)</f>
        <v>7.8970000000000002</v>
      </c>
      <c r="M536" s="9">
        <f>7.9012 * CHOOSE(CONTROL!$C$32, $C$9, 100%, $E$9)</f>
        <v>7.9012000000000002</v>
      </c>
      <c r="N536" s="9">
        <f>7.897 * CHOOSE(CONTROL!$C$32, $C$9, 100%, $E$9)</f>
        <v>7.8970000000000002</v>
      </c>
      <c r="O536" s="9">
        <f>7.9012 * CHOOSE(CONTROL!$C$32, $C$9, 100%, $E$9)</f>
        <v>7.9012000000000002</v>
      </c>
    </row>
    <row r="537" spans="1:15" ht="15.75" x14ac:dyDescent="0.25">
      <c r="A537" s="13">
        <v>57223</v>
      </c>
      <c r="B537" s="10">
        <f>9.0364 * CHOOSE(CONTROL!$C$32, $C$9, 100%, $E$9)</f>
        <v>9.0364000000000004</v>
      </c>
      <c r="C537" s="10">
        <f>9.0364 * CHOOSE(CONTROL!$C$32, $C$9, 100%, $E$9)</f>
        <v>9.0364000000000004</v>
      </c>
      <c r="D537" s="10">
        <f>9.0376 * CHOOSE(CONTROL!$C$32, $C$9, 100%, $E$9)</f>
        <v>9.0375999999999994</v>
      </c>
      <c r="E537" s="9">
        <f>7.7365 * CHOOSE(CONTROL!$C$32, $C$9, 100%, $E$9)</f>
        <v>7.7365000000000004</v>
      </c>
      <c r="F537" s="9">
        <f>7.7365 * CHOOSE(CONTROL!$C$32, $C$9, 100%, $E$9)</f>
        <v>7.7365000000000004</v>
      </c>
      <c r="G537" s="9">
        <f>7.7407 * CHOOSE(CONTROL!$C$32, $C$9, 100%, $E$9)</f>
        <v>7.7407000000000004</v>
      </c>
      <c r="H537" s="9">
        <f>17.123 * CHOOSE(CONTROL!$C$32, $C$9, 100%, $E$9)</f>
        <v>17.123000000000001</v>
      </c>
      <c r="I537" s="9">
        <f>17.1272 * CHOOSE(CONTROL!$C$32, $C$9, 100%, $E$9)</f>
        <v>17.127199999999998</v>
      </c>
      <c r="J537" s="9">
        <f>17.123 * CHOOSE(CONTROL!$C$32, $C$9, 100%, $E$9)</f>
        <v>17.123000000000001</v>
      </c>
      <c r="K537" s="9">
        <f>17.1272 * CHOOSE(CONTROL!$C$32, $C$9, 100%, $E$9)</f>
        <v>17.127199999999998</v>
      </c>
      <c r="L537" s="9">
        <f>7.7365 * CHOOSE(CONTROL!$C$32, $C$9, 100%, $E$9)</f>
        <v>7.7365000000000004</v>
      </c>
      <c r="M537" s="9">
        <f>7.7407 * CHOOSE(CONTROL!$C$32, $C$9, 100%, $E$9)</f>
        <v>7.7407000000000004</v>
      </c>
      <c r="N537" s="9">
        <f>7.7365 * CHOOSE(CONTROL!$C$32, $C$9, 100%, $E$9)</f>
        <v>7.7365000000000004</v>
      </c>
      <c r="O537" s="9">
        <f>7.7407 * CHOOSE(CONTROL!$C$32, $C$9, 100%, $E$9)</f>
        <v>7.7407000000000004</v>
      </c>
    </row>
    <row r="538" spans="1:15" ht="15.75" x14ac:dyDescent="0.25">
      <c r="A538" s="13">
        <v>57253</v>
      </c>
      <c r="B538" s="10">
        <f>9.0333 * CHOOSE(CONTROL!$C$32, $C$9, 100%, $E$9)</f>
        <v>9.0333000000000006</v>
      </c>
      <c r="C538" s="10">
        <f>9.0333 * CHOOSE(CONTROL!$C$32, $C$9, 100%, $E$9)</f>
        <v>9.0333000000000006</v>
      </c>
      <c r="D538" s="10">
        <f>9.0346 * CHOOSE(CONTROL!$C$32, $C$9, 100%, $E$9)</f>
        <v>9.0345999999999993</v>
      </c>
      <c r="E538" s="9">
        <f>7.716 * CHOOSE(CONTROL!$C$32, $C$9, 100%, $E$9)</f>
        <v>7.7160000000000002</v>
      </c>
      <c r="F538" s="9">
        <f>7.716 * CHOOSE(CONTROL!$C$32, $C$9, 100%, $E$9)</f>
        <v>7.7160000000000002</v>
      </c>
      <c r="G538" s="9">
        <f>7.7202 * CHOOSE(CONTROL!$C$32, $C$9, 100%, $E$9)</f>
        <v>7.7202000000000002</v>
      </c>
      <c r="H538" s="9">
        <f>17.1586 * CHOOSE(CONTROL!$C$32, $C$9, 100%, $E$9)</f>
        <v>17.1586</v>
      </c>
      <c r="I538" s="9">
        <f>17.1628 * CHOOSE(CONTROL!$C$32, $C$9, 100%, $E$9)</f>
        <v>17.162800000000001</v>
      </c>
      <c r="J538" s="9">
        <f>17.1586 * CHOOSE(CONTROL!$C$32, $C$9, 100%, $E$9)</f>
        <v>17.1586</v>
      </c>
      <c r="K538" s="9">
        <f>17.1628 * CHOOSE(CONTROL!$C$32, $C$9, 100%, $E$9)</f>
        <v>17.162800000000001</v>
      </c>
      <c r="L538" s="9">
        <f>7.716 * CHOOSE(CONTROL!$C$32, $C$9, 100%, $E$9)</f>
        <v>7.7160000000000002</v>
      </c>
      <c r="M538" s="9">
        <f>7.7202 * CHOOSE(CONTROL!$C$32, $C$9, 100%, $E$9)</f>
        <v>7.7202000000000002</v>
      </c>
      <c r="N538" s="9">
        <f>7.716 * CHOOSE(CONTROL!$C$32, $C$9, 100%, $E$9)</f>
        <v>7.7160000000000002</v>
      </c>
      <c r="O538" s="9">
        <f>7.7202 * CHOOSE(CONTROL!$C$32, $C$9, 100%, $E$9)</f>
        <v>7.7202000000000002</v>
      </c>
    </row>
    <row r="539" spans="1:15" ht="15.75" x14ac:dyDescent="0.25">
      <c r="A539" s="13">
        <v>57284</v>
      </c>
      <c r="B539" s="10">
        <f>9.0483 * CHOOSE(CONTROL!$C$32, $C$9, 100%, $E$9)</f>
        <v>9.0482999999999993</v>
      </c>
      <c r="C539" s="10">
        <f>9.0483 * CHOOSE(CONTROL!$C$32, $C$9, 100%, $E$9)</f>
        <v>9.0482999999999993</v>
      </c>
      <c r="D539" s="10">
        <f>9.0493 * CHOOSE(CONTROL!$C$32, $C$9, 100%, $E$9)</f>
        <v>9.0493000000000006</v>
      </c>
      <c r="E539" s="9">
        <f>7.776 * CHOOSE(CONTROL!$C$32, $C$9, 100%, $E$9)</f>
        <v>7.7759999999999998</v>
      </c>
      <c r="F539" s="9">
        <f>7.776 * CHOOSE(CONTROL!$C$32, $C$9, 100%, $E$9)</f>
        <v>7.7759999999999998</v>
      </c>
      <c r="G539" s="9">
        <f>7.7792 * CHOOSE(CONTROL!$C$32, $C$9, 100%, $E$9)</f>
        <v>7.7792000000000003</v>
      </c>
      <c r="H539" s="9">
        <f>17.1944 * CHOOSE(CONTROL!$C$32, $C$9, 100%, $E$9)</f>
        <v>17.194400000000002</v>
      </c>
      <c r="I539" s="9">
        <f>17.1976 * CHOOSE(CONTROL!$C$32, $C$9, 100%, $E$9)</f>
        <v>17.197600000000001</v>
      </c>
      <c r="J539" s="9">
        <f>17.1944 * CHOOSE(CONTROL!$C$32, $C$9, 100%, $E$9)</f>
        <v>17.194400000000002</v>
      </c>
      <c r="K539" s="9">
        <f>17.1976 * CHOOSE(CONTROL!$C$32, $C$9, 100%, $E$9)</f>
        <v>17.197600000000001</v>
      </c>
      <c r="L539" s="9">
        <f>7.776 * CHOOSE(CONTROL!$C$32, $C$9, 100%, $E$9)</f>
        <v>7.7759999999999998</v>
      </c>
      <c r="M539" s="9">
        <f>7.7792 * CHOOSE(CONTROL!$C$32, $C$9, 100%, $E$9)</f>
        <v>7.7792000000000003</v>
      </c>
      <c r="N539" s="9">
        <f>7.776 * CHOOSE(CONTROL!$C$32, $C$9, 100%, $E$9)</f>
        <v>7.7759999999999998</v>
      </c>
      <c r="O539" s="9">
        <f>7.7792 * CHOOSE(CONTROL!$C$32, $C$9, 100%, $E$9)</f>
        <v>7.7792000000000003</v>
      </c>
    </row>
    <row r="540" spans="1:15" ht="15.75" x14ac:dyDescent="0.25">
      <c r="A540" s="13">
        <v>57314</v>
      </c>
      <c r="B540" s="10">
        <f>9.0514 * CHOOSE(CONTROL!$C$32, $C$9, 100%, $E$9)</f>
        <v>9.0513999999999992</v>
      </c>
      <c r="C540" s="10">
        <f>9.0514 * CHOOSE(CONTROL!$C$32, $C$9, 100%, $E$9)</f>
        <v>9.0513999999999992</v>
      </c>
      <c r="D540" s="10">
        <f>9.0523 * CHOOSE(CONTROL!$C$32, $C$9, 100%, $E$9)</f>
        <v>9.0523000000000007</v>
      </c>
      <c r="E540" s="9">
        <f>7.8148 * CHOOSE(CONTROL!$C$32, $C$9, 100%, $E$9)</f>
        <v>7.8148</v>
      </c>
      <c r="F540" s="9">
        <f>7.8148 * CHOOSE(CONTROL!$C$32, $C$9, 100%, $E$9)</f>
        <v>7.8148</v>
      </c>
      <c r="G540" s="9">
        <f>7.818 * CHOOSE(CONTROL!$C$32, $C$9, 100%, $E$9)</f>
        <v>7.8179999999999996</v>
      </c>
      <c r="H540" s="9">
        <f>17.2302 * CHOOSE(CONTROL!$C$32, $C$9, 100%, $E$9)</f>
        <v>17.2302</v>
      </c>
      <c r="I540" s="9">
        <f>17.2334 * CHOOSE(CONTROL!$C$32, $C$9, 100%, $E$9)</f>
        <v>17.2334</v>
      </c>
      <c r="J540" s="9">
        <f>17.2302 * CHOOSE(CONTROL!$C$32, $C$9, 100%, $E$9)</f>
        <v>17.2302</v>
      </c>
      <c r="K540" s="9">
        <f>17.2334 * CHOOSE(CONTROL!$C$32, $C$9, 100%, $E$9)</f>
        <v>17.2334</v>
      </c>
      <c r="L540" s="9">
        <f>7.8148 * CHOOSE(CONTROL!$C$32, $C$9, 100%, $E$9)</f>
        <v>7.8148</v>
      </c>
      <c r="M540" s="9">
        <f>7.818 * CHOOSE(CONTROL!$C$32, $C$9, 100%, $E$9)</f>
        <v>7.8179999999999996</v>
      </c>
      <c r="N540" s="9">
        <f>7.8148 * CHOOSE(CONTROL!$C$32, $C$9, 100%, $E$9)</f>
        <v>7.8148</v>
      </c>
      <c r="O540" s="9">
        <f>7.818 * CHOOSE(CONTROL!$C$32, $C$9, 100%, $E$9)</f>
        <v>7.8179999999999996</v>
      </c>
    </row>
    <row r="541" spans="1:15" ht="15.75" x14ac:dyDescent="0.25">
      <c r="A541" s="13">
        <v>57345</v>
      </c>
      <c r="B541" s="10">
        <f>9.0514 * CHOOSE(CONTROL!$C$32, $C$9, 100%, $E$9)</f>
        <v>9.0513999999999992</v>
      </c>
      <c r="C541" s="10">
        <f>9.0514 * CHOOSE(CONTROL!$C$32, $C$9, 100%, $E$9)</f>
        <v>9.0513999999999992</v>
      </c>
      <c r="D541" s="10">
        <f>9.0523 * CHOOSE(CONTROL!$C$32, $C$9, 100%, $E$9)</f>
        <v>9.0523000000000007</v>
      </c>
      <c r="E541" s="9">
        <f>7.7231 * CHOOSE(CONTROL!$C$32, $C$9, 100%, $E$9)</f>
        <v>7.7230999999999996</v>
      </c>
      <c r="F541" s="9">
        <f>7.7231 * CHOOSE(CONTROL!$C$32, $C$9, 100%, $E$9)</f>
        <v>7.7230999999999996</v>
      </c>
      <c r="G541" s="9">
        <f>7.7263 * CHOOSE(CONTROL!$C$32, $C$9, 100%, $E$9)</f>
        <v>7.7263000000000002</v>
      </c>
      <c r="H541" s="9">
        <f>17.2661 * CHOOSE(CONTROL!$C$32, $C$9, 100%, $E$9)</f>
        <v>17.266100000000002</v>
      </c>
      <c r="I541" s="9">
        <f>17.2693 * CHOOSE(CONTROL!$C$32, $C$9, 100%, $E$9)</f>
        <v>17.269300000000001</v>
      </c>
      <c r="J541" s="9">
        <f>17.2661 * CHOOSE(CONTROL!$C$32, $C$9, 100%, $E$9)</f>
        <v>17.266100000000002</v>
      </c>
      <c r="K541" s="9">
        <f>17.2693 * CHOOSE(CONTROL!$C$32, $C$9, 100%, $E$9)</f>
        <v>17.269300000000001</v>
      </c>
      <c r="L541" s="9">
        <f>7.7231 * CHOOSE(CONTROL!$C$32, $C$9, 100%, $E$9)</f>
        <v>7.7230999999999996</v>
      </c>
      <c r="M541" s="9">
        <f>7.7263 * CHOOSE(CONTROL!$C$32, $C$9, 100%, $E$9)</f>
        <v>7.7263000000000002</v>
      </c>
      <c r="N541" s="9">
        <f>7.7231 * CHOOSE(CONTROL!$C$32, $C$9, 100%, $E$9)</f>
        <v>7.7230999999999996</v>
      </c>
      <c r="O541" s="9">
        <f>7.7263 * CHOOSE(CONTROL!$C$32, $C$9, 100%, $E$9)</f>
        <v>7.7263000000000002</v>
      </c>
    </row>
    <row r="542" spans="1:15" ht="15.75" x14ac:dyDescent="0.25">
      <c r="A542" s="13">
        <v>57376</v>
      </c>
      <c r="B542" s="10">
        <f>9.126 * CHOOSE(CONTROL!$C$32, $C$9, 100%, $E$9)</f>
        <v>9.1259999999999994</v>
      </c>
      <c r="C542" s="10">
        <f>9.126 * CHOOSE(CONTROL!$C$32, $C$9, 100%, $E$9)</f>
        <v>9.1259999999999994</v>
      </c>
      <c r="D542" s="10">
        <f>9.1269 * CHOOSE(CONTROL!$C$32, $C$9, 100%, $E$9)</f>
        <v>9.1268999999999991</v>
      </c>
      <c r="E542" s="9">
        <f>7.8437 * CHOOSE(CONTROL!$C$32, $C$9, 100%, $E$9)</f>
        <v>7.8437000000000001</v>
      </c>
      <c r="F542" s="9">
        <f>7.8437 * CHOOSE(CONTROL!$C$32, $C$9, 100%, $E$9)</f>
        <v>7.8437000000000001</v>
      </c>
      <c r="G542" s="9">
        <f>7.8469 * CHOOSE(CONTROL!$C$32, $C$9, 100%, $E$9)</f>
        <v>7.8468999999999998</v>
      </c>
      <c r="H542" s="9">
        <f>17.3021 * CHOOSE(CONTROL!$C$32, $C$9, 100%, $E$9)</f>
        <v>17.302099999999999</v>
      </c>
      <c r="I542" s="9">
        <f>17.3053 * CHOOSE(CONTROL!$C$32, $C$9, 100%, $E$9)</f>
        <v>17.305299999999999</v>
      </c>
      <c r="J542" s="9">
        <f>17.3021 * CHOOSE(CONTROL!$C$32, $C$9, 100%, $E$9)</f>
        <v>17.302099999999999</v>
      </c>
      <c r="K542" s="9">
        <f>17.3053 * CHOOSE(CONTROL!$C$32, $C$9, 100%, $E$9)</f>
        <v>17.305299999999999</v>
      </c>
      <c r="L542" s="9">
        <f>7.8437 * CHOOSE(CONTROL!$C$32, $C$9, 100%, $E$9)</f>
        <v>7.8437000000000001</v>
      </c>
      <c r="M542" s="9">
        <f>7.8469 * CHOOSE(CONTROL!$C$32, $C$9, 100%, $E$9)</f>
        <v>7.8468999999999998</v>
      </c>
      <c r="N542" s="9">
        <f>7.8437 * CHOOSE(CONTROL!$C$32, $C$9, 100%, $E$9)</f>
        <v>7.8437000000000001</v>
      </c>
      <c r="O542" s="9">
        <f>7.8469 * CHOOSE(CONTROL!$C$32, $C$9, 100%, $E$9)</f>
        <v>7.8468999999999998</v>
      </c>
    </row>
    <row r="543" spans="1:15" ht="15.75" x14ac:dyDescent="0.25">
      <c r="A543" s="13">
        <v>57404</v>
      </c>
      <c r="B543" s="10">
        <f>9.1229 * CHOOSE(CONTROL!$C$32, $C$9, 100%, $E$9)</f>
        <v>9.1228999999999996</v>
      </c>
      <c r="C543" s="10">
        <f>9.1229 * CHOOSE(CONTROL!$C$32, $C$9, 100%, $E$9)</f>
        <v>9.1228999999999996</v>
      </c>
      <c r="D543" s="10">
        <f>9.1239 * CHOOSE(CONTROL!$C$32, $C$9, 100%, $E$9)</f>
        <v>9.1239000000000008</v>
      </c>
      <c r="E543" s="9">
        <f>7.663 * CHOOSE(CONTROL!$C$32, $C$9, 100%, $E$9)</f>
        <v>7.6630000000000003</v>
      </c>
      <c r="F543" s="9">
        <f>7.663 * CHOOSE(CONTROL!$C$32, $C$9, 100%, $E$9)</f>
        <v>7.6630000000000003</v>
      </c>
      <c r="G543" s="9">
        <f>7.6662 * CHOOSE(CONTROL!$C$32, $C$9, 100%, $E$9)</f>
        <v>7.6661999999999999</v>
      </c>
      <c r="H543" s="9">
        <f>17.3381 * CHOOSE(CONTROL!$C$32, $C$9, 100%, $E$9)</f>
        <v>17.338100000000001</v>
      </c>
      <c r="I543" s="9">
        <f>17.3413 * CHOOSE(CONTROL!$C$32, $C$9, 100%, $E$9)</f>
        <v>17.3413</v>
      </c>
      <c r="J543" s="9">
        <f>17.3381 * CHOOSE(CONTROL!$C$32, $C$9, 100%, $E$9)</f>
        <v>17.338100000000001</v>
      </c>
      <c r="K543" s="9">
        <f>17.3413 * CHOOSE(CONTROL!$C$32, $C$9, 100%, $E$9)</f>
        <v>17.3413</v>
      </c>
      <c r="L543" s="9">
        <f>7.663 * CHOOSE(CONTROL!$C$32, $C$9, 100%, $E$9)</f>
        <v>7.6630000000000003</v>
      </c>
      <c r="M543" s="9">
        <f>7.6662 * CHOOSE(CONTROL!$C$32, $C$9, 100%, $E$9)</f>
        <v>7.6661999999999999</v>
      </c>
      <c r="N543" s="9">
        <f>7.663 * CHOOSE(CONTROL!$C$32, $C$9, 100%, $E$9)</f>
        <v>7.6630000000000003</v>
      </c>
      <c r="O543" s="9">
        <f>7.6662 * CHOOSE(CONTROL!$C$32, $C$9, 100%, $E$9)</f>
        <v>7.6661999999999999</v>
      </c>
    </row>
    <row r="544" spans="1:15" ht="15.75" x14ac:dyDescent="0.25">
      <c r="A544" s="13">
        <v>57435</v>
      </c>
      <c r="B544" s="10">
        <f>9.1199 * CHOOSE(CONTROL!$C$32, $C$9, 100%, $E$9)</f>
        <v>9.1198999999999995</v>
      </c>
      <c r="C544" s="10">
        <f>9.1199 * CHOOSE(CONTROL!$C$32, $C$9, 100%, $E$9)</f>
        <v>9.1198999999999995</v>
      </c>
      <c r="D544" s="10">
        <f>9.1208 * CHOOSE(CONTROL!$C$32, $C$9, 100%, $E$9)</f>
        <v>9.1207999999999991</v>
      </c>
      <c r="E544" s="9">
        <f>7.8016 * CHOOSE(CONTROL!$C$32, $C$9, 100%, $E$9)</f>
        <v>7.8015999999999996</v>
      </c>
      <c r="F544" s="9">
        <f>7.8016 * CHOOSE(CONTROL!$C$32, $C$9, 100%, $E$9)</f>
        <v>7.8015999999999996</v>
      </c>
      <c r="G544" s="9">
        <f>7.8048 * CHOOSE(CONTROL!$C$32, $C$9, 100%, $E$9)</f>
        <v>7.8048000000000002</v>
      </c>
      <c r="H544" s="9">
        <f>17.3742 * CHOOSE(CONTROL!$C$32, $C$9, 100%, $E$9)</f>
        <v>17.374199999999998</v>
      </c>
      <c r="I544" s="9">
        <f>17.3775 * CHOOSE(CONTROL!$C$32, $C$9, 100%, $E$9)</f>
        <v>17.377500000000001</v>
      </c>
      <c r="J544" s="9">
        <f>17.3742 * CHOOSE(CONTROL!$C$32, $C$9, 100%, $E$9)</f>
        <v>17.374199999999998</v>
      </c>
      <c r="K544" s="9">
        <f>17.3775 * CHOOSE(CONTROL!$C$32, $C$9, 100%, $E$9)</f>
        <v>17.377500000000001</v>
      </c>
      <c r="L544" s="9">
        <f>7.8016 * CHOOSE(CONTROL!$C$32, $C$9, 100%, $E$9)</f>
        <v>7.8015999999999996</v>
      </c>
      <c r="M544" s="9">
        <f>7.8048 * CHOOSE(CONTROL!$C$32, $C$9, 100%, $E$9)</f>
        <v>7.8048000000000002</v>
      </c>
      <c r="N544" s="9">
        <f>7.8016 * CHOOSE(CONTROL!$C$32, $C$9, 100%, $E$9)</f>
        <v>7.8015999999999996</v>
      </c>
      <c r="O544" s="9">
        <f>7.8048 * CHOOSE(CONTROL!$C$32, $C$9, 100%, $E$9)</f>
        <v>7.8048000000000002</v>
      </c>
    </row>
    <row r="545" spans="1:15" ht="15.75" x14ac:dyDescent="0.25">
      <c r="A545" s="13">
        <v>57465</v>
      </c>
      <c r="B545" s="10">
        <f>9.1228 * CHOOSE(CONTROL!$C$32, $C$9, 100%, $E$9)</f>
        <v>9.1227999999999998</v>
      </c>
      <c r="C545" s="10">
        <f>9.1228 * CHOOSE(CONTROL!$C$32, $C$9, 100%, $E$9)</f>
        <v>9.1227999999999998</v>
      </c>
      <c r="D545" s="10">
        <f>9.1238 * CHOOSE(CONTROL!$C$32, $C$9, 100%, $E$9)</f>
        <v>9.1237999999999992</v>
      </c>
      <c r="E545" s="9">
        <f>7.9486 * CHOOSE(CONTROL!$C$32, $C$9, 100%, $E$9)</f>
        <v>7.9485999999999999</v>
      </c>
      <c r="F545" s="9">
        <f>7.9486 * CHOOSE(CONTROL!$C$32, $C$9, 100%, $E$9)</f>
        <v>7.9485999999999999</v>
      </c>
      <c r="G545" s="9">
        <f>7.9518 * CHOOSE(CONTROL!$C$32, $C$9, 100%, $E$9)</f>
        <v>7.9518000000000004</v>
      </c>
      <c r="H545" s="9">
        <f>17.4104 * CHOOSE(CONTROL!$C$32, $C$9, 100%, $E$9)</f>
        <v>17.410399999999999</v>
      </c>
      <c r="I545" s="9">
        <f>17.4137 * CHOOSE(CONTROL!$C$32, $C$9, 100%, $E$9)</f>
        <v>17.413699999999999</v>
      </c>
      <c r="J545" s="9">
        <f>17.4104 * CHOOSE(CONTROL!$C$32, $C$9, 100%, $E$9)</f>
        <v>17.410399999999999</v>
      </c>
      <c r="K545" s="9">
        <f>17.4137 * CHOOSE(CONTROL!$C$32, $C$9, 100%, $E$9)</f>
        <v>17.413699999999999</v>
      </c>
      <c r="L545" s="9">
        <f>7.9486 * CHOOSE(CONTROL!$C$32, $C$9, 100%, $E$9)</f>
        <v>7.9485999999999999</v>
      </c>
      <c r="M545" s="9">
        <f>7.9518 * CHOOSE(CONTROL!$C$32, $C$9, 100%, $E$9)</f>
        <v>7.9518000000000004</v>
      </c>
      <c r="N545" s="9">
        <f>7.9486 * CHOOSE(CONTROL!$C$32, $C$9, 100%, $E$9)</f>
        <v>7.9485999999999999</v>
      </c>
      <c r="O545" s="9">
        <f>7.9518 * CHOOSE(CONTROL!$C$32, $C$9, 100%, $E$9)</f>
        <v>7.9518000000000004</v>
      </c>
    </row>
    <row r="546" spans="1:15" ht="15.75" x14ac:dyDescent="0.25">
      <c r="A546" s="13">
        <v>57496</v>
      </c>
      <c r="B546" s="10">
        <f>9.1228 * CHOOSE(CONTROL!$C$32, $C$9, 100%, $E$9)</f>
        <v>9.1227999999999998</v>
      </c>
      <c r="C546" s="10">
        <f>9.1228 * CHOOSE(CONTROL!$C$32, $C$9, 100%, $E$9)</f>
        <v>9.1227999999999998</v>
      </c>
      <c r="D546" s="10">
        <f>9.124 * CHOOSE(CONTROL!$C$32, $C$9, 100%, $E$9)</f>
        <v>9.1240000000000006</v>
      </c>
      <c r="E546" s="9">
        <f>8.0053 * CHOOSE(CONTROL!$C$32, $C$9, 100%, $E$9)</f>
        <v>8.0053000000000001</v>
      </c>
      <c r="F546" s="9">
        <f>8.0053 * CHOOSE(CONTROL!$C$32, $C$9, 100%, $E$9)</f>
        <v>8.0053000000000001</v>
      </c>
      <c r="G546" s="9">
        <f>8.0095 * CHOOSE(CONTROL!$C$32, $C$9, 100%, $E$9)</f>
        <v>8.0094999999999992</v>
      </c>
      <c r="H546" s="9">
        <f>17.4467 * CHOOSE(CONTROL!$C$32, $C$9, 100%, $E$9)</f>
        <v>17.4467</v>
      </c>
      <c r="I546" s="9">
        <f>17.4509 * CHOOSE(CONTROL!$C$32, $C$9, 100%, $E$9)</f>
        <v>17.450900000000001</v>
      </c>
      <c r="J546" s="9">
        <f>17.4467 * CHOOSE(CONTROL!$C$32, $C$9, 100%, $E$9)</f>
        <v>17.4467</v>
      </c>
      <c r="K546" s="9">
        <f>17.4509 * CHOOSE(CONTROL!$C$32, $C$9, 100%, $E$9)</f>
        <v>17.450900000000001</v>
      </c>
      <c r="L546" s="9">
        <f>8.0053 * CHOOSE(CONTROL!$C$32, $C$9, 100%, $E$9)</f>
        <v>8.0053000000000001</v>
      </c>
      <c r="M546" s="9">
        <f>8.0095 * CHOOSE(CONTROL!$C$32, $C$9, 100%, $E$9)</f>
        <v>8.0094999999999992</v>
      </c>
      <c r="N546" s="9">
        <f>8.0053 * CHOOSE(CONTROL!$C$32, $C$9, 100%, $E$9)</f>
        <v>8.0053000000000001</v>
      </c>
      <c r="O546" s="9">
        <f>8.0095 * CHOOSE(CONTROL!$C$32, $C$9, 100%, $E$9)</f>
        <v>8.0094999999999992</v>
      </c>
    </row>
    <row r="547" spans="1:15" ht="15.75" x14ac:dyDescent="0.25">
      <c r="A547" s="13">
        <v>57526</v>
      </c>
      <c r="B547" s="10">
        <f>9.1289 * CHOOSE(CONTROL!$C$32, $C$9, 100%, $E$9)</f>
        <v>9.1288999999999998</v>
      </c>
      <c r="C547" s="10">
        <f>9.1289 * CHOOSE(CONTROL!$C$32, $C$9, 100%, $E$9)</f>
        <v>9.1288999999999998</v>
      </c>
      <c r="D547" s="10">
        <f>9.1301 * CHOOSE(CONTROL!$C$32, $C$9, 100%, $E$9)</f>
        <v>9.1301000000000005</v>
      </c>
      <c r="E547" s="9">
        <f>7.9528 * CHOOSE(CONTROL!$C$32, $C$9, 100%, $E$9)</f>
        <v>7.9527999999999999</v>
      </c>
      <c r="F547" s="9">
        <f>7.9528 * CHOOSE(CONTROL!$C$32, $C$9, 100%, $E$9)</f>
        <v>7.9527999999999999</v>
      </c>
      <c r="G547" s="9">
        <f>7.957 * CHOOSE(CONTROL!$C$32, $C$9, 100%, $E$9)</f>
        <v>7.9569999999999999</v>
      </c>
      <c r="H547" s="9">
        <f>17.483 * CHOOSE(CONTROL!$C$32, $C$9, 100%, $E$9)</f>
        <v>17.483000000000001</v>
      </c>
      <c r="I547" s="9">
        <f>17.4872 * CHOOSE(CONTROL!$C$32, $C$9, 100%, $E$9)</f>
        <v>17.487200000000001</v>
      </c>
      <c r="J547" s="9">
        <f>17.483 * CHOOSE(CONTROL!$C$32, $C$9, 100%, $E$9)</f>
        <v>17.483000000000001</v>
      </c>
      <c r="K547" s="9">
        <f>17.4872 * CHOOSE(CONTROL!$C$32, $C$9, 100%, $E$9)</f>
        <v>17.487200000000001</v>
      </c>
      <c r="L547" s="9">
        <f>7.9528 * CHOOSE(CONTROL!$C$32, $C$9, 100%, $E$9)</f>
        <v>7.9527999999999999</v>
      </c>
      <c r="M547" s="9">
        <f>7.957 * CHOOSE(CONTROL!$C$32, $C$9, 100%, $E$9)</f>
        <v>7.9569999999999999</v>
      </c>
      <c r="N547" s="9">
        <f>7.9528 * CHOOSE(CONTROL!$C$32, $C$9, 100%, $E$9)</f>
        <v>7.9527999999999999</v>
      </c>
      <c r="O547" s="9">
        <f>7.957 * CHOOSE(CONTROL!$C$32, $C$9, 100%, $E$9)</f>
        <v>7.9569999999999999</v>
      </c>
    </row>
    <row r="548" spans="1:15" ht="15.75" x14ac:dyDescent="0.25">
      <c r="A548" s="13">
        <v>57557</v>
      </c>
      <c r="B548" s="10">
        <f>9.2579 * CHOOSE(CONTROL!$C$32, $C$9, 100%, $E$9)</f>
        <v>9.2578999999999994</v>
      </c>
      <c r="C548" s="10">
        <f>9.2579 * CHOOSE(CONTROL!$C$32, $C$9, 100%, $E$9)</f>
        <v>9.2578999999999994</v>
      </c>
      <c r="D548" s="10">
        <f>9.2591 * CHOOSE(CONTROL!$C$32, $C$9, 100%, $E$9)</f>
        <v>9.2591000000000001</v>
      </c>
      <c r="E548" s="9">
        <f>8.0451 * CHOOSE(CONTROL!$C$32, $C$9, 100%, $E$9)</f>
        <v>8.0450999999999997</v>
      </c>
      <c r="F548" s="9">
        <f>8.0451 * CHOOSE(CONTROL!$C$32, $C$9, 100%, $E$9)</f>
        <v>8.0450999999999997</v>
      </c>
      <c r="G548" s="9">
        <f>8.0493 * CHOOSE(CONTROL!$C$32, $C$9, 100%, $E$9)</f>
        <v>8.0493000000000006</v>
      </c>
      <c r="H548" s="9">
        <f>17.5195 * CHOOSE(CONTROL!$C$32, $C$9, 100%, $E$9)</f>
        <v>17.519500000000001</v>
      </c>
      <c r="I548" s="9">
        <f>17.5237 * CHOOSE(CONTROL!$C$32, $C$9, 100%, $E$9)</f>
        <v>17.523700000000002</v>
      </c>
      <c r="J548" s="9">
        <f>17.5195 * CHOOSE(CONTROL!$C$32, $C$9, 100%, $E$9)</f>
        <v>17.519500000000001</v>
      </c>
      <c r="K548" s="9">
        <f>17.5237 * CHOOSE(CONTROL!$C$32, $C$9, 100%, $E$9)</f>
        <v>17.523700000000002</v>
      </c>
      <c r="L548" s="9">
        <f>8.0451 * CHOOSE(CONTROL!$C$32, $C$9, 100%, $E$9)</f>
        <v>8.0450999999999997</v>
      </c>
      <c r="M548" s="9">
        <f>8.0493 * CHOOSE(CONTROL!$C$32, $C$9, 100%, $E$9)</f>
        <v>8.0493000000000006</v>
      </c>
      <c r="N548" s="9">
        <f>8.0451 * CHOOSE(CONTROL!$C$32, $C$9, 100%, $E$9)</f>
        <v>8.0450999999999997</v>
      </c>
      <c r="O548" s="9">
        <f>8.0493 * CHOOSE(CONTROL!$C$32, $C$9, 100%, $E$9)</f>
        <v>8.0493000000000006</v>
      </c>
    </row>
    <row r="549" spans="1:15" ht="15.75" x14ac:dyDescent="0.25">
      <c r="A549" s="13">
        <v>57588</v>
      </c>
      <c r="B549" s="10">
        <f>9.2646 * CHOOSE(CONTROL!$C$32, $C$9, 100%, $E$9)</f>
        <v>9.2645999999999997</v>
      </c>
      <c r="C549" s="10">
        <f>9.2646 * CHOOSE(CONTROL!$C$32, $C$9, 100%, $E$9)</f>
        <v>9.2645999999999997</v>
      </c>
      <c r="D549" s="10">
        <f>9.2658 * CHOOSE(CONTROL!$C$32, $C$9, 100%, $E$9)</f>
        <v>9.2658000000000005</v>
      </c>
      <c r="E549" s="9">
        <f>7.8797 * CHOOSE(CONTROL!$C$32, $C$9, 100%, $E$9)</f>
        <v>7.8796999999999997</v>
      </c>
      <c r="F549" s="9">
        <f>7.8797 * CHOOSE(CONTROL!$C$32, $C$9, 100%, $E$9)</f>
        <v>7.8796999999999997</v>
      </c>
      <c r="G549" s="9">
        <f>7.8839 * CHOOSE(CONTROL!$C$32, $C$9, 100%, $E$9)</f>
        <v>7.8838999999999997</v>
      </c>
      <c r="H549" s="9">
        <f>17.556 * CHOOSE(CONTROL!$C$32, $C$9, 100%, $E$9)</f>
        <v>17.556000000000001</v>
      </c>
      <c r="I549" s="9">
        <f>17.5602 * CHOOSE(CONTROL!$C$32, $C$9, 100%, $E$9)</f>
        <v>17.560199999999998</v>
      </c>
      <c r="J549" s="9">
        <f>17.556 * CHOOSE(CONTROL!$C$32, $C$9, 100%, $E$9)</f>
        <v>17.556000000000001</v>
      </c>
      <c r="K549" s="9">
        <f>17.5602 * CHOOSE(CONTROL!$C$32, $C$9, 100%, $E$9)</f>
        <v>17.560199999999998</v>
      </c>
      <c r="L549" s="9">
        <f>7.8797 * CHOOSE(CONTROL!$C$32, $C$9, 100%, $E$9)</f>
        <v>7.8796999999999997</v>
      </c>
      <c r="M549" s="9">
        <f>7.8839 * CHOOSE(CONTROL!$C$32, $C$9, 100%, $E$9)</f>
        <v>7.8838999999999997</v>
      </c>
      <c r="N549" s="9">
        <f>7.8797 * CHOOSE(CONTROL!$C$32, $C$9, 100%, $E$9)</f>
        <v>7.8796999999999997</v>
      </c>
      <c r="O549" s="9">
        <f>7.8839 * CHOOSE(CONTROL!$C$32, $C$9, 100%, $E$9)</f>
        <v>7.8838999999999997</v>
      </c>
    </row>
    <row r="550" spans="1:15" ht="15.75" x14ac:dyDescent="0.25">
      <c r="A550" s="13">
        <v>57618</v>
      </c>
      <c r="B550" s="10">
        <f>9.2615 * CHOOSE(CONTROL!$C$32, $C$9, 100%, $E$9)</f>
        <v>9.2614999999999998</v>
      </c>
      <c r="C550" s="10">
        <f>9.2615 * CHOOSE(CONTROL!$C$32, $C$9, 100%, $E$9)</f>
        <v>9.2614999999999998</v>
      </c>
      <c r="D550" s="10">
        <f>9.2628 * CHOOSE(CONTROL!$C$32, $C$9, 100%, $E$9)</f>
        <v>9.2628000000000004</v>
      </c>
      <c r="E550" s="9">
        <f>7.8586 * CHOOSE(CONTROL!$C$32, $C$9, 100%, $E$9)</f>
        <v>7.8586</v>
      </c>
      <c r="F550" s="9">
        <f>7.8586 * CHOOSE(CONTROL!$C$32, $C$9, 100%, $E$9)</f>
        <v>7.8586</v>
      </c>
      <c r="G550" s="9">
        <f>7.8628 * CHOOSE(CONTROL!$C$32, $C$9, 100%, $E$9)</f>
        <v>7.8628</v>
      </c>
      <c r="H550" s="9">
        <f>17.5925 * CHOOSE(CONTROL!$C$32, $C$9, 100%, $E$9)</f>
        <v>17.592500000000001</v>
      </c>
      <c r="I550" s="9">
        <f>17.5967 * CHOOSE(CONTROL!$C$32, $C$9, 100%, $E$9)</f>
        <v>17.596699999999998</v>
      </c>
      <c r="J550" s="9">
        <f>17.5925 * CHOOSE(CONTROL!$C$32, $C$9, 100%, $E$9)</f>
        <v>17.592500000000001</v>
      </c>
      <c r="K550" s="9">
        <f>17.5967 * CHOOSE(CONTROL!$C$32, $C$9, 100%, $E$9)</f>
        <v>17.596699999999998</v>
      </c>
      <c r="L550" s="9">
        <f>7.8586 * CHOOSE(CONTROL!$C$32, $C$9, 100%, $E$9)</f>
        <v>7.8586</v>
      </c>
      <c r="M550" s="9">
        <f>7.8628 * CHOOSE(CONTROL!$C$32, $C$9, 100%, $E$9)</f>
        <v>7.8628</v>
      </c>
      <c r="N550" s="9">
        <f>7.8586 * CHOOSE(CONTROL!$C$32, $C$9, 100%, $E$9)</f>
        <v>7.8586</v>
      </c>
      <c r="O550" s="9">
        <f>7.8628 * CHOOSE(CONTROL!$C$32, $C$9, 100%, $E$9)</f>
        <v>7.8628</v>
      </c>
    </row>
    <row r="551" spans="1:15" ht="15.75" x14ac:dyDescent="0.25">
      <c r="A551" s="13">
        <v>57649</v>
      </c>
      <c r="B551" s="10">
        <f>9.2774 * CHOOSE(CONTROL!$C$32, $C$9, 100%, $E$9)</f>
        <v>9.2774000000000001</v>
      </c>
      <c r="C551" s="10">
        <f>9.2774 * CHOOSE(CONTROL!$C$32, $C$9, 100%, $E$9)</f>
        <v>9.2774000000000001</v>
      </c>
      <c r="D551" s="10">
        <f>9.2784 * CHOOSE(CONTROL!$C$32, $C$9, 100%, $E$9)</f>
        <v>9.2783999999999995</v>
      </c>
      <c r="E551" s="9">
        <f>7.9208 * CHOOSE(CONTROL!$C$32, $C$9, 100%, $E$9)</f>
        <v>7.9207999999999998</v>
      </c>
      <c r="F551" s="9">
        <f>7.9208 * CHOOSE(CONTROL!$C$32, $C$9, 100%, $E$9)</f>
        <v>7.9207999999999998</v>
      </c>
      <c r="G551" s="9">
        <f>7.9241 * CHOOSE(CONTROL!$C$32, $C$9, 100%, $E$9)</f>
        <v>7.9241000000000001</v>
      </c>
      <c r="H551" s="9">
        <f>17.6292 * CHOOSE(CONTROL!$C$32, $C$9, 100%, $E$9)</f>
        <v>17.629200000000001</v>
      </c>
      <c r="I551" s="9">
        <f>17.6324 * CHOOSE(CONTROL!$C$32, $C$9, 100%, $E$9)</f>
        <v>17.632400000000001</v>
      </c>
      <c r="J551" s="9">
        <f>17.6292 * CHOOSE(CONTROL!$C$32, $C$9, 100%, $E$9)</f>
        <v>17.629200000000001</v>
      </c>
      <c r="K551" s="9">
        <f>17.6324 * CHOOSE(CONTROL!$C$32, $C$9, 100%, $E$9)</f>
        <v>17.632400000000001</v>
      </c>
      <c r="L551" s="9">
        <f>7.9208 * CHOOSE(CONTROL!$C$32, $C$9, 100%, $E$9)</f>
        <v>7.9207999999999998</v>
      </c>
      <c r="M551" s="9">
        <f>7.9241 * CHOOSE(CONTROL!$C$32, $C$9, 100%, $E$9)</f>
        <v>7.9241000000000001</v>
      </c>
      <c r="N551" s="9">
        <f>7.9208 * CHOOSE(CONTROL!$C$32, $C$9, 100%, $E$9)</f>
        <v>7.9207999999999998</v>
      </c>
      <c r="O551" s="9">
        <f>7.9241 * CHOOSE(CONTROL!$C$32, $C$9, 100%, $E$9)</f>
        <v>7.9241000000000001</v>
      </c>
    </row>
    <row r="552" spans="1:15" ht="15.75" x14ac:dyDescent="0.25">
      <c r="A552" s="13">
        <v>57679</v>
      </c>
      <c r="B552" s="10">
        <f>9.2805 * CHOOSE(CONTROL!$C$32, $C$9, 100%, $E$9)</f>
        <v>9.2805</v>
      </c>
      <c r="C552" s="10">
        <f>9.2805 * CHOOSE(CONTROL!$C$32, $C$9, 100%, $E$9)</f>
        <v>9.2805</v>
      </c>
      <c r="D552" s="10">
        <f>9.2814 * CHOOSE(CONTROL!$C$32, $C$9, 100%, $E$9)</f>
        <v>9.2813999999999997</v>
      </c>
      <c r="E552" s="9">
        <f>7.9607 * CHOOSE(CONTROL!$C$32, $C$9, 100%, $E$9)</f>
        <v>7.9607000000000001</v>
      </c>
      <c r="F552" s="9">
        <f>7.9607 * CHOOSE(CONTROL!$C$32, $C$9, 100%, $E$9)</f>
        <v>7.9607000000000001</v>
      </c>
      <c r="G552" s="9">
        <f>7.964 * CHOOSE(CONTROL!$C$32, $C$9, 100%, $E$9)</f>
        <v>7.9640000000000004</v>
      </c>
      <c r="H552" s="9">
        <f>17.6659 * CHOOSE(CONTROL!$C$32, $C$9, 100%, $E$9)</f>
        <v>17.665900000000001</v>
      </c>
      <c r="I552" s="9">
        <f>17.6691 * CHOOSE(CONTROL!$C$32, $C$9, 100%, $E$9)</f>
        <v>17.6691</v>
      </c>
      <c r="J552" s="9">
        <f>17.6659 * CHOOSE(CONTROL!$C$32, $C$9, 100%, $E$9)</f>
        <v>17.665900000000001</v>
      </c>
      <c r="K552" s="9">
        <f>17.6691 * CHOOSE(CONTROL!$C$32, $C$9, 100%, $E$9)</f>
        <v>17.6691</v>
      </c>
      <c r="L552" s="9">
        <f>7.9607 * CHOOSE(CONTROL!$C$32, $C$9, 100%, $E$9)</f>
        <v>7.9607000000000001</v>
      </c>
      <c r="M552" s="9">
        <f>7.964 * CHOOSE(CONTROL!$C$32, $C$9, 100%, $E$9)</f>
        <v>7.9640000000000004</v>
      </c>
      <c r="N552" s="9">
        <f>7.9607 * CHOOSE(CONTROL!$C$32, $C$9, 100%, $E$9)</f>
        <v>7.9607000000000001</v>
      </c>
      <c r="O552" s="9">
        <f>7.964 * CHOOSE(CONTROL!$C$32, $C$9, 100%, $E$9)</f>
        <v>7.9640000000000004</v>
      </c>
    </row>
    <row r="553" spans="1:15" ht="15.75" x14ac:dyDescent="0.25">
      <c r="A553" s="13">
        <v>57710</v>
      </c>
      <c r="B553" s="10">
        <f>9.2805 * CHOOSE(CONTROL!$C$32, $C$9, 100%, $E$9)</f>
        <v>9.2805</v>
      </c>
      <c r="C553" s="10">
        <f>9.2805 * CHOOSE(CONTROL!$C$32, $C$9, 100%, $E$9)</f>
        <v>9.2805</v>
      </c>
      <c r="D553" s="10">
        <f>9.2814 * CHOOSE(CONTROL!$C$32, $C$9, 100%, $E$9)</f>
        <v>9.2813999999999997</v>
      </c>
      <c r="E553" s="9">
        <f>7.8662 * CHOOSE(CONTROL!$C$32, $C$9, 100%, $E$9)</f>
        <v>7.8662000000000001</v>
      </c>
      <c r="F553" s="9">
        <f>7.8662 * CHOOSE(CONTROL!$C$32, $C$9, 100%, $E$9)</f>
        <v>7.8662000000000001</v>
      </c>
      <c r="G553" s="9">
        <f>7.8695 * CHOOSE(CONTROL!$C$32, $C$9, 100%, $E$9)</f>
        <v>7.8695000000000004</v>
      </c>
      <c r="H553" s="9">
        <f>17.7027 * CHOOSE(CONTROL!$C$32, $C$9, 100%, $E$9)</f>
        <v>17.7027</v>
      </c>
      <c r="I553" s="9">
        <f>17.706 * CHOOSE(CONTROL!$C$32, $C$9, 100%, $E$9)</f>
        <v>17.706</v>
      </c>
      <c r="J553" s="9">
        <f>17.7027 * CHOOSE(CONTROL!$C$32, $C$9, 100%, $E$9)</f>
        <v>17.7027</v>
      </c>
      <c r="K553" s="9">
        <f>17.706 * CHOOSE(CONTROL!$C$32, $C$9, 100%, $E$9)</f>
        <v>17.706</v>
      </c>
      <c r="L553" s="9">
        <f>7.8662 * CHOOSE(CONTROL!$C$32, $C$9, 100%, $E$9)</f>
        <v>7.8662000000000001</v>
      </c>
      <c r="M553" s="9">
        <f>7.8695 * CHOOSE(CONTROL!$C$32, $C$9, 100%, $E$9)</f>
        <v>7.8695000000000004</v>
      </c>
      <c r="N553" s="9">
        <f>7.8662 * CHOOSE(CONTROL!$C$32, $C$9, 100%, $E$9)</f>
        <v>7.8662000000000001</v>
      </c>
      <c r="O553" s="9">
        <f>7.8695 * CHOOSE(CONTROL!$C$32, $C$9, 100%, $E$9)</f>
        <v>7.8695000000000004</v>
      </c>
    </row>
    <row r="554" spans="1:15" ht="15.75" x14ac:dyDescent="0.25">
      <c r="A554" s="13">
        <v>57741</v>
      </c>
      <c r="B554" s="10">
        <f>9.3568 * CHOOSE(CONTROL!$C$32, $C$9, 100%, $E$9)</f>
        <v>9.3567999999999998</v>
      </c>
      <c r="C554" s="10">
        <f>9.3568 * CHOOSE(CONTROL!$C$32, $C$9, 100%, $E$9)</f>
        <v>9.3567999999999998</v>
      </c>
      <c r="D554" s="10">
        <f>9.3578 * CHOOSE(CONTROL!$C$32, $C$9, 100%, $E$9)</f>
        <v>9.3577999999999992</v>
      </c>
      <c r="E554" s="9">
        <f>7.99 * CHOOSE(CONTROL!$C$32, $C$9, 100%, $E$9)</f>
        <v>7.99</v>
      </c>
      <c r="F554" s="9">
        <f>7.99 * CHOOSE(CONTROL!$C$32, $C$9, 100%, $E$9)</f>
        <v>7.99</v>
      </c>
      <c r="G554" s="9">
        <f>7.9932 * CHOOSE(CONTROL!$C$32, $C$9, 100%, $E$9)</f>
        <v>7.9931999999999999</v>
      </c>
      <c r="H554" s="9">
        <f>17.7396 * CHOOSE(CONTROL!$C$32, $C$9, 100%, $E$9)</f>
        <v>17.739599999999999</v>
      </c>
      <c r="I554" s="9">
        <f>17.7428 * CHOOSE(CONTROL!$C$32, $C$9, 100%, $E$9)</f>
        <v>17.742799999999999</v>
      </c>
      <c r="J554" s="9">
        <f>17.7396 * CHOOSE(CONTROL!$C$32, $C$9, 100%, $E$9)</f>
        <v>17.739599999999999</v>
      </c>
      <c r="K554" s="9">
        <f>17.7428 * CHOOSE(CONTROL!$C$32, $C$9, 100%, $E$9)</f>
        <v>17.742799999999999</v>
      </c>
      <c r="L554" s="9">
        <f>7.99 * CHOOSE(CONTROL!$C$32, $C$9, 100%, $E$9)</f>
        <v>7.99</v>
      </c>
      <c r="M554" s="9">
        <f>7.9932 * CHOOSE(CONTROL!$C$32, $C$9, 100%, $E$9)</f>
        <v>7.9931999999999999</v>
      </c>
      <c r="N554" s="9">
        <f>7.99 * CHOOSE(CONTROL!$C$32, $C$9, 100%, $E$9)</f>
        <v>7.99</v>
      </c>
      <c r="O554" s="9">
        <f>7.9932 * CHOOSE(CONTROL!$C$32, $C$9, 100%, $E$9)</f>
        <v>7.9931999999999999</v>
      </c>
    </row>
    <row r="555" spans="1:15" ht="15.75" x14ac:dyDescent="0.25">
      <c r="A555" s="13">
        <v>57769</v>
      </c>
      <c r="B555" s="10">
        <f>9.3538 * CHOOSE(CONTROL!$C$32, $C$9, 100%, $E$9)</f>
        <v>9.3537999999999997</v>
      </c>
      <c r="C555" s="10">
        <f>9.3538 * CHOOSE(CONTROL!$C$32, $C$9, 100%, $E$9)</f>
        <v>9.3537999999999997</v>
      </c>
      <c r="D555" s="10">
        <f>9.3547 * CHOOSE(CONTROL!$C$32, $C$9, 100%, $E$9)</f>
        <v>9.3546999999999993</v>
      </c>
      <c r="E555" s="9">
        <f>7.8039 * CHOOSE(CONTROL!$C$32, $C$9, 100%, $E$9)</f>
        <v>7.8038999999999996</v>
      </c>
      <c r="F555" s="9">
        <f>7.8039 * CHOOSE(CONTROL!$C$32, $C$9, 100%, $E$9)</f>
        <v>7.8038999999999996</v>
      </c>
      <c r="G555" s="9">
        <f>7.8071 * CHOOSE(CONTROL!$C$32, $C$9, 100%, $E$9)</f>
        <v>7.8071000000000002</v>
      </c>
      <c r="H555" s="9">
        <f>17.7766 * CHOOSE(CONTROL!$C$32, $C$9, 100%, $E$9)</f>
        <v>17.776599999999998</v>
      </c>
      <c r="I555" s="9">
        <f>17.7798 * CHOOSE(CONTROL!$C$32, $C$9, 100%, $E$9)</f>
        <v>17.779800000000002</v>
      </c>
      <c r="J555" s="9">
        <f>17.7766 * CHOOSE(CONTROL!$C$32, $C$9, 100%, $E$9)</f>
        <v>17.776599999999998</v>
      </c>
      <c r="K555" s="9">
        <f>17.7798 * CHOOSE(CONTROL!$C$32, $C$9, 100%, $E$9)</f>
        <v>17.779800000000002</v>
      </c>
      <c r="L555" s="9">
        <f>7.8039 * CHOOSE(CONTROL!$C$32, $C$9, 100%, $E$9)</f>
        <v>7.8038999999999996</v>
      </c>
      <c r="M555" s="9">
        <f>7.8071 * CHOOSE(CONTROL!$C$32, $C$9, 100%, $E$9)</f>
        <v>7.8071000000000002</v>
      </c>
      <c r="N555" s="9">
        <f>7.8039 * CHOOSE(CONTROL!$C$32, $C$9, 100%, $E$9)</f>
        <v>7.8038999999999996</v>
      </c>
      <c r="O555" s="9">
        <f>7.8071 * CHOOSE(CONTROL!$C$32, $C$9, 100%, $E$9)</f>
        <v>7.8071000000000002</v>
      </c>
    </row>
    <row r="556" spans="1:15" ht="15.75" x14ac:dyDescent="0.25">
      <c r="A556" s="13">
        <v>57800</v>
      </c>
      <c r="B556" s="10">
        <f>9.3508 * CHOOSE(CONTROL!$C$32, $C$9, 100%, $E$9)</f>
        <v>9.3507999999999996</v>
      </c>
      <c r="C556" s="10">
        <f>9.3508 * CHOOSE(CONTROL!$C$32, $C$9, 100%, $E$9)</f>
        <v>9.3507999999999996</v>
      </c>
      <c r="D556" s="10">
        <f>9.3517 * CHOOSE(CONTROL!$C$32, $C$9, 100%, $E$9)</f>
        <v>9.3516999999999992</v>
      </c>
      <c r="E556" s="9">
        <f>7.9468 * CHOOSE(CONTROL!$C$32, $C$9, 100%, $E$9)</f>
        <v>7.9467999999999996</v>
      </c>
      <c r="F556" s="9">
        <f>7.9468 * CHOOSE(CONTROL!$C$32, $C$9, 100%, $E$9)</f>
        <v>7.9467999999999996</v>
      </c>
      <c r="G556" s="9">
        <f>7.95 * CHOOSE(CONTROL!$C$32, $C$9, 100%, $E$9)</f>
        <v>7.95</v>
      </c>
      <c r="H556" s="9">
        <f>17.8136 * CHOOSE(CONTROL!$C$32, $C$9, 100%, $E$9)</f>
        <v>17.813600000000001</v>
      </c>
      <c r="I556" s="9">
        <f>17.8168 * CHOOSE(CONTROL!$C$32, $C$9, 100%, $E$9)</f>
        <v>17.816800000000001</v>
      </c>
      <c r="J556" s="9">
        <f>17.8136 * CHOOSE(CONTROL!$C$32, $C$9, 100%, $E$9)</f>
        <v>17.813600000000001</v>
      </c>
      <c r="K556" s="9">
        <f>17.8168 * CHOOSE(CONTROL!$C$32, $C$9, 100%, $E$9)</f>
        <v>17.816800000000001</v>
      </c>
      <c r="L556" s="9">
        <f>7.9468 * CHOOSE(CONTROL!$C$32, $C$9, 100%, $E$9)</f>
        <v>7.9467999999999996</v>
      </c>
      <c r="M556" s="9">
        <f>7.95 * CHOOSE(CONTROL!$C$32, $C$9, 100%, $E$9)</f>
        <v>7.95</v>
      </c>
      <c r="N556" s="9">
        <f>7.9468 * CHOOSE(CONTROL!$C$32, $C$9, 100%, $E$9)</f>
        <v>7.9467999999999996</v>
      </c>
      <c r="O556" s="9">
        <f>7.95 * CHOOSE(CONTROL!$C$32, $C$9, 100%, $E$9)</f>
        <v>7.95</v>
      </c>
    </row>
    <row r="557" spans="1:15" ht="15.75" x14ac:dyDescent="0.25">
      <c r="A557" s="13">
        <v>57830</v>
      </c>
      <c r="B557" s="10">
        <f>9.3539 * CHOOSE(CONTROL!$C$32, $C$9, 100%, $E$9)</f>
        <v>9.3538999999999994</v>
      </c>
      <c r="C557" s="10">
        <f>9.3539 * CHOOSE(CONTROL!$C$32, $C$9, 100%, $E$9)</f>
        <v>9.3538999999999994</v>
      </c>
      <c r="D557" s="10">
        <f>9.3549 * CHOOSE(CONTROL!$C$32, $C$9, 100%, $E$9)</f>
        <v>9.3549000000000007</v>
      </c>
      <c r="E557" s="9">
        <f>8.0983 * CHOOSE(CONTROL!$C$32, $C$9, 100%, $E$9)</f>
        <v>8.0983000000000001</v>
      </c>
      <c r="F557" s="9">
        <f>8.0983 * CHOOSE(CONTROL!$C$32, $C$9, 100%, $E$9)</f>
        <v>8.0983000000000001</v>
      </c>
      <c r="G557" s="9">
        <f>8.1015 * CHOOSE(CONTROL!$C$32, $C$9, 100%, $E$9)</f>
        <v>8.1014999999999997</v>
      </c>
      <c r="H557" s="9">
        <f>17.8507 * CHOOSE(CONTROL!$C$32, $C$9, 100%, $E$9)</f>
        <v>17.8507</v>
      </c>
      <c r="I557" s="9">
        <f>17.8539 * CHOOSE(CONTROL!$C$32, $C$9, 100%, $E$9)</f>
        <v>17.853899999999999</v>
      </c>
      <c r="J557" s="9">
        <f>17.8507 * CHOOSE(CONTROL!$C$32, $C$9, 100%, $E$9)</f>
        <v>17.8507</v>
      </c>
      <c r="K557" s="9">
        <f>17.8539 * CHOOSE(CONTROL!$C$32, $C$9, 100%, $E$9)</f>
        <v>17.853899999999999</v>
      </c>
      <c r="L557" s="9">
        <f>8.0983 * CHOOSE(CONTROL!$C$32, $C$9, 100%, $E$9)</f>
        <v>8.0983000000000001</v>
      </c>
      <c r="M557" s="9">
        <f>8.1015 * CHOOSE(CONTROL!$C$32, $C$9, 100%, $E$9)</f>
        <v>8.1014999999999997</v>
      </c>
      <c r="N557" s="9">
        <f>8.0983 * CHOOSE(CONTROL!$C$32, $C$9, 100%, $E$9)</f>
        <v>8.0983000000000001</v>
      </c>
      <c r="O557" s="9">
        <f>8.1015 * CHOOSE(CONTROL!$C$32, $C$9, 100%, $E$9)</f>
        <v>8.1014999999999997</v>
      </c>
    </row>
    <row r="558" spans="1:15" ht="15.75" x14ac:dyDescent="0.25">
      <c r="A558" s="13">
        <v>57861</v>
      </c>
      <c r="B558" s="10">
        <f>9.3539 * CHOOSE(CONTROL!$C$32, $C$9, 100%, $E$9)</f>
        <v>9.3538999999999994</v>
      </c>
      <c r="C558" s="10">
        <f>9.3539 * CHOOSE(CONTROL!$C$32, $C$9, 100%, $E$9)</f>
        <v>9.3538999999999994</v>
      </c>
      <c r="D558" s="10">
        <f>9.3552 * CHOOSE(CONTROL!$C$32, $C$9, 100%, $E$9)</f>
        <v>9.3552</v>
      </c>
      <c r="E558" s="9">
        <f>8.1567 * CHOOSE(CONTROL!$C$32, $C$9, 100%, $E$9)</f>
        <v>8.1567000000000007</v>
      </c>
      <c r="F558" s="9">
        <f>8.1567 * CHOOSE(CONTROL!$C$32, $C$9, 100%, $E$9)</f>
        <v>8.1567000000000007</v>
      </c>
      <c r="G558" s="9">
        <f>8.1609 * CHOOSE(CONTROL!$C$32, $C$9, 100%, $E$9)</f>
        <v>8.1608999999999998</v>
      </c>
      <c r="H558" s="9">
        <f>17.8879 * CHOOSE(CONTROL!$C$32, $C$9, 100%, $E$9)</f>
        <v>17.887899999999998</v>
      </c>
      <c r="I558" s="9">
        <f>17.8921 * CHOOSE(CONTROL!$C$32, $C$9, 100%, $E$9)</f>
        <v>17.892099999999999</v>
      </c>
      <c r="J558" s="9">
        <f>17.8879 * CHOOSE(CONTROL!$C$32, $C$9, 100%, $E$9)</f>
        <v>17.887899999999998</v>
      </c>
      <c r="K558" s="9">
        <f>17.8921 * CHOOSE(CONTROL!$C$32, $C$9, 100%, $E$9)</f>
        <v>17.892099999999999</v>
      </c>
      <c r="L558" s="9">
        <f>8.1567 * CHOOSE(CONTROL!$C$32, $C$9, 100%, $E$9)</f>
        <v>8.1567000000000007</v>
      </c>
      <c r="M558" s="9">
        <f>8.1609 * CHOOSE(CONTROL!$C$32, $C$9, 100%, $E$9)</f>
        <v>8.1608999999999998</v>
      </c>
      <c r="N558" s="9">
        <f>8.1567 * CHOOSE(CONTROL!$C$32, $C$9, 100%, $E$9)</f>
        <v>8.1567000000000007</v>
      </c>
      <c r="O558" s="9">
        <f>8.1609 * CHOOSE(CONTROL!$C$32, $C$9, 100%, $E$9)</f>
        <v>8.1608999999999998</v>
      </c>
    </row>
    <row r="559" spans="1:15" ht="15.75" x14ac:dyDescent="0.25">
      <c r="A559" s="13">
        <v>57891</v>
      </c>
      <c r="B559" s="10">
        <f>9.36 * CHOOSE(CONTROL!$C$32, $C$9, 100%, $E$9)</f>
        <v>9.36</v>
      </c>
      <c r="C559" s="10">
        <f>9.36 * CHOOSE(CONTROL!$C$32, $C$9, 100%, $E$9)</f>
        <v>9.36</v>
      </c>
      <c r="D559" s="10">
        <f>9.3612 * CHOOSE(CONTROL!$C$32, $C$9, 100%, $E$9)</f>
        <v>9.3612000000000002</v>
      </c>
      <c r="E559" s="9">
        <f>8.1025 * CHOOSE(CONTROL!$C$32, $C$9, 100%, $E$9)</f>
        <v>8.1024999999999991</v>
      </c>
      <c r="F559" s="9">
        <f>8.1025 * CHOOSE(CONTROL!$C$32, $C$9, 100%, $E$9)</f>
        <v>8.1024999999999991</v>
      </c>
      <c r="G559" s="9">
        <f>8.1067 * CHOOSE(CONTROL!$C$32, $C$9, 100%, $E$9)</f>
        <v>8.1067</v>
      </c>
      <c r="H559" s="9">
        <f>17.9252 * CHOOSE(CONTROL!$C$32, $C$9, 100%, $E$9)</f>
        <v>17.9252</v>
      </c>
      <c r="I559" s="9">
        <f>17.9294 * CHOOSE(CONTROL!$C$32, $C$9, 100%, $E$9)</f>
        <v>17.929400000000001</v>
      </c>
      <c r="J559" s="9">
        <f>17.9252 * CHOOSE(CONTROL!$C$32, $C$9, 100%, $E$9)</f>
        <v>17.9252</v>
      </c>
      <c r="K559" s="9">
        <f>17.9294 * CHOOSE(CONTROL!$C$32, $C$9, 100%, $E$9)</f>
        <v>17.929400000000001</v>
      </c>
      <c r="L559" s="9">
        <f>8.1025 * CHOOSE(CONTROL!$C$32, $C$9, 100%, $E$9)</f>
        <v>8.1024999999999991</v>
      </c>
      <c r="M559" s="9">
        <f>8.1067 * CHOOSE(CONTROL!$C$32, $C$9, 100%, $E$9)</f>
        <v>8.1067</v>
      </c>
      <c r="N559" s="9">
        <f>8.1025 * CHOOSE(CONTROL!$C$32, $C$9, 100%, $E$9)</f>
        <v>8.1024999999999991</v>
      </c>
      <c r="O559" s="9">
        <f>8.1067 * CHOOSE(CONTROL!$C$32, $C$9, 100%, $E$9)</f>
        <v>8.1067</v>
      </c>
    </row>
    <row r="560" spans="1:15" ht="15.75" x14ac:dyDescent="0.25">
      <c r="A560" s="13">
        <v>57922</v>
      </c>
      <c r="B560" s="10">
        <f>9.4919 * CHOOSE(CONTROL!$C$32, $C$9, 100%, $E$9)</f>
        <v>9.4918999999999993</v>
      </c>
      <c r="C560" s="10">
        <f>9.4919 * CHOOSE(CONTROL!$C$32, $C$9, 100%, $E$9)</f>
        <v>9.4918999999999993</v>
      </c>
      <c r="D560" s="10">
        <f>9.4931 * CHOOSE(CONTROL!$C$32, $C$9, 100%, $E$9)</f>
        <v>9.4931000000000001</v>
      </c>
      <c r="E560" s="9">
        <f>8.1963 * CHOOSE(CONTROL!$C$32, $C$9, 100%, $E$9)</f>
        <v>8.1963000000000008</v>
      </c>
      <c r="F560" s="9">
        <f>8.1963 * CHOOSE(CONTROL!$C$32, $C$9, 100%, $E$9)</f>
        <v>8.1963000000000008</v>
      </c>
      <c r="G560" s="9">
        <f>8.2005 * CHOOSE(CONTROL!$C$32, $C$9, 100%, $E$9)</f>
        <v>8.2004999999999999</v>
      </c>
      <c r="H560" s="9">
        <f>17.9625 * CHOOSE(CONTROL!$C$32, $C$9, 100%, $E$9)</f>
        <v>17.962499999999999</v>
      </c>
      <c r="I560" s="9">
        <f>17.9667 * CHOOSE(CONTROL!$C$32, $C$9, 100%, $E$9)</f>
        <v>17.966699999999999</v>
      </c>
      <c r="J560" s="9">
        <f>17.9625 * CHOOSE(CONTROL!$C$32, $C$9, 100%, $E$9)</f>
        <v>17.962499999999999</v>
      </c>
      <c r="K560" s="9">
        <f>17.9667 * CHOOSE(CONTROL!$C$32, $C$9, 100%, $E$9)</f>
        <v>17.966699999999999</v>
      </c>
      <c r="L560" s="9">
        <f>8.1963 * CHOOSE(CONTROL!$C$32, $C$9, 100%, $E$9)</f>
        <v>8.1963000000000008</v>
      </c>
      <c r="M560" s="9">
        <f>8.2005 * CHOOSE(CONTROL!$C$32, $C$9, 100%, $E$9)</f>
        <v>8.2004999999999999</v>
      </c>
      <c r="N560" s="9">
        <f>8.1963 * CHOOSE(CONTROL!$C$32, $C$9, 100%, $E$9)</f>
        <v>8.1963000000000008</v>
      </c>
      <c r="O560" s="9">
        <f>8.2005 * CHOOSE(CONTROL!$C$32, $C$9, 100%, $E$9)</f>
        <v>8.2004999999999999</v>
      </c>
    </row>
    <row r="561" spans="1:15" ht="15.75" x14ac:dyDescent="0.25">
      <c r="A561" s="13">
        <v>57953</v>
      </c>
      <c r="B561" s="10">
        <f>9.4986 * CHOOSE(CONTROL!$C$32, $C$9, 100%, $E$9)</f>
        <v>9.4985999999999997</v>
      </c>
      <c r="C561" s="10">
        <f>9.4986 * CHOOSE(CONTROL!$C$32, $C$9, 100%, $E$9)</f>
        <v>9.4985999999999997</v>
      </c>
      <c r="D561" s="10">
        <f>9.4998 * CHOOSE(CONTROL!$C$32, $C$9, 100%, $E$9)</f>
        <v>9.4998000000000005</v>
      </c>
      <c r="E561" s="9">
        <f>8.0258 * CHOOSE(CONTROL!$C$32, $C$9, 100%, $E$9)</f>
        <v>8.0258000000000003</v>
      </c>
      <c r="F561" s="9">
        <f>8.0258 * CHOOSE(CONTROL!$C$32, $C$9, 100%, $E$9)</f>
        <v>8.0258000000000003</v>
      </c>
      <c r="G561" s="9">
        <f>8.03 * CHOOSE(CONTROL!$C$32, $C$9, 100%, $E$9)</f>
        <v>8.0299999999999994</v>
      </c>
      <c r="H561" s="9">
        <f>17.9999 * CHOOSE(CONTROL!$C$32, $C$9, 100%, $E$9)</f>
        <v>17.9999</v>
      </c>
      <c r="I561" s="9">
        <f>18.0041 * CHOOSE(CONTROL!$C$32, $C$9, 100%, $E$9)</f>
        <v>18.004100000000001</v>
      </c>
      <c r="J561" s="9">
        <f>17.9999 * CHOOSE(CONTROL!$C$32, $C$9, 100%, $E$9)</f>
        <v>17.9999</v>
      </c>
      <c r="K561" s="9">
        <f>18.0041 * CHOOSE(CONTROL!$C$32, $C$9, 100%, $E$9)</f>
        <v>18.004100000000001</v>
      </c>
      <c r="L561" s="9">
        <f>8.0258 * CHOOSE(CONTROL!$C$32, $C$9, 100%, $E$9)</f>
        <v>8.0258000000000003</v>
      </c>
      <c r="M561" s="9">
        <f>8.03 * CHOOSE(CONTROL!$C$32, $C$9, 100%, $E$9)</f>
        <v>8.0299999999999994</v>
      </c>
      <c r="N561" s="9">
        <f>8.0258 * CHOOSE(CONTROL!$C$32, $C$9, 100%, $E$9)</f>
        <v>8.0258000000000003</v>
      </c>
      <c r="O561" s="9">
        <f>8.03 * CHOOSE(CONTROL!$C$32, $C$9, 100%, $E$9)</f>
        <v>8.0299999999999994</v>
      </c>
    </row>
    <row r="562" spans="1:15" ht="15.75" x14ac:dyDescent="0.25">
      <c r="A562" s="13">
        <v>57983</v>
      </c>
      <c r="B562" s="10">
        <f>9.4955 * CHOOSE(CONTROL!$C$32, $C$9, 100%, $E$9)</f>
        <v>9.4954999999999998</v>
      </c>
      <c r="C562" s="10">
        <f>9.4955 * CHOOSE(CONTROL!$C$32, $C$9, 100%, $E$9)</f>
        <v>9.4954999999999998</v>
      </c>
      <c r="D562" s="10">
        <f>9.4968 * CHOOSE(CONTROL!$C$32, $C$9, 100%, $E$9)</f>
        <v>9.4968000000000004</v>
      </c>
      <c r="E562" s="9">
        <f>8.0042 * CHOOSE(CONTROL!$C$32, $C$9, 100%, $E$9)</f>
        <v>8.0042000000000009</v>
      </c>
      <c r="F562" s="9">
        <f>8.0042 * CHOOSE(CONTROL!$C$32, $C$9, 100%, $E$9)</f>
        <v>8.0042000000000009</v>
      </c>
      <c r="G562" s="9">
        <f>8.0084 * CHOOSE(CONTROL!$C$32, $C$9, 100%, $E$9)</f>
        <v>8.0084</v>
      </c>
      <c r="H562" s="9">
        <f>18.0374 * CHOOSE(CONTROL!$C$32, $C$9, 100%, $E$9)</f>
        <v>18.037400000000002</v>
      </c>
      <c r="I562" s="9">
        <f>18.0416 * CHOOSE(CONTROL!$C$32, $C$9, 100%, $E$9)</f>
        <v>18.041599999999999</v>
      </c>
      <c r="J562" s="9">
        <f>18.0374 * CHOOSE(CONTROL!$C$32, $C$9, 100%, $E$9)</f>
        <v>18.037400000000002</v>
      </c>
      <c r="K562" s="9">
        <f>18.0416 * CHOOSE(CONTROL!$C$32, $C$9, 100%, $E$9)</f>
        <v>18.041599999999999</v>
      </c>
      <c r="L562" s="9">
        <f>8.0042 * CHOOSE(CONTROL!$C$32, $C$9, 100%, $E$9)</f>
        <v>8.0042000000000009</v>
      </c>
      <c r="M562" s="9">
        <f>8.0084 * CHOOSE(CONTROL!$C$32, $C$9, 100%, $E$9)</f>
        <v>8.0084</v>
      </c>
      <c r="N562" s="9">
        <f>8.0042 * CHOOSE(CONTROL!$C$32, $C$9, 100%, $E$9)</f>
        <v>8.0042000000000009</v>
      </c>
      <c r="O562" s="9">
        <f>8.0084 * CHOOSE(CONTROL!$C$32, $C$9, 100%, $E$9)</f>
        <v>8.0084</v>
      </c>
    </row>
    <row r="563" spans="1:15" ht="15.75" x14ac:dyDescent="0.25">
      <c r="A563" s="13">
        <v>58014</v>
      </c>
      <c r="B563" s="10">
        <f>9.5123 * CHOOSE(CONTROL!$C$32, $C$9, 100%, $E$9)</f>
        <v>9.5122999999999998</v>
      </c>
      <c r="C563" s="10">
        <f>9.5123 * CHOOSE(CONTROL!$C$32, $C$9, 100%, $E$9)</f>
        <v>9.5122999999999998</v>
      </c>
      <c r="D563" s="10">
        <f>9.5133 * CHOOSE(CONTROL!$C$32, $C$9, 100%, $E$9)</f>
        <v>9.5132999999999992</v>
      </c>
      <c r="E563" s="9">
        <f>8.0687 * CHOOSE(CONTROL!$C$32, $C$9, 100%, $E$9)</f>
        <v>8.0686999999999998</v>
      </c>
      <c r="F563" s="9">
        <f>8.0687 * CHOOSE(CONTROL!$C$32, $C$9, 100%, $E$9)</f>
        <v>8.0686999999999998</v>
      </c>
      <c r="G563" s="9">
        <f>8.0719 * CHOOSE(CONTROL!$C$32, $C$9, 100%, $E$9)</f>
        <v>8.0718999999999994</v>
      </c>
      <c r="H563" s="9">
        <f>18.075 * CHOOSE(CONTROL!$C$32, $C$9, 100%, $E$9)</f>
        <v>18.074999999999999</v>
      </c>
      <c r="I563" s="9">
        <f>18.0782 * CHOOSE(CONTROL!$C$32, $C$9, 100%, $E$9)</f>
        <v>18.078199999999999</v>
      </c>
      <c r="J563" s="9">
        <f>18.075 * CHOOSE(CONTROL!$C$32, $C$9, 100%, $E$9)</f>
        <v>18.074999999999999</v>
      </c>
      <c r="K563" s="9">
        <f>18.0782 * CHOOSE(CONTROL!$C$32, $C$9, 100%, $E$9)</f>
        <v>18.078199999999999</v>
      </c>
      <c r="L563" s="9">
        <f>8.0687 * CHOOSE(CONTROL!$C$32, $C$9, 100%, $E$9)</f>
        <v>8.0686999999999998</v>
      </c>
      <c r="M563" s="9">
        <f>8.0719 * CHOOSE(CONTROL!$C$32, $C$9, 100%, $E$9)</f>
        <v>8.0718999999999994</v>
      </c>
      <c r="N563" s="9">
        <f>8.0687 * CHOOSE(CONTROL!$C$32, $C$9, 100%, $E$9)</f>
        <v>8.0686999999999998</v>
      </c>
      <c r="O563" s="9">
        <f>8.0719 * CHOOSE(CONTROL!$C$32, $C$9, 100%, $E$9)</f>
        <v>8.0718999999999994</v>
      </c>
    </row>
    <row r="564" spans="1:15" ht="15.75" x14ac:dyDescent="0.25">
      <c r="A564" s="13">
        <v>58044</v>
      </c>
      <c r="B564" s="10">
        <f>9.5154 * CHOOSE(CONTROL!$C$32, $C$9, 100%, $E$9)</f>
        <v>9.5153999999999996</v>
      </c>
      <c r="C564" s="10">
        <f>9.5154 * CHOOSE(CONTROL!$C$32, $C$9, 100%, $E$9)</f>
        <v>9.5153999999999996</v>
      </c>
      <c r="D564" s="10">
        <f>9.5163 * CHOOSE(CONTROL!$C$32, $C$9, 100%, $E$9)</f>
        <v>9.5162999999999993</v>
      </c>
      <c r="E564" s="9">
        <f>8.1097 * CHOOSE(CONTROL!$C$32, $C$9, 100%, $E$9)</f>
        <v>8.1097000000000001</v>
      </c>
      <c r="F564" s="9">
        <f>8.1097 * CHOOSE(CONTROL!$C$32, $C$9, 100%, $E$9)</f>
        <v>8.1097000000000001</v>
      </c>
      <c r="G564" s="9">
        <f>8.1129 * CHOOSE(CONTROL!$C$32, $C$9, 100%, $E$9)</f>
        <v>8.1128999999999998</v>
      </c>
      <c r="H564" s="9">
        <f>18.1127 * CHOOSE(CONTROL!$C$32, $C$9, 100%, $E$9)</f>
        <v>18.1127</v>
      </c>
      <c r="I564" s="9">
        <f>18.1159 * CHOOSE(CONTROL!$C$32, $C$9, 100%, $E$9)</f>
        <v>18.1159</v>
      </c>
      <c r="J564" s="9">
        <f>18.1127 * CHOOSE(CONTROL!$C$32, $C$9, 100%, $E$9)</f>
        <v>18.1127</v>
      </c>
      <c r="K564" s="9">
        <f>18.1159 * CHOOSE(CONTROL!$C$32, $C$9, 100%, $E$9)</f>
        <v>18.1159</v>
      </c>
      <c r="L564" s="9">
        <f>8.1097 * CHOOSE(CONTROL!$C$32, $C$9, 100%, $E$9)</f>
        <v>8.1097000000000001</v>
      </c>
      <c r="M564" s="9">
        <f>8.1129 * CHOOSE(CONTROL!$C$32, $C$9, 100%, $E$9)</f>
        <v>8.1128999999999998</v>
      </c>
      <c r="N564" s="9">
        <f>8.1097 * CHOOSE(CONTROL!$C$32, $C$9, 100%, $E$9)</f>
        <v>8.1097000000000001</v>
      </c>
      <c r="O564" s="9">
        <f>8.1129 * CHOOSE(CONTROL!$C$32, $C$9, 100%, $E$9)</f>
        <v>8.1128999999999998</v>
      </c>
    </row>
    <row r="565" spans="1:15" ht="15.75" x14ac:dyDescent="0.25">
      <c r="A565" s="13">
        <v>58075</v>
      </c>
      <c r="B565" s="10">
        <f>9.5154 * CHOOSE(CONTROL!$C$32, $C$9, 100%, $E$9)</f>
        <v>9.5153999999999996</v>
      </c>
      <c r="C565" s="10">
        <f>9.5154 * CHOOSE(CONTROL!$C$32, $C$9, 100%, $E$9)</f>
        <v>9.5153999999999996</v>
      </c>
      <c r="D565" s="10">
        <f>9.5163 * CHOOSE(CONTROL!$C$32, $C$9, 100%, $E$9)</f>
        <v>9.5162999999999993</v>
      </c>
      <c r="E565" s="9">
        <f>8.0124 * CHOOSE(CONTROL!$C$32, $C$9, 100%, $E$9)</f>
        <v>8.0123999999999995</v>
      </c>
      <c r="F565" s="9">
        <f>8.0124 * CHOOSE(CONTROL!$C$32, $C$9, 100%, $E$9)</f>
        <v>8.0123999999999995</v>
      </c>
      <c r="G565" s="9">
        <f>8.0156 * CHOOSE(CONTROL!$C$32, $C$9, 100%, $E$9)</f>
        <v>8.0155999999999992</v>
      </c>
      <c r="H565" s="9">
        <f>18.1504 * CHOOSE(CONTROL!$C$32, $C$9, 100%, $E$9)</f>
        <v>18.150400000000001</v>
      </c>
      <c r="I565" s="9">
        <f>18.1536 * CHOOSE(CONTROL!$C$32, $C$9, 100%, $E$9)</f>
        <v>18.153600000000001</v>
      </c>
      <c r="J565" s="9">
        <f>18.1504 * CHOOSE(CONTROL!$C$32, $C$9, 100%, $E$9)</f>
        <v>18.150400000000001</v>
      </c>
      <c r="K565" s="9">
        <f>18.1536 * CHOOSE(CONTROL!$C$32, $C$9, 100%, $E$9)</f>
        <v>18.153600000000001</v>
      </c>
      <c r="L565" s="9">
        <f>8.0124 * CHOOSE(CONTROL!$C$32, $C$9, 100%, $E$9)</f>
        <v>8.0123999999999995</v>
      </c>
      <c r="M565" s="9">
        <f>8.0156 * CHOOSE(CONTROL!$C$32, $C$9, 100%, $E$9)</f>
        <v>8.0155999999999992</v>
      </c>
      <c r="N565" s="9">
        <f>8.0124 * CHOOSE(CONTROL!$C$32, $C$9, 100%, $E$9)</f>
        <v>8.0123999999999995</v>
      </c>
      <c r="O565" s="9">
        <f>8.0156 * CHOOSE(CONTROL!$C$32, $C$9, 100%, $E$9)</f>
        <v>8.0155999999999992</v>
      </c>
    </row>
    <row r="566" spans="1:15" ht="15.75" x14ac:dyDescent="0.25">
      <c r="A566" s="13">
        <v>58106</v>
      </c>
      <c r="B566" s="10">
        <f>9.5936 * CHOOSE(CONTROL!$C$32, $C$9, 100%, $E$9)</f>
        <v>9.5936000000000003</v>
      </c>
      <c r="C566" s="10">
        <f>9.5936 * CHOOSE(CONTROL!$C$32, $C$9, 100%, $E$9)</f>
        <v>9.5936000000000003</v>
      </c>
      <c r="D566" s="10">
        <f>9.5945 * CHOOSE(CONTROL!$C$32, $C$9, 100%, $E$9)</f>
        <v>9.5945</v>
      </c>
      <c r="E566" s="9">
        <f>8.1393 * CHOOSE(CONTROL!$C$32, $C$9, 100%, $E$9)</f>
        <v>8.1393000000000004</v>
      </c>
      <c r="F566" s="9">
        <f>8.1393 * CHOOSE(CONTROL!$C$32, $C$9, 100%, $E$9)</f>
        <v>8.1393000000000004</v>
      </c>
      <c r="G566" s="9">
        <f>8.1425 * CHOOSE(CONTROL!$C$32, $C$9, 100%, $E$9)</f>
        <v>8.1425000000000001</v>
      </c>
      <c r="H566" s="9">
        <f>18.1882 * CHOOSE(CONTROL!$C$32, $C$9, 100%, $E$9)</f>
        <v>18.188199999999998</v>
      </c>
      <c r="I566" s="9">
        <f>18.1914 * CHOOSE(CONTROL!$C$32, $C$9, 100%, $E$9)</f>
        <v>18.191400000000002</v>
      </c>
      <c r="J566" s="9">
        <f>18.1882 * CHOOSE(CONTROL!$C$32, $C$9, 100%, $E$9)</f>
        <v>18.188199999999998</v>
      </c>
      <c r="K566" s="9">
        <f>18.1914 * CHOOSE(CONTROL!$C$32, $C$9, 100%, $E$9)</f>
        <v>18.191400000000002</v>
      </c>
      <c r="L566" s="9">
        <f>8.1393 * CHOOSE(CONTROL!$C$32, $C$9, 100%, $E$9)</f>
        <v>8.1393000000000004</v>
      </c>
      <c r="M566" s="9">
        <f>8.1425 * CHOOSE(CONTROL!$C$32, $C$9, 100%, $E$9)</f>
        <v>8.1425000000000001</v>
      </c>
      <c r="N566" s="9">
        <f>8.1393 * CHOOSE(CONTROL!$C$32, $C$9, 100%, $E$9)</f>
        <v>8.1393000000000004</v>
      </c>
      <c r="O566" s="9">
        <f>8.1425 * CHOOSE(CONTROL!$C$32, $C$9, 100%, $E$9)</f>
        <v>8.1425000000000001</v>
      </c>
    </row>
    <row r="567" spans="1:15" ht="15.75" x14ac:dyDescent="0.25">
      <c r="A567" s="13">
        <v>58134</v>
      </c>
      <c r="B567" s="10">
        <f>9.5905 * CHOOSE(CONTROL!$C$32, $C$9, 100%, $E$9)</f>
        <v>9.5905000000000005</v>
      </c>
      <c r="C567" s="10">
        <f>9.5905 * CHOOSE(CONTROL!$C$32, $C$9, 100%, $E$9)</f>
        <v>9.5905000000000005</v>
      </c>
      <c r="D567" s="10">
        <f>9.5915 * CHOOSE(CONTROL!$C$32, $C$9, 100%, $E$9)</f>
        <v>9.5914999999999999</v>
      </c>
      <c r="E567" s="9">
        <f>7.9477 * CHOOSE(CONTROL!$C$32, $C$9, 100%, $E$9)</f>
        <v>7.9477000000000002</v>
      </c>
      <c r="F567" s="9">
        <f>7.9477 * CHOOSE(CONTROL!$C$32, $C$9, 100%, $E$9)</f>
        <v>7.9477000000000002</v>
      </c>
      <c r="G567" s="9">
        <f>7.951 * CHOOSE(CONTROL!$C$32, $C$9, 100%, $E$9)</f>
        <v>7.9509999999999996</v>
      </c>
      <c r="H567" s="9">
        <f>18.2261 * CHOOSE(CONTROL!$C$32, $C$9, 100%, $E$9)</f>
        <v>18.226099999999999</v>
      </c>
      <c r="I567" s="9">
        <f>18.2293 * CHOOSE(CONTROL!$C$32, $C$9, 100%, $E$9)</f>
        <v>18.229299999999999</v>
      </c>
      <c r="J567" s="9">
        <f>18.2261 * CHOOSE(CONTROL!$C$32, $C$9, 100%, $E$9)</f>
        <v>18.226099999999999</v>
      </c>
      <c r="K567" s="9">
        <f>18.2293 * CHOOSE(CONTROL!$C$32, $C$9, 100%, $E$9)</f>
        <v>18.229299999999999</v>
      </c>
      <c r="L567" s="9">
        <f>7.9477 * CHOOSE(CONTROL!$C$32, $C$9, 100%, $E$9)</f>
        <v>7.9477000000000002</v>
      </c>
      <c r="M567" s="9">
        <f>7.951 * CHOOSE(CONTROL!$C$32, $C$9, 100%, $E$9)</f>
        <v>7.9509999999999996</v>
      </c>
      <c r="N567" s="9">
        <f>7.9477 * CHOOSE(CONTROL!$C$32, $C$9, 100%, $E$9)</f>
        <v>7.9477000000000002</v>
      </c>
      <c r="O567" s="9">
        <f>7.951 * CHOOSE(CONTROL!$C$32, $C$9, 100%, $E$9)</f>
        <v>7.9509999999999996</v>
      </c>
    </row>
    <row r="568" spans="1:15" ht="15.75" x14ac:dyDescent="0.25">
      <c r="A568" s="13">
        <v>58165</v>
      </c>
      <c r="B568" s="10">
        <f>9.5875 * CHOOSE(CONTROL!$C$32, $C$9, 100%, $E$9)</f>
        <v>9.5875000000000004</v>
      </c>
      <c r="C568" s="10">
        <f>9.5875 * CHOOSE(CONTROL!$C$32, $C$9, 100%, $E$9)</f>
        <v>9.5875000000000004</v>
      </c>
      <c r="D568" s="10">
        <f>9.5884 * CHOOSE(CONTROL!$C$32, $C$9, 100%, $E$9)</f>
        <v>9.5884</v>
      </c>
      <c r="E568" s="9">
        <f>8.095 * CHOOSE(CONTROL!$C$32, $C$9, 100%, $E$9)</f>
        <v>8.0950000000000006</v>
      </c>
      <c r="F568" s="9">
        <f>8.095 * CHOOSE(CONTROL!$C$32, $C$9, 100%, $E$9)</f>
        <v>8.0950000000000006</v>
      </c>
      <c r="G568" s="9">
        <f>8.0982 * CHOOSE(CONTROL!$C$32, $C$9, 100%, $E$9)</f>
        <v>8.0982000000000003</v>
      </c>
      <c r="H568" s="9">
        <f>18.2641 * CHOOSE(CONTROL!$C$32, $C$9, 100%, $E$9)</f>
        <v>18.264099999999999</v>
      </c>
      <c r="I568" s="9">
        <f>18.2673 * CHOOSE(CONTROL!$C$32, $C$9, 100%, $E$9)</f>
        <v>18.267299999999999</v>
      </c>
      <c r="J568" s="9">
        <f>18.2641 * CHOOSE(CONTROL!$C$32, $C$9, 100%, $E$9)</f>
        <v>18.264099999999999</v>
      </c>
      <c r="K568" s="9">
        <f>18.2673 * CHOOSE(CONTROL!$C$32, $C$9, 100%, $E$9)</f>
        <v>18.267299999999999</v>
      </c>
      <c r="L568" s="9">
        <f>8.095 * CHOOSE(CONTROL!$C$32, $C$9, 100%, $E$9)</f>
        <v>8.0950000000000006</v>
      </c>
      <c r="M568" s="9">
        <f>8.0982 * CHOOSE(CONTROL!$C$32, $C$9, 100%, $E$9)</f>
        <v>8.0982000000000003</v>
      </c>
      <c r="N568" s="9">
        <f>8.095 * CHOOSE(CONTROL!$C$32, $C$9, 100%, $E$9)</f>
        <v>8.0950000000000006</v>
      </c>
      <c r="O568" s="9">
        <f>8.0982 * CHOOSE(CONTROL!$C$32, $C$9, 100%, $E$9)</f>
        <v>8.0982000000000003</v>
      </c>
    </row>
    <row r="569" spans="1:15" ht="15.75" x14ac:dyDescent="0.25">
      <c r="A569" s="13">
        <v>58195</v>
      </c>
      <c r="B569" s="10">
        <f>9.5909 * CHOOSE(CONTROL!$C$32, $C$9, 100%, $E$9)</f>
        <v>9.5908999999999995</v>
      </c>
      <c r="C569" s="10">
        <f>9.5909 * CHOOSE(CONTROL!$C$32, $C$9, 100%, $E$9)</f>
        <v>9.5908999999999995</v>
      </c>
      <c r="D569" s="10">
        <f>9.5918 * CHOOSE(CONTROL!$C$32, $C$9, 100%, $E$9)</f>
        <v>9.5917999999999992</v>
      </c>
      <c r="E569" s="9">
        <f>8.2511 * CHOOSE(CONTROL!$C$32, $C$9, 100%, $E$9)</f>
        <v>8.2510999999999992</v>
      </c>
      <c r="F569" s="9">
        <f>8.2511 * CHOOSE(CONTROL!$C$32, $C$9, 100%, $E$9)</f>
        <v>8.2510999999999992</v>
      </c>
      <c r="G569" s="9">
        <f>8.2544 * CHOOSE(CONTROL!$C$32, $C$9, 100%, $E$9)</f>
        <v>8.2544000000000004</v>
      </c>
      <c r="H569" s="9">
        <f>18.3021 * CHOOSE(CONTROL!$C$32, $C$9, 100%, $E$9)</f>
        <v>18.302099999999999</v>
      </c>
      <c r="I569" s="9">
        <f>18.3054 * CHOOSE(CONTROL!$C$32, $C$9, 100%, $E$9)</f>
        <v>18.305399999999999</v>
      </c>
      <c r="J569" s="9">
        <f>18.3021 * CHOOSE(CONTROL!$C$32, $C$9, 100%, $E$9)</f>
        <v>18.302099999999999</v>
      </c>
      <c r="K569" s="9">
        <f>18.3054 * CHOOSE(CONTROL!$C$32, $C$9, 100%, $E$9)</f>
        <v>18.305399999999999</v>
      </c>
      <c r="L569" s="9">
        <f>8.2511 * CHOOSE(CONTROL!$C$32, $C$9, 100%, $E$9)</f>
        <v>8.2510999999999992</v>
      </c>
      <c r="M569" s="9">
        <f>8.2544 * CHOOSE(CONTROL!$C$32, $C$9, 100%, $E$9)</f>
        <v>8.2544000000000004</v>
      </c>
      <c r="N569" s="9">
        <f>8.2511 * CHOOSE(CONTROL!$C$32, $C$9, 100%, $E$9)</f>
        <v>8.2510999999999992</v>
      </c>
      <c r="O569" s="9">
        <f>8.2544 * CHOOSE(CONTROL!$C$32, $C$9, 100%, $E$9)</f>
        <v>8.2544000000000004</v>
      </c>
    </row>
    <row r="570" spans="1:15" ht="15.75" x14ac:dyDescent="0.25">
      <c r="A570" s="13">
        <v>58226</v>
      </c>
      <c r="B570" s="10">
        <f>9.5909 * CHOOSE(CONTROL!$C$32, $C$9, 100%, $E$9)</f>
        <v>9.5908999999999995</v>
      </c>
      <c r="C570" s="10">
        <f>9.5909 * CHOOSE(CONTROL!$C$32, $C$9, 100%, $E$9)</f>
        <v>9.5908999999999995</v>
      </c>
      <c r="D570" s="10">
        <f>9.5921 * CHOOSE(CONTROL!$C$32, $C$9, 100%, $E$9)</f>
        <v>9.5921000000000003</v>
      </c>
      <c r="E570" s="9">
        <f>8.3113 * CHOOSE(CONTROL!$C$32, $C$9, 100%, $E$9)</f>
        <v>8.3112999999999992</v>
      </c>
      <c r="F570" s="9">
        <f>8.3113 * CHOOSE(CONTROL!$C$32, $C$9, 100%, $E$9)</f>
        <v>8.3112999999999992</v>
      </c>
      <c r="G570" s="9">
        <f>8.3155 * CHOOSE(CONTROL!$C$32, $C$9, 100%, $E$9)</f>
        <v>8.3155000000000001</v>
      </c>
      <c r="H570" s="9">
        <f>18.3403 * CHOOSE(CONTROL!$C$32, $C$9, 100%, $E$9)</f>
        <v>18.340299999999999</v>
      </c>
      <c r="I570" s="9">
        <f>18.3445 * CHOOSE(CONTROL!$C$32, $C$9, 100%, $E$9)</f>
        <v>18.3445</v>
      </c>
      <c r="J570" s="9">
        <f>18.3403 * CHOOSE(CONTROL!$C$32, $C$9, 100%, $E$9)</f>
        <v>18.340299999999999</v>
      </c>
      <c r="K570" s="9">
        <f>18.3445 * CHOOSE(CONTROL!$C$32, $C$9, 100%, $E$9)</f>
        <v>18.3445</v>
      </c>
      <c r="L570" s="9">
        <f>8.3113 * CHOOSE(CONTROL!$C$32, $C$9, 100%, $E$9)</f>
        <v>8.3112999999999992</v>
      </c>
      <c r="M570" s="9">
        <f>8.3155 * CHOOSE(CONTROL!$C$32, $C$9, 100%, $E$9)</f>
        <v>8.3155000000000001</v>
      </c>
      <c r="N570" s="9">
        <f>8.3113 * CHOOSE(CONTROL!$C$32, $C$9, 100%, $E$9)</f>
        <v>8.3112999999999992</v>
      </c>
      <c r="O570" s="9">
        <f>8.3155 * CHOOSE(CONTROL!$C$32, $C$9, 100%, $E$9)</f>
        <v>8.3155000000000001</v>
      </c>
    </row>
    <row r="571" spans="1:15" ht="15.75" x14ac:dyDescent="0.25">
      <c r="A571" s="13">
        <v>58256</v>
      </c>
      <c r="B571" s="10">
        <f>9.597 * CHOOSE(CONTROL!$C$32, $C$9, 100%, $E$9)</f>
        <v>9.5969999999999995</v>
      </c>
      <c r="C571" s="10">
        <f>9.597 * CHOOSE(CONTROL!$C$32, $C$9, 100%, $E$9)</f>
        <v>9.5969999999999995</v>
      </c>
      <c r="D571" s="10">
        <f>9.5982 * CHOOSE(CONTROL!$C$32, $C$9, 100%, $E$9)</f>
        <v>9.5982000000000003</v>
      </c>
      <c r="E571" s="9">
        <f>8.2554 * CHOOSE(CONTROL!$C$32, $C$9, 100%, $E$9)</f>
        <v>8.2553999999999998</v>
      </c>
      <c r="F571" s="9">
        <f>8.2554 * CHOOSE(CONTROL!$C$32, $C$9, 100%, $E$9)</f>
        <v>8.2553999999999998</v>
      </c>
      <c r="G571" s="9">
        <f>8.2596 * CHOOSE(CONTROL!$C$32, $C$9, 100%, $E$9)</f>
        <v>8.2596000000000007</v>
      </c>
      <c r="H571" s="9">
        <f>18.3785 * CHOOSE(CONTROL!$C$32, $C$9, 100%, $E$9)</f>
        <v>18.378499999999999</v>
      </c>
      <c r="I571" s="9">
        <f>18.3827 * CHOOSE(CONTROL!$C$32, $C$9, 100%, $E$9)</f>
        <v>18.3827</v>
      </c>
      <c r="J571" s="9">
        <f>18.3785 * CHOOSE(CONTROL!$C$32, $C$9, 100%, $E$9)</f>
        <v>18.378499999999999</v>
      </c>
      <c r="K571" s="9">
        <f>18.3827 * CHOOSE(CONTROL!$C$32, $C$9, 100%, $E$9)</f>
        <v>18.3827</v>
      </c>
      <c r="L571" s="9">
        <f>8.2554 * CHOOSE(CONTROL!$C$32, $C$9, 100%, $E$9)</f>
        <v>8.2553999999999998</v>
      </c>
      <c r="M571" s="9">
        <f>8.2596 * CHOOSE(CONTROL!$C$32, $C$9, 100%, $E$9)</f>
        <v>8.2596000000000007</v>
      </c>
      <c r="N571" s="9">
        <f>8.2554 * CHOOSE(CONTROL!$C$32, $C$9, 100%, $E$9)</f>
        <v>8.2553999999999998</v>
      </c>
      <c r="O571" s="9">
        <f>8.2596 * CHOOSE(CONTROL!$C$32, $C$9, 100%, $E$9)</f>
        <v>8.2596000000000007</v>
      </c>
    </row>
    <row r="572" spans="1:15" ht="15.75" x14ac:dyDescent="0.25">
      <c r="A572" s="13">
        <v>58287</v>
      </c>
      <c r="B572" s="10">
        <f>9.7318 * CHOOSE(CONTROL!$C$32, $C$9, 100%, $E$9)</f>
        <v>9.7317999999999998</v>
      </c>
      <c r="C572" s="10">
        <f>9.7318 * CHOOSE(CONTROL!$C$32, $C$9, 100%, $E$9)</f>
        <v>9.7317999999999998</v>
      </c>
      <c r="D572" s="10">
        <f>9.7331 * CHOOSE(CONTROL!$C$32, $C$9, 100%, $E$9)</f>
        <v>9.7331000000000003</v>
      </c>
      <c r="E572" s="9">
        <f>8.3508 * CHOOSE(CONTROL!$C$32, $C$9, 100%, $E$9)</f>
        <v>8.3507999999999996</v>
      </c>
      <c r="F572" s="9">
        <f>8.3508 * CHOOSE(CONTROL!$C$32, $C$9, 100%, $E$9)</f>
        <v>8.3507999999999996</v>
      </c>
      <c r="G572" s="9">
        <f>8.355 * CHOOSE(CONTROL!$C$32, $C$9, 100%, $E$9)</f>
        <v>8.3550000000000004</v>
      </c>
      <c r="H572" s="9">
        <f>18.4168 * CHOOSE(CONTROL!$C$32, $C$9, 100%, $E$9)</f>
        <v>18.416799999999999</v>
      </c>
      <c r="I572" s="9">
        <f>18.421 * CHOOSE(CONTROL!$C$32, $C$9, 100%, $E$9)</f>
        <v>18.420999999999999</v>
      </c>
      <c r="J572" s="9">
        <f>18.4168 * CHOOSE(CONTROL!$C$32, $C$9, 100%, $E$9)</f>
        <v>18.416799999999999</v>
      </c>
      <c r="K572" s="9">
        <f>18.421 * CHOOSE(CONTROL!$C$32, $C$9, 100%, $E$9)</f>
        <v>18.420999999999999</v>
      </c>
      <c r="L572" s="9">
        <f>8.3508 * CHOOSE(CONTROL!$C$32, $C$9, 100%, $E$9)</f>
        <v>8.3507999999999996</v>
      </c>
      <c r="M572" s="9">
        <f>8.355 * CHOOSE(CONTROL!$C$32, $C$9, 100%, $E$9)</f>
        <v>8.3550000000000004</v>
      </c>
      <c r="N572" s="9">
        <f>8.3508 * CHOOSE(CONTROL!$C$32, $C$9, 100%, $E$9)</f>
        <v>8.3507999999999996</v>
      </c>
      <c r="O572" s="9">
        <f>8.355 * CHOOSE(CONTROL!$C$32, $C$9, 100%, $E$9)</f>
        <v>8.3550000000000004</v>
      </c>
    </row>
    <row r="573" spans="1:15" ht="15.75" x14ac:dyDescent="0.25">
      <c r="A573" s="13">
        <v>58318</v>
      </c>
      <c r="B573" s="10">
        <f>9.7385 * CHOOSE(CONTROL!$C$32, $C$9, 100%, $E$9)</f>
        <v>9.7385000000000002</v>
      </c>
      <c r="C573" s="10">
        <f>9.7385 * CHOOSE(CONTROL!$C$32, $C$9, 100%, $E$9)</f>
        <v>9.7385000000000002</v>
      </c>
      <c r="D573" s="10">
        <f>9.7397 * CHOOSE(CONTROL!$C$32, $C$9, 100%, $E$9)</f>
        <v>9.7396999999999991</v>
      </c>
      <c r="E573" s="9">
        <f>8.175 * CHOOSE(CONTROL!$C$32, $C$9, 100%, $E$9)</f>
        <v>8.1750000000000007</v>
      </c>
      <c r="F573" s="9">
        <f>8.175 * CHOOSE(CONTROL!$C$32, $C$9, 100%, $E$9)</f>
        <v>8.1750000000000007</v>
      </c>
      <c r="G573" s="9">
        <f>8.1792 * CHOOSE(CONTROL!$C$32, $C$9, 100%, $E$9)</f>
        <v>8.1791999999999998</v>
      </c>
      <c r="H573" s="9">
        <f>18.4551 * CHOOSE(CONTROL!$C$32, $C$9, 100%, $E$9)</f>
        <v>18.455100000000002</v>
      </c>
      <c r="I573" s="9">
        <f>18.4593 * CHOOSE(CONTROL!$C$32, $C$9, 100%, $E$9)</f>
        <v>18.459299999999999</v>
      </c>
      <c r="J573" s="9">
        <f>18.4551 * CHOOSE(CONTROL!$C$32, $C$9, 100%, $E$9)</f>
        <v>18.455100000000002</v>
      </c>
      <c r="K573" s="9">
        <f>18.4593 * CHOOSE(CONTROL!$C$32, $C$9, 100%, $E$9)</f>
        <v>18.459299999999999</v>
      </c>
      <c r="L573" s="9">
        <f>8.175 * CHOOSE(CONTROL!$C$32, $C$9, 100%, $E$9)</f>
        <v>8.1750000000000007</v>
      </c>
      <c r="M573" s="9">
        <f>8.1792 * CHOOSE(CONTROL!$C$32, $C$9, 100%, $E$9)</f>
        <v>8.1791999999999998</v>
      </c>
      <c r="N573" s="9">
        <f>8.175 * CHOOSE(CONTROL!$C$32, $C$9, 100%, $E$9)</f>
        <v>8.1750000000000007</v>
      </c>
      <c r="O573" s="9">
        <f>8.1792 * CHOOSE(CONTROL!$C$32, $C$9, 100%, $E$9)</f>
        <v>8.1791999999999998</v>
      </c>
    </row>
    <row r="574" spans="1:15" ht="15.75" x14ac:dyDescent="0.25">
      <c r="A574" s="13">
        <v>58348</v>
      </c>
      <c r="B574" s="10">
        <f>9.7355 * CHOOSE(CONTROL!$C$32, $C$9, 100%, $E$9)</f>
        <v>9.7355</v>
      </c>
      <c r="C574" s="10">
        <f>9.7355 * CHOOSE(CONTROL!$C$32, $C$9, 100%, $E$9)</f>
        <v>9.7355</v>
      </c>
      <c r="D574" s="10">
        <f>9.7367 * CHOOSE(CONTROL!$C$32, $C$9, 100%, $E$9)</f>
        <v>9.7367000000000008</v>
      </c>
      <c r="E574" s="9">
        <f>8.1528 * CHOOSE(CONTROL!$C$32, $C$9, 100%, $E$9)</f>
        <v>8.1527999999999992</v>
      </c>
      <c r="F574" s="9">
        <f>8.1528 * CHOOSE(CONTROL!$C$32, $C$9, 100%, $E$9)</f>
        <v>8.1527999999999992</v>
      </c>
      <c r="G574" s="9">
        <f>8.157 * CHOOSE(CONTROL!$C$32, $C$9, 100%, $E$9)</f>
        <v>8.157</v>
      </c>
      <c r="H574" s="9">
        <f>18.4936 * CHOOSE(CONTROL!$C$32, $C$9, 100%, $E$9)</f>
        <v>18.493600000000001</v>
      </c>
      <c r="I574" s="9">
        <f>18.4978 * CHOOSE(CONTROL!$C$32, $C$9, 100%, $E$9)</f>
        <v>18.497800000000002</v>
      </c>
      <c r="J574" s="9">
        <f>18.4936 * CHOOSE(CONTROL!$C$32, $C$9, 100%, $E$9)</f>
        <v>18.493600000000001</v>
      </c>
      <c r="K574" s="9">
        <f>18.4978 * CHOOSE(CONTROL!$C$32, $C$9, 100%, $E$9)</f>
        <v>18.497800000000002</v>
      </c>
      <c r="L574" s="9">
        <f>8.1528 * CHOOSE(CONTROL!$C$32, $C$9, 100%, $E$9)</f>
        <v>8.1527999999999992</v>
      </c>
      <c r="M574" s="9">
        <f>8.157 * CHOOSE(CONTROL!$C$32, $C$9, 100%, $E$9)</f>
        <v>8.157</v>
      </c>
      <c r="N574" s="9">
        <f>8.1528 * CHOOSE(CONTROL!$C$32, $C$9, 100%, $E$9)</f>
        <v>8.1527999999999992</v>
      </c>
      <c r="O574" s="9">
        <f>8.157 * CHOOSE(CONTROL!$C$32, $C$9, 100%, $E$9)</f>
        <v>8.157</v>
      </c>
    </row>
    <row r="575" spans="1:15" ht="15.75" x14ac:dyDescent="0.25">
      <c r="A575" s="13">
        <v>58379</v>
      </c>
      <c r="B575" s="10">
        <f>9.7532 * CHOOSE(CONTROL!$C$32, $C$9, 100%, $E$9)</f>
        <v>9.7531999999999996</v>
      </c>
      <c r="C575" s="10">
        <f>9.7532 * CHOOSE(CONTROL!$C$32, $C$9, 100%, $E$9)</f>
        <v>9.7531999999999996</v>
      </c>
      <c r="D575" s="10">
        <f>9.7541 * CHOOSE(CONTROL!$C$32, $C$9, 100%, $E$9)</f>
        <v>9.7540999999999993</v>
      </c>
      <c r="E575" s="9">
        <f>8.2196 * CHOOSE(CONTROL!$C$32, $C$9, 100%, $E$9)</f>
        <v>8.2195999999999998</v>
      </c>
      <c r="F575" s="9">
        <f>8.2196 * CHOOSE(CONTROL!$C$32, $C$9, 100%, $E$9)</f>
        <v>8.2195999999999998</v>
      </c>
      <c r="G575" s="9">
        <f>8.2228 * CHOOSE(CONTROL!$C$32, $C$9, 100%, $E$9)</f>
        <v>8.2227999999999994</v>
      </c>
      <c r="H575" s="9">
        <f>18.5321 * CHOOSE(CONTROL!$C$32, $C$9, 100%, $E$9)</f>
        <v>18.5321</v>
      </c>
      <c r="I575" s="9">
        <f>18.5353 * CHOOSE(CONTROL!$C$32, $C$9, 100%, $E$9)</f>
        <v>18.535299999999999</v>
      </c>
      <c r="J575" s="9">
        <f>18.5321 * CHOOSE(CONTROL!$C$32, $C$9, 100%, $E$9)</f>
        <v>18.5321</v>
      </c>
      <c r="K575" s="9">
        <f>18.5353 * CHOOSE(CONTROL!$C$32, $C$9, 100%, $E$9)</f>
        <v>18.535299999999999</v>
      </c>
      <c r="L575" s="9">
        <f>8.2196 * CHOOSE(CONTROL!$C$32, $C$9, 100%, $E$9)</f>
        <v>8.2195999999999998</v>
      </c>
      <c r="M575" s="9">
        <f>8.2228 * CHOOSE(CONTROL!$C$32, $C$9, 100%, $E$9)</f>
        <v>8.2227999999999994</v>
      </c>
      <c r="N575" s="9">
        <f>8.2196 * CHOOSE(CONTROL!$C$32, $C$9, 100%, $E$9)</f>
        <v>8.2195999999999998</v>
      </c>
      <c r="O575" s="9">
        <f>8.2228 * CHOOSE(CONTROL!$C$32, $C$9, 100%, $E$9)</f>
        <v>8.2227999999999994</v>
      </c>
    </row>
    <row r="576" spans="1:15" ht="15.75" x14ac:dyDescent="0.25">
      <c r="A576" s="13">
        <v>58409</v>
      </c>
      <c r="B576" s="10">
        <f>9.7562 * CHOOSE(CONTROL!$C$32, $C$9, 100%, $E$9)</f>
        <v>9.7561999999999998</v>
      </c>
      <c r="C576" s="10">
        <f>9.7562 * CHOOSE(CONTROL!$C$32, $C$9, 100%, $E$9)</f>
        <v>9.7561999999999998</v>
      </c>
      <c r="D576" s="10">
        <f>9.7572 * CHOOSE(CONTROL!$C$32, $C$9, 100%, $E$9)</f>
        <v>9.7571999999999992</v>
      </c>
      <c r="E576" s="9">
        <f>8.2618 * CHOOSE(CONTROL!$C$32, $C$9, 100%, $E$9)</f>
        <v>8.2617999999999991</v>
      </c>
      <c r="F576" s="9">
        <f>8.2618 * CHOOSE(CONTROL!$C$32, $C$9, 100%, $E$9)</f>
        <v>8.2617999999999991</v>
      </c>
      <c r="G576" s="9">
        <f>8.265 * CHOOSE(CONTROL!$C$32, $C$9, 100%, $E$9)</f>
        <v>8.2650000000000006</v>
      </c>
      <c r="H576" s="9">
        <f>18.5707 * CHOOSE(CONTROL!$C$32, $C$9, 100%, $E$9)</f>
        <v>18.570699999999999</v>
      </c>
      <c r="I576" s="9">
        <f>18.5739 * CHOOSE(CONTROL!$C$32, $C$9, 100%, $E$9)</f>
        <v>18.573899999999998</v>
      </c>
      <c r="J576" s="9">
        <f>18.5707 * CHOOSE(CONTROL!$C$32, $C$9, 100%, $E$9)</f>
        <v>18.570699999999999</v>
      </c>
      <c r="K576" s="9">
        <f>18.5739 * CHOOSE(CONTROL!$C$32, $C$9, 100%, $E$9)</f>
        <v>18.573899999999998</v>
      </c>
      <c r="L576" s="9">
        <f>8.2618 * CHOOSE(CONTROL!$C$32, $C$9, 100%, $E$9)</f>
        <v>8.2617999999999991</v>
      </c>
      <c r="M576" s="9">
        <f>8.265 * CHOOSE(CONTROL!$C$32, $C$9, 100%, $E$9)</f>
        <v>8.2650000000000006</v>
      </c>
      <c r="N576" s="9">
        <f>8.2618 * CHOOSE(CONTROL!$C$32, $C$9, 100%, $E$9)</f>
        <v>8.2617999999999991</v>
      </c>
      <c r="O576" s="9">
        <f>8.265 * CHOOSE(CONTROL!$C$32, $C$9, 100%, $E$9)</f>
        <v>8.2650000000000006</v>
      </c>
    </row>
    <row r="577" spans="1:15" ht="15.75" x14ac:dyDescent="0.25">
      <c r="A577" s="13">
        <v>58440</v>
      </c>
      <c r="B577" s="10">
        <f>9.7562 * CHOOSE(CONTROL!$C$32, $C$9, 100%, $E$9)</f>
        <v>9.7561999999999998</v>
      </c>
      <c r="C577" s="10">
        <f>9.7562 * CHOOSE(CONTROL!$C$32, $C$9, 100%, $E$9)</f>
        <v>9.7561999999999998</v>
      </c>
      <c r="D577" s="10">
        <f>9.7572 * CHOOSE(CONTROL!$C$32, $C$9, 100%, $E$9)</f>
        <v>9.7571999999999992</v>
      </c>
      <c r="E577" s="9">
        <f>8.1615 * CHOOSE(CONTROL!$C$32, $C$9, 100%, $E$9)</f>
        <v>8.1615000000000002</v>
      </c>
      <c r="F577" s="9">
        <f>8.1615 * CHOOSE(CONTROL!$C$32, $C$9, 100%, $E$9)</f>
        <v>8.1615000000000002</v>
      </c>
      <c r="G577" s="9">
        <f>8.1648 * CHOOSE(CONTROL!$C$32, $C$9, 100%, $E$9)</f>
        <v>8.1647999999999996</v>
      </c>
      <c r="H577" s="9">
        <f>18.6094 * CHOOSE(CONTROL!$C$32, $C$9, 100%, $E$9)</f>
        <v>18.609400000000001</v>
      </c>
      <c r="I577" s="9">
        <f>18.6126 * CHOOSE(CONTROL!$C$32, $C$9, 100%, $E$9)</f>
        <v>18.6126</v>
      </c>
      <c r="J577" s="9">
        <f>18.6094 * CHOOSE(CONTROL!$C$32, $C$9, 100%, $E$9)</f>
        <v>18.609400000000001</v>
      </c>
      <c r="K577" s="9">
        <f>18.6126 * CHOOSE(CONTROL!$C$32, $C$9, 100%, $E$9)</f>
        <v>18.6126</v>
      </c>
      <c r="L577" s="9">
        <f>8.1615 * CHOOSE(CONTROL!$C$32, $C$9, 100%, $E$9)</f>
        <v>8.1615000000000002</v>
      </c>
      <c r="M577" s="9">
        <f>8.1648 * CHOOSE(CONTROL!$C$32, $C$9, 100%, $E$9)</f>
        <v>8.1647999999999996</v>
      </c>
      <c r="N577" s="9">
        <f>8.1615 * CHOOSE(CONTROL!$C$32, $C$9, 100%, $E$9)</f>
        <v>8.1615000000000002</v>
      </c>
      <c r="O577" s="9">
        <f>8.1648 * CHOOSE(CONTROL!$C$32, $C$9, 100%, $E$9)</f>
        <v>8.1647999999999996</v>
      </c>
    </row>
    <row r="578" spans="1:15" ht="15.75" x14ac:dyDescent="0.25">
      <c r="A578" s="13">
        <v>58471</v>
      </c>
      <c r="B578" s="10">
        <f>9.8363 * CHOOSE(CONTROL!$C$32, $C$9, 100%, $E$9)</f>
        <v>9.8362999999999996</v>
      </c>
      <c r="C578" s="10">
        <f>9.8363 * CHOOSE(CONTROL!$C$32, $C$9, 100%, $E$9)</f>
        <v>9.8362999999999996</v>
      </c>
      <c r="D578" s="10">
        <f>9.8372 * CHOOSE(CONTROL!$C$32, $C$9, 100%, $E$9)</f>
        <v>9.8371999999999993</v>
      </c>
      <c r="E578" s="9">
        <f>8.2918 * CHOOSE(CONTROL!$C$32, $C$9, 100%, $E$9)</f>
        <v>8.2918000000000003</v>
      </c>
      <c r="F578" s="9">
        <f>8.2918 * CHOOSE(CONTROL!$C$32, $C$9, 100%, $E$9)</f>
        <v>8.2918000000000003</v>
      </c>
      <c r="G578" s="9">
        <f>8.295 * CHOOSE(CONTROL!$C$32, $C$9, 100%, $E$9)</f>
        <v>8.2949999999999999</v>
      </c>
      <c r="H578" s="9">
        <f>18.6482 * CHOOSE(CONTROL!$C$32, $C$9, 100%, $E$9)</f>
        <v>18.648199999999999</v>
      </c>
      <c r="I578" s="9">
        <f>18.6514 * CHOOSE(CONTROL!$C$32, $C$9, 100%, $E$9)</f>
        <v>18.651399999999999</v>
      </c>
      <c r="J578" s="9">
        <f>18.6482 * CHOOSE(CONTROL!$C$32, $C$9, 100%, $E$9)</f>
        <v>18.648199999999999</v>
      </c>
      <c r="K578" s="9">
        <f>18.6514 * CHOOSE(CONTROL!$C$32, $C$9, 100%, $E$9)</f>
        <v>18.651399999999999</v>
      </c>
      <c r="L578" s="9">
        <f>8.2918 * CHOOSE(CONTROL!$C$32, $C$9, 100%, $E$9)</f>
        <v>8.2918000000000003</v>
      </c>
      <c r="M578" s="9">
        <f>8.295 * CHOOSE(CONTROL!$C$32, $C$9, 100%, $E$9)</f>
        <v>8.2949999999999999</v>
      </c>
      <c r="N578" s="9">
        <f>8.2918 * CHOOSE(CONTROL!$C$32, $C$9, 100%, $E$9)</f>
        <v>8.2918000000000003</v>
      </c>
      <c r="O578" s="9">
        <f>8.295 * CHOOSE(CONTROL!$C$32, $C$9, 100%, $E$9)</f>
        <v>8.2949999999999999</v>
      </c>
    </row>
    <row r="579" spans="1:15" ht="15.75" x14ac:dyDescent="0.25">
      <c r="A579" s="13">
        <v>58499</v>
      </c>
      <c r="B579" s="10">
        <f>9.8333 * CHOOSE(CONTROL!$C$32, $C$9, 100%, $E$9)</f>
        <v>9.8332999999999995</v>
      </c>
      <c r="C579" s="10">
        <f>9.8333 * CHOOSE(CONTROL!$C$32, $C$9, 100%, $E$9)</f>
        <v>9.8332999999999995</v>
      </c>
      <c r="D579" s="10">
        <f>9.8342 * CHOOSE(CONTROL!$C$32, $C$9, 100%, $E$9)</f>
        <v>9.8341999999999992</v>
      </c>
      <c r="E579" s="9">
        <f>8.0945 * CHOOSE(CONTROL!$C$32, $C$9, 100%, $E$9)</f>
        <v>8.0945</v>
      </c>
      <c r="F579" s="9">
        <f>8.0945 * CHOOSE(CONTROL!$C$32, $C$9, 100%, $E$9)</f>
        <v>8.0945</v>
      </c>
      <c r="G579" s="9">
        <f>8.0978 * CHOOSE(CONTROL!$C$32, $C$9, 100%, $E$9)</f>
        <v>8.0977999999999994</v>
      </c>
      <c r="H579" s="9">
        <f>18.687 * CHOOSE(CONTROL!$C$32, $C$9, 100%, $E$9)</f>
        <v>18.687000000000001</v>
      </c>
      <c r="I579" s="9">
        <f>18.6902 * CHOOSE(CONTROL!$C$32, $C$9, 100%, $E$9)</f>
        <v>18.690200000000001</v>
      </c>
      <c r="J579" s="9">
        <f>18.687 * CHOOSE(CONTROL!$C$32, $C$9, 100%, $E$9)</f>
        <v>18.687000000000001</v>
      </c>
      <c r="K579" s="9">
        <f>18.6902 * CHOOSE(CONTROL!$C$32, $C$9, 100%, $E$9)</f>
        <v>18.690200000000001</v>
      </c>
      <c r="L579" s="9">
        <f>8.0945 * CHOOSE(CONTROL!$C$32, $C$9, 100%, $E$9)</f>
        <v>8.0945</v>
      </c>
      <c r="M579" s="9">
        <f>8.0978 * CHOOSE(CONTROL!$C$32, $C$9, 100%, $E$9)</f>
        <v>8.0977999999999994</v>
      </c>
      <c r="N579" s="9">
        <f>8.0945 * CHOOSE(CONTROL!$C$32, $C$9, 100%, $E$9)</f>
        <v>8.0945</v>
      </c>
      <c r="O579" s="9">
        <f>8.0978 * CHOOSE(CONTROL!$C$32, $C$9, 100%, $E$9)</f>
        <v>8.0977999999999994</v>
      </c>
    </row>
    <row r="580" spans="1:15" ht="15.75" x14ac:dyDescent="0.25">
      <c r="A580" s="13">
        <v>58531</v>
      </c>
      <c r="B580" s="10">
        <f>9.8302 * CHOOSE(CONTROL!$C$32, $C$9, 100%, $E$9)</f>
        <v>9.8301999999999996</v>
      </c>
      <c r="C580" s="10">
        <f>9.8302 * CHOOSE(CONTROL!$C$32, $C$9, 100%, $E$9)</f>
        <v>9.8301999999999996</v>
      </c>
      <c r="D580" s="10">
        <f>9.8312 * CHOOSE(CONTROL!$C$32, $C$9, 100%, $E$9)</f>
        <v>9.8312000000000008</v>
      </c>
      <c r="E580" s="9">
        <f>8.2462 * CHOOSE(CONTROL!$C$32, $C$9, 100%, $E$9)</f>
        <v>8.2462</v>
      </c>
      <c r="F580" s="9">
        <f>8.2462 * CHOOSE(CONTROL!$C$32, $C$9, 100%, $E$9)</f>
        <v>8.2462</v>
      </c>
      <c r="G580" s="9">
        <f>8.2495 * CHOOSE(CONTROL!$C$32, $C$9, 100%, $E$9)</f>
        <v>8.2494999999999994</v>
      </c>
      <c r="H580" s="9">
        <f>18.7259 * CHOOSE(CONTROL!$C$32, $C$9, 100%, $E$9)</f>
        <v>18.725899999999999</v>
      </c>
      <c r="I580" s="9">
        <f>18.7292 * CHOOSE(CONTROL!$C$32, $C$9, 100%, $E$9)</f>
        <v>18.729199999999999</v>
      </c>
      <c r="J580" s="9">
        <f>18.7259 * CHOOSE(CONTROL!$C$32, $C$9, 100%, $E$9)</f>
        <v>18.725899999999999</v>
      </c>
      <c r="K580" s="9">
        <f>18.7292 * CHOOSE(CONTROL!$C$32, $C$9, 100%, $E$9)</f>
        <v>18.729199999999999</v>
      </c>
      <c r="L580" s="9">
        <f>8.2462 * CHOOSE(CONTROL!$C$32, $C$9, 100%, $E$9)</f>
        <v>8.2462</v>
      </c>
      <c r="M580" s="9">
        <f>8.2495 * CHOOSE(CONTROL!$C$32, $C$9, 100%, $E$9)</f>
        <v>8.2494999999999994</v>
      </c>
      <c r="N580" s="9">
        <f>8.2462 * CHOOSE(CONTROL!$C$32, $C$9, 100%, $E$9)</f>
        <v>8.2462</v>
      </c>
      <c r="O580" s="9">
        <f>8.2495 * CHOOSE(CONTROL!$C$32, $C$9, 100%, $E$9)</f>
        <v>8.2494999999999994</v>
      </c>
    </row>
    <row r="581" spans="1:15" ht="15.75" x14ac:dyDescent="0.25">
      <c r="A581" s="13">
        <v>58561</v>
      </c>
      <c r="B581" s="10">
        <f>9.8338 * CHOOSE(CONTROL!$C$32, $C$9, 100%, $E$9)</f>
        <v>9.8338000000000001</v>
      </c>
      <c r="C581" s="10">
        <f>9.8338 * CHOOSE(CONTROL!$C$32, $C$9, 100%, $E$9)</f>
        <v>9.8338000000000001</v>
      </c>
      <c r="D581" s="10">
        <f>9.8348 * CHOOSE(CONTROL!$C$32, $C$9, 100%, $E$9)</f>
        <v>9.8347999999999995</v>
      </c>
      <c r="E581" s="9">
        <f>8.4072 * CHOOSE(CONTROL!$C$32, $C$9, 100%, $E$9)</f>
        <v>8.4071999999999996</v>
      </c>
      <c r="F581" s="9">
        <f>8.4072 * CHOOSE(CONTROL!$C$32, $C$9, 100%, $E$9)</f>
        <v>8.4071999999999996</v>
      </c>
      <c r="G581" s="9">
        <f>8.4105 * CHOOSE(CONTROL!$C$32, $C$9, 100%, $E$9)</f>
        <v>8.4105000000000008</v>
      </c>
      <c r="H581" s="9">
        <f>18.765 * CHOOSE(CONTROL!$C$32, $C$9, 100%, $E$9)</f>
        <v>18.765000000000001</v>
      </c>
      <c r="I581" s="9">
        <f>18.7682 * CHOOSE(CONTROL!$C$32, $C$9, 100%, $E$9)</f>
        <v>18.7682</v>
      </c>
      <c r="J581" s="9">
        <f>18.765 * CHOOSE(CONTROL!$C$32, $C$9, 100%, $E$9)</f>
        <v>18.765000000000001</v>
      </c>
      <c r="K581" s="9">
        <f>18.7682 * CHOOSE(CONTROL!$C$32, $C$9, 100%, $E$9)</f>
        <v>18.7682</v>
      </c>
      <c r="L581" s="9">
        <f>8.4072 * CHOOSE(CONTROL!$C$32, $C$9, 100%, $E$9)</f>
        <v>8.4071999999999996</v>
      </c>
      <c r="M581" s="9">
        <f>8.4105 * CHOOSE(CONTROL!$C$32, $C$9, 100%, $E$9)</f>
        <v>8.4105000000000008</v>
      </c>
      <c r="N581" s="9">
        <f>8.4072 * CHOOSE(CONTROL!$C$32, $C$9, 100%, $E$9)</f>
        <v>8.4071999999999996</v>
      </c>
      <c r="O581" s="9">
        <f>8.4105 * CHOOSE(CONTROL!$C$32, $C$9, 100%, $E$9)</f>
        <v>8.4105000000000008</v>
      </c>
    </row>
    <row r="582" spans="1:15" ht="15.75" x14ac:dyDescent="0.25">
      <c r="A582" s="13">
        <v>58592</v>
      </c>
      <c r="B582" s="10">
        <f>9.8338 * CHOOSE(CONTROL!$C$32, $C$9, 100%, $E$9)</f>
        <v>9.8338000000000001</v>
      </c>
      <c r="C582" s="10">
        <f>9.8338 * CHOOSE(CONTROL!$C$32, $C$9, 100%, $E$9)</f>
        <v>9.8338000000000001</v>
      </c>
      <c r="D582" s="10">
        <f>9.8351 * CHOOSE(CONTROL!$C$32, $C$9, 100%, $E$9)</f>
        <v>9.8351000000000006</v>
      </c>
      <c r="E582" s="9">
        <f>8.4692 * CHOOSE(CONTROL!$C$32, $C$9, 100%, $E$9)</f>
        <v>8.4692000000000007</v>
      </c>
      <c r="F582" s="9">
        <f>8.4692 * CHOOSE(CONTROL!$C$32, $C$9, 100%, $E$9)</f>
        <v>8.4692000000000007</v>
      </c>
      <c r="G582" s="9">
        <f>8.4734 * CHOOSE(CONTROL!$C$32, $C$9, 100%, $E$9)</f>
        <v>8.4733999999999998</v>
      </c>
      <c r="H582" s="9">
        <f>18.8041 * CHOOSE(CONTROL!$C$32, $C$9, 100%, $E$9)</f>
        <v>18.804099999999998</v>
      </c>
      <c r="I582" s="9">
        <f>18.8083 * CHOOSE(CONTROL!$C$32, $C$9, 100%, $E$9)</f>
        <v>18.808299999999999</v>
      </c>
      <c r="J582" s="9">
        <f>18.8041 * CHOOSE(CONTROL!$C$32, $C$9, 100%, $E$9)</f>
        <v>18.804099999999998</v>
      </c>
      <c r="K582" s="9">
        <f>18.8083 * CHOOSE(CONTROL!$C$32, $C$9, 100%, $E$9)</f>
        <v>18.808299999999999</v>
      </c>
      <c r="L582" s="9">
        <f>8.4692 * CHOOSE(CONTROL!$C$32, $C$9, 100%, $E$9)</f>
        <v>8.4692000000000007</v>
      </c>
      <c r="M582" s="9">
        <f>8.4734 * CHOOSE(CONTROL!$C$32, $C$9, 100%, $E$9)</f>
        <v>8.4733999999999998</v>
      </c>
      <c r="N582" s="9">
        <f>8.4692 * CHOOSE(CONTROL!$C$32, $C$9, 100%, $E$9)</f>
        <v>8.4692000000000007</v>
      </c>
      <c r="O582" s="9">
        <f>8.4734 * CHOOSE(CONTROL!$C$32, $C$9, 100%, $E$9)</f>
        <v>8.4733999999999998</v>
      </c>
    </row>
    <row r="583" spans="1:15" ht="15.75" x14ac:dyDescent="0.25">
      <c r="A583" s="13">
        <v>58622</v>
      </c>
      <c r="B583" s="10">
        <f>9.8399 * CHOOSE(CONTROL!$C$32, $C$9, 100%, $E$9)</f>
        <v>9.8399000000000001</v>
      </c>
      <c r="C583" s="10">
        <f>9.8399 * CHOOSE(CONTROL!$C$32, $C$9, 100%, $E$9)</f>
        <v>9.8399000000000001</v>
      </c>
      <c r="D583" s="10">
        <f>9.8412 * CHOOSE(CONTROL!$C$32, $C$9, 100%, $E$9)</f>
        <v>9.8412000000000006</v>
      </c>
      <c r="E583" s="9">
        <f>8.4115 * CHOOSE(CONTROL!$C$32, $C$9, 100%, $E$9)</f>
        <v>8.4115000000000002</v>
      </c>
      <c r="F583" s="9">
        <f>8.4115 * CHOOSE(CONTROL!$C$32, $C$9, 100%, $E$9)</f>
        <v>8.4115000000000002</v>
      </c>
      <c r="G583" s="9">
        <f>8.4157 * CHOOSE(CONTROL!$C$32, $C$9, 100%, $E$9)</f>
        <v>8.4156999999999993</v>
      </c>
      <c r="H583" s="9">
        <f>18.8432 * CHOOSE(CONTROL!$C$32, $C$9, 100%, $E$9)</f>
        <v>18.8432</v>
      </c>
      <c r="I583" s="9">
        <f>18.8474 * CHOOSE(CONTROL!$C$32, $C$9, 100%, $E$9)</f>
        <v>18.8474</v>
      </c>
      <c r="J583" s="9">
        <f>18.8432 * CHOOSE(CONTROL!$C$32, $C$9, 100%, $E$9)</f>
        <v>18.8432</v>
      </c>
      <c r="K583" s="9">
        <f>18.8474 * CHOOSE(CONTROL!$C$32, $C$9, 100%, $E$9)</f>
        <v>18.8474</v>
      </c>
      <c r="L583" s="9">
        <f>8.4115 * CHOOSE(CONTROL!$C$32, $C$9, 100%, $E$9)</f>
        <v>8.4115000000000002</v>
      </c>
      <c r="M583" s="9">
        <f>8.4157 * CHOOSE(CONTROL!$C$32, $C$9, 100%, $E$9)</f>
        <v>8.4156999999999993</v>
      </c>
      <c r="N583" s="9">
        <f>8.4115 * CHOOSE(CONTROL!$C$32, $C$9, 100%, $E$9)</f>
        <v>8.4115000000000002</v>
      </c>
      <c r="O583" s="9">
        <f>8.4157 * CHOOSE(CONTROL!$C$32, $C$9, 100%, $E$9)</f>
        <v>8.4156999999999993</v>
      </c>
    </row>
    <row r="584" spans="1:15" ht="15.75" x14ac:dyDescent="0.25">
      <c r="A584" s="13">
        <v>58653</v>
      </c>
      <c r="B584" s="10">
        <f>9.9778 * CHOOSE(CONTROL!$C$32, $C$9, 100%, $E$9)</f>
        <v>9.9778000000000002</v>
      </c>
      <c r="C584" s="10">
        <f>9.9778 * CHOOSE(CONTROL!$C$32, $C$9, 100%, $E$9)</f>
        <v>9.9778000000000002</v>
      </c>
      <c r="D584" s="10">
        <f>9.9791 * CHOOSE(CONTROL!$C$32, $C$9, 100%, $E$9)</f>
        <v>9.9791000000000007</v>
      </c>
      <c r="E584" s="9">
        <f>8.5084 * CHOOSE(CONTROL!$C$32, $C$9, 100%, $E$9)</f>
        <v>8.5084</v>
      </c>
      <c r="F584" s="9">
        <f>8.5084 * CHOOSE(CONTROL!$C$32, $C$9, 100%, $E$9)</f>
        <v>8.5084</v>
      </c>
      <c r="G584" s="9">
        <f>8.5126 * CHOOSE(CONTROL!$C$32, $C$9, 100%, $E$9)</f>
        <v>8.5126000000000008</v>
      </c>
      <c r="H584" s="9">
        <f>18.8825 * CHOOSE(CONTROL!$C$32, $C$9, 100%, $E$9)</f>
        <v>18.8825</v>
      </c>
      <c r="I584" s="9">
        <f>18.8867 * CHOOSE(CONTROL!$C$32, $C$9, 100%, $E$9)</f>
        <v>18.886700000000001</v>
      </c>
      <c r="J584" s="9">
        <f>18.8825 * CHOOSE(CONTROL!$C$32, $C$9, 100%, $E$9)</f>
        <v>18.8825</v>
      </c>
      <c r="K584" s="9">
        <f>18.8867 * CHOOSE(CONTROL!$C$32, $C$9, 100%, $E$9)</f>
        <v>18.886700000000001</v>
      </c>
      <c r="L584" s="9">
        <f>8.5084 * CHOOSE(CONTROL!$C$32, $C$9, 100%, $E$9)</f>
        <v>8.5084</v>
      </c>
      <c r="M584" s="9">
        <f>8.5126 * CHOOSE(CONTROL!$C$32, $C$9, 100%, $E$9)</f>
        <v>8.5126000000000008</v>
      </c>
      <c r="N584" s="9">
        <f>8.5084 * CHOOSE(CONTROL!$C$32, $C$9, 100%, $E$9)</f>
        <v>8.5084</v>
      </c>
      <c r="O584" s="9">
        <f>8.5126 * CHOOSE(CONTROL!$C$32, $C$9, 100%, $E$9)</f>
        <v>8.5126000000000008</v>
      </c>
    </row>
    <row r="585" spans="1:15" ht="15.75" x14ac:dyDescent="0.25">
      <c r="A585" s="13">
        <v>58684</v>
      </c>
      <c r="B585" s="10">
        <f>9.9845 * CHOOSE(CONTROL!$C$32, $C$9, 100%, $E$9)</f>
        <v>9.9845000000000006</v>
      </c>
      <c r="C585" s="10">
        <f>9.9845 * CHOOSE(CONTROL!$C$32, $C$9, 100%, $E$9)</f>
        <v>9.9845000000000006</v>
      </c>
      <c r="D585" s="10">
        <f>9.9858 * CHOOSE(CONTROL!$C$32, $C$9, 100%, $E$9)</f>
        <v>9.9857999999999993</v>
      </c>
      <c r="E585" s="9">
        <f>8.3272 * CHOOSE(CONTROL!$C$32, $C$9, 100%, $E$9)</f>
        <v>8.3271999999999995</v>
      </c>
      <c r="F585" s="9">
        <f>8.3272 * CHOOSE(CONTROL!$C$32, $C$9, 100%, $E$9)</f>
        <v>8.3271999999999995</v>
      </c>
      <c r="G585" s="9">
        <f>8.3314 * CHOOSE(CONTROL!$C$32, $C$9, 100%, $E$9)</f>
        <v>8.3314000000000004</v>
      </c>
      <c r="H585" s="9">
        <f>18.9218 * CHOOSE(CONTROL!$C$32, $C$9, 100%, $E$9)</f>
        <v>18.921800000000001</v>
      </c>
      <c r="I585" s="9">
        <f>18.926 * CHOOSE(CONTROL!$C$32, $C$9, 100%, $E$9)</f>
        <v>18.925999999999998</v>
      </c>
      <c r="J585" s="9">
        <f>18.9218 * CHOOSE(CONTROL!$C$32, $C$9, 100%, $E$9)</f>
        <v>18.921800000000001</v>
      </c>
      <c r="K585" s="9">
        <f>18.926 * CHOOSE(CONTROL!$C$32, $C$9, 100%, $E$9)</f>
        <v>18.925999999999998</v>
      </c>
      <c r="L585" s="9">
        <f>8.3272 * CHOOSE(CONTROL!$C$32, $C$9, 100%, $E$9)</f>
        <v>8.3271999999999995</v>
      </c>
      <c r="M585" s="9">
        <f>8.3314 * CHOOSE(CONTROL!$C$32, $C$9, 100%, $E$9)</f>
        <v>8.3314000000000004</v>
      </c>
      <c r="N585" s="9">
        <f>8.3272 * CHOOSE(CONTROL!$C$32, $C$9, 100%, $E$9)</f>
        <v>8.3271999999999995</v>
      </c>
      <c r="O585" s="9">
        <f>8.3314 * CHOOSE(CONTROL!$C$32, $C$9, 100%, $E$9)</f>
        <v>8.3314000000000004</v>
      </c>
    </row>
    <row r="586" spans="1:15" ht="15.75" x14ac:dyDescent="0.25">
      <c r="A586" s="13">
        <v>58714</v>
      </c>
      <c r="B586" s="10">
        <f>9.9815 * CHOOSE(CONTROL!$C$32, $C$9, 100%, $E$9)</f>
        <v>9.9815000000000005</v>
      </c>
      <c r="C586" s="10">
        <f>9.9815 * CHOOSE(CONTROL!$C$32, $C$9, 100%, $E$9)</f>
        <v>9.9815000000000005</v>
      </c>
      <c r="D586" s="10">
        <f>9.9827 * CHOOSE(CONTROL!$C$32, $C$9, 100%, $E$9)</f>
        <v>9.9826999999999995</v>
      </c>
      <c r="E586" s="9">
        <f>8.3044 * CHOOSE(CONTROL!$C$32, $C$9, 100%, $E$9)</f>
        <v>8.3043999999999993</v>
      </c>
      <c r="F586" s="9">
        <f>8.3044 * CHOOSE(CONTROL!$C$32, $C$9, 100%, $E$9)</f>
        <v>8.3043999999999993</v>
      </c>
      <c r="G586" s="9">
        <f>8.3087 * CHOOSE(CONTROL!$C$32, $C$9, 100%, $E$9)</f>
        <v>8.3087</v>
      </c>
      <c r="H586" s="9">
        <f>18.9612 * CHOOSE(CONTROL!$C$32, $C$9, 100%, $E$9)</f>
        <v>18.961200000000002</v>
      </c>
      <c r="I586" s="9">
        <f>18.9654 * CHOOSE(CONTROL!$C$32, $C$9, 100%, $E$9)</f>
        <v>18.965399999999999</v>
      </c>
      <c r="J586" s="9">
        <f>18.9612 * CHOOSE(CONTROL!$C$32, $C$9, 100%, $E$9)</f>
        <v>18.961200000000002</v>
      </c>
      <c r="K586" s="9">
        <f>18.9654 * CHOOSE(CONTROL!$C$32, $C$9, 100%, $E$9)</f>
        <v>18.965399999999999</v>
      </c>
      <c r="L586" s="9">
        <f>8.3044 * CHOOSE(CONTROL!$C$32, $C$9, 100%, $E$9)</f>
        <v>8.3043999999999993</v>
      </c>
      <c r="M586" s="9">
        <f>8.3087 * CHOOSE(CONTROL!$C$32, $C$9, 100%, $E$9)</f>
        <v>8.3087</v>
      </c>
      <c r="N586" s="9">
        <f>8.3044 * CHOOSE(CONTROL!$C$32, $C$9, 100%, $E$9)</f>
        <v>8.3043999999999993</v>
      </c>
      <c r="O586" s="9">
        <f>8.3087 * CHOOSE(CONTROL!$C$32, $C$9, 100%, $E$9)</f>
        <v>8.3087</v>
      </c>
    </row>
    <row r="587" spans="1:15" ht="15.75" x14ac:dyDescent="0.25">
      <c r="A587" s="13">
        <v>58745</v>
      </c>
      <c r="B587" s="10">
        <f>10.0002 * CHOOSE(CONTROL!$C$32, $C$9, 100%, $E$9)</f>
        <v>10.0002</v>
      </c>
      <c r="C587" s="10">
        <f>10.0002 * CHOOSE(CONTROL!$C$32, $C$9, 100%, $E$9)</f>
        <v>10.0002</v>
      </c>
      <c r="D587" s="10">
        <f>10.0011 * CHOOSE(CONTROL!$C$32, $C$9, 100%, $E$9)</f>
        <v>10.001099999999999</v>
      </c>
      <c r="E587" s="9">
        <f>8.3736 * CHOOSE(CONTROL!$C$32, $C$9, 100%, $E$9)</f>
        <v>8.3735999999999997</v>
      </c>
      <c r="F587" s="9">
        <f>8.3736 * CHOOSE(CONTROL!$C$32, $C$9, 100%, $E$9)</f>
        <v>8.3735999999999997</v>
      </c>
      <c r="G587" s="9">
        <f>8.3769 * CHOOSE(CONTROL!$C$32, $C$9, 100%, $E$9)</f>
        <v>8.3768999999999991</v>
      </c>
      <c r="H587" s="9">
        <f>19.0007 * CHOOSE(CONTROL!$C$32, $C$9, 100%, $E$9)</f>
        <v>19.000699999999998</v>
      </c>
      <c r="I587" s="9">
        <f>19.004 * CHOOSE(CONTROL!$C$32, $C$9, 100%, $E$9)</f>
        <v>19.004000000000001</v>
      </c>
      <c r="J587" s="9">
        <f>19.0007 * CHOOSE(CONTROL!$C$32, $C$9, 100%, $E$9)</f>
        <v>19.000699999999998</v>
      </c>
      <c r="K587" s="9">
        <f>19.004 * CHOOSE(CONTROL!$C$32, $C$9, 100%, $E$9)</f>
        <v>19.004000000000001</v>
      </c>
      <c r="L587" s="9">
        <f>8.3736 * CHOOSE(CONTROL!$C$32, $C$9, 100%, $E$9)</f>
        <v>8.3735999999999997</v>
      </c>
      <c r="M587" s="9">
        <f>8.3769 * CHOOSE(CONTROL!$C$32, $C$9, 100%, $E$9)</f>
        <v>8.3768999999999991</v>
      </c>
      <c r="N587" s="9">
        <f>8.3736 * CHOOSE(CONTROL!$C$32, $C$9, 100%, $E$9)</f>
        <v>8.3735999999999997</v>
      </c>
      <c r="O587" s="9">
        <f>8.3769 * CHOOSE(CONTROL!$C$32, $C$9, 100%, $E$9)</f>
        <v>8.3768999999999991</v>
      </c>
    </row>
    <row r="588" spans="1:15" ht="15.75" x14ac:dyDescent="0.25">
      <c r="A588" s="13">
        <v>58775</v>
      </c>
      <c r="B588" s="10">
        <f>10.0032 * CHOOSE(CONTROL!$C$32, $C$9, 100%, $E$9)</f>
        <v>10.0032</v>
      </c>
      <c r="C588" s="10">
        <f>10.0032 * CHOOSE(CONTROL!$C$32, $C$9, 100%, $E$9)</f>
        <v>10.0032</v>
      </c>
      <c r="D588" s="10">
        <f>10.0042 * CHOOSE(CONTROL!$C$32, $C$9, 100%, $E$9)</f>
        <v>10.004200000000001</v>
      </c>
      <c r="E588" s="9">
        <f>8.4171 * CHOOSE(CONTROL!$C$32, $C$9, 100%, $E$9)</f>
        <v>8.4170999999999996</v>
      </c>
      <c r="F588" s="9">
        <f>8.4171 * CHOOSE(CONTROL!$C$32, $C$9, 100%, $E$9)</f>
        <v>8.4170999999999996</v>
      </c>
      <c r="G588" s="9">
        <f>8.4203 * CHOOSE(CONTROL!$C$32, $C$9, 100%, $E$9)</f>
        <v>8.4202999999999992</v>
      </c>
      <c r="H588" s="9">
        <f>19.0403 * CHOOSE(CONTROL!$C$32, $C$9, 100%, $E$9)</f>
        <v>19.040299999999998</v>
      </c>
      <c r="I588" s="9">
        <f>19.0436 * CHOOSE(CONTROL!$C$32, $C$9, 100%, $E$9)</f>
        <v>19.043600000000001</v>
      </c>
      <c r="J588" s="9">
        <f>19.0403 * CHOOSE(CONTROL!$C$32, $C$9, 100%, $E$9)</f>
        <v>19.040299999999998</v>
      </c>
      <c r="K588" s="9">
        <f>19.0436 * CHOOSE(CONTROL!$C$32, $C$9, 100%, $E$9)</f>
        <v>19.043600000000001</v>
      </c>
      <c r="L588" s="9">
        <f>8.4171 * CHOOSE(CONTROL!$C$32, $C$9, 100%, $E$9)</f>
        <v>8.4170999999999996</v>
      </c>
      <c r="M588" s="9">
        <f>8.4203 * CHOOSE(CONTROL!$C$32, $C$9, 100%, $E$9)</f>
        <v>8.4202999999999992</v>
      </c>
      <c r="N588" s="9">
        <f>8.4171 * CHOOSE(CONTROL!$C$32, $C$9, 100%, $E$9)</f>
        <v>8.4170999999999996</v>
      </c>
      <c r="O588" s="9">
        <f>8.4203 * CHOOSE(CONTROL!$C$32, $C$9, 100%, $E$9)</f>
        <v>8.4202999999999992</v>
      </c>
    </row>
    <row r="589" spans="1:15" ht="15.75" x14ac:dyDescent="0.25">
      <c r="A589" s="13">
        <v>58806</v>
      </c>
      <c r="B589" s="10">
        <f>10.0032 * CHOOSE(CONTROL!$C$32, $C$9, 100%, $E$9)</f>
        <v>10.0032</v>
      </c>
      <c r="C589" s="10">
        <f>10.0032 * CHOOSE(CONTROL!$C$32, $C$9, 100%, $E$9)</f>
        <v>10.0032</v>
      </c>
      <c r="D589" s="10">
        <f>10.0042 * CHOOSE(CONTROL!$C$32, $C$9, 100%, $E$9)</f>
        <v>10.004200000000001</v>
      </c>
      <c r="E589" s="9">
        <f>8.3138 * CHOOSE(CONTROL!$C$32, $C$9, 100%, $E$9)</f>
        <v>8.3138000000000005</v>
      </c>
      <c r="F589" s="9">
        <f>8.3138 * CHOOSE(CONTROL!$C$32, $C$9, 100%, $E$9)</f>
        <v>8.3138000000000005</v>
      </c>
      <c r="G589" s="9">
        <f>8.317 * CHOOSE(CONTROL!$C$32, $C$9, 100%, $E$9)</f>
        <v>8.3170000000000002</v>
      </c>
      <c r="H589" s="9">
        <f>19.08 * CHOOSE(CONTROL!$C$32, $C$9, 100%, $E$9)</f>
        <v>19.079999999999998</v>
      </c>
      <c r="I589" s="9">
        <f>19.0832 * CHOOSE(CONTROL!$C$32, $C$9, 100%, $E$9)</f>
        <v>19.083200000000001</v>
      </c>
      <c r="J589" s="9">
        <f>19.08 * CHOOSE(CONTROL!$C$32, $C$9, 100%, $E$9)</f>
        <v>19.079999999999998</v>
      </c>
      <c r="K589" s="9">
        <f>19.0832 * CHOOSE(CONTROL!$C$32, $C$9, 100%, $E$9)</f>
        <v>19.083200000000001</v>
      </c>
      <c r="L589" s="9">
        <f>8.3138 * CHOOSE(CONTROL!$C$32, $C$9, 100%, $E$9)</f>
        <v>8.3138000000000005</v>
      </c>
      <c r="M589" s="9">
        <f>8.317 * CHOOSE(CONTROL!$C$32, $C$9, 100%, $E$9)</f>
        <v>8.3170000000000002</v>
      </c>
      <c r="N589" s="9">
        <f>8.3138 * CHOOSE(CONTROL!$C$32, $C$9, 100%, $E$9)</f>
        <v>8.3138000000000005</v>
      </c>
      <c r="O589" s="9">
        <f>8.317 * CHOOSE(CONTROL!$C$32, $C$9, 100%, $E$9)</f>
        <v>8.3170000000000002</v>
      </c>
    </row>
    <row r="590" spans="1:15" ht="15.75" x14ac:dyDescent="0.25">
      <c r="A590" s="13">
        <v>58837</v>
      </c>
      <c r="B590" s="10">
        <f>10.0852 * CHOOSE(CONTROL!$C$32, $C$9, 100%, $E$9)</f>
        <v>10.0852</v>
      </c>
      <c r="C590" s="10">
        <f>10.0852 * CHOOSE(CONTROL!$C$32, $C$9, 100%, $E$9)</f>
        <v>10.0852</v>
      </c>
      <c r="D590" s="10">
        <f>10.0861 * CHOOSE(CONTROL!$C$32, $C$9, 100%, $E$9)</f>
        <v>10.0861</v>
      </c>
      <c r="E590" s="9">
        <f>8.4474 * CHOOSE(CONTROL!$C$32, $C$9, 100%, $E$9)</f>
        <v>8.4474</v>
      </c>
      <c r="F590" s="9">
        <f>8.4474 * CHOOSE(CONTROL!$C$32, $C$9, 100%, $E$9)</f>
        <v>8.4474</v>
      </c>
      <c r="G590" s="9">
        <f>8.4507 * CHOOSE(CONTROL!$C$32, $C$9, 100%, $E$9)</f>
        <v>8.4506999999999994</v>
      </c>
      <c r="H590" s="9">
        <f>19.1197 * CHOOSE(CONTROL!$C$32, $C$9, 100%, $E$9)</f>
        <v>19.119700000000002</v>
      </c>
      <c r="I590" s="9">
        <f>19.123 * CHOOSE(CONTROL!$C$32, $C$9, 100%, $E$9)</f>
        <v>19.123000000000001</v>
      </c>
      <c r="J590" s="9">
        <f>19.1197 * CHOOSE(CONTROL!$C$32, $C$9, 100%, $E$9)</f>
        <v>19.119700000000002</v>
      </c>
      <c r="K590" s="9">
        <f>19.123 * CHOOSE(CONTROL!$C$32, $C$9, 100%, $E$9)</f>
        <v>19.123000000000001</v>
      </c>
      <c r="L590" s="9">
        <f>8.4474 * CHOOSE(CONTROL!$C$32, $C$9, 100%, $E$9)</f>
        <v>8.4474</v>
      </c>
      <c r="M590" s="9">
        <f>8.4507 * CHOOSE(CONTROL!$C$32, $C$9, 100%, $E$9)</f>
        <v>8.4506999999999994</v>
      </c>
      <c r="N590" s="9">
        <f>8.4474 * CHOOSE(CONTROL!$C$32, $C$9, 100%, $E$9)</f>
        <v>8.4474</v>
      </c>
      <c r="O590" s="9">
        <f>8.4507 * CHOOSE(CONTROL!$C$32, $C$9, 100%, $E$9)</f>
        <v>8.4506999999999994</v>
      </c>
    </row>
    <row r="591" spans="1:15" ht="15.75" x14ac:dyDescent="0.25">
      <c r="A591" s="13">
        <v>58865</v>
      </c>
      <c r="B591" s="10">
        <f>10.0821 * CHOOSE(CONTROL!$C$32, $C$9, 100%, $E$9)</f>
        <v>10.082100000000001</v>
      </c>
      <c r="C591" s="10">
        <f>10.0821 * CHOOSE(CONTROL!$C$32, $C$9, 100%, $E$9)</f>
        <v>10.082100000000001</v>
      </c>
      <c r="D591" s="10">
        <f>10.0831 * CHOOSE(CONTROL!$C$32, $C$9, 100%, $E$9)</f>
        <v>10.0831</v>
      </c>
      <c r="E591" s="9">
        <f>8.2443 * CHOOSE(CONTROL!$C$32, $C$9, 100%, $E$9)</f>
        <v>8.2443000000000008</v>
      </c>
      <c r="F591" s="9">
        <f>8.2443 * CHOOSE(CONTROL!$C$32, $C$9, 100%, $E$9)</f>
        <v>8.2443000000000008</v>
      </c>
      <c r="G591" s="9">
        <f>8.2476 * CHOOSE(CONTROL!$C$32, $C$9, 100%, $E$9)</f>
        <v>8.2476000000000003</v>
      </c>
      <c r="H591" s="9">
        <f>19.1596 * CHOOSE(CONTROL!$C$32, $C$9, 100%, $E$9)</f>
        <v>19.159600000000001</v>
      </c>
      <c r="I591" s="9">
        <f>19.1628 * CHOOSE(CONTROL!$C$32, $C$9, 100%, $E$9)</f>
        <v>19.162800000000001</v>
      </c>
      <c r="J591" s="9">
        <f>19.1596 * CHOOSE(CONTROL!$C$32, $C$9, 100%, $E$9)</f>
        <v>19.159600000000001</v>
      </c>
      <c r="K591" s="9">
        <f>19.1628 * CHOOSE(CONTROL!$C$32, $C$9, 100%, $E$9)</f>
        <v>19.162800000000001</v>
      </c>
      <c r="L591" s="9">
        <f>8.2443 * CHOOSE(CONTROL!$C$32, $C$9, 100%, $E$9)</f>
        <v>8.2443000000000008</v>
      </c>
      <c r="M591" s="9">
        <f>8.2476 * CHOOSE(CONTROL!$C$32, $C$9, 100%, $E$9)</f>
        <v>8.2476000000000003</v>
      </c>
      <c r="N591" s="9">
        <f>8.2443 * CHOOSE(CONTROL!$C$32, $C$9, 100%, $E$9)</f>
        <v>8.2443000000000008</v>
      </c>
      <c r="O591" s="9">
        <f>8.2476 * CHOOSE(CONTROL!$C$32, $C$9, 100%, $E$9)</f>
        <v>8.2476000000000003</v>
      </c>
    </row>
    <row r="592" spans="1:15" ht="15.75" x14ac:dyDescent="0.25">
      <c r="A592" s="13">
        <v>58893</v>
      </c>
      <c r="B592" s="10">
        <f>10.0791 * CHOOSE(CONTROL!$C$32, $C$9, 100%, $E$9)</f>
        <v>10.0791</v>
      </c>
      <c r="C592" s="10">
        <f>10.0791 * CHOOSE(CONTROL!$C$32, $C$9, 100%, $E$9)</f>
        <v>10.0791</v>
      </c>
      <c r="D592" s="10">
        <f>10.0801 * CHOOSE(CONTROL!$C$32, $C$9, 100%, $E$9)</f>
        <v>10.0801</v>
      </c>
      <c r="E592" s="9">
        <f>8.4007 * CHOOSE(CONTROL!$C$32, $C$9, 100%, $E$9)</f>
        <v>8.4007000000000005</v>
      </c>
      <c r="F592" s="9">
        <f>8.4007 * CHOOSE(CONTROL!$C$32, $C$9, 100%, $E$9)</f>
        <v>8.4007000000000005</v>
      </c>
      <c r="G592" s="9">
        <f>8.4039 * CHOOSE(CONTROL!$C$32, $C$9, 100%, $E$9)</f>
        <v>8.4039000000000001</v>
      </c>
      <c r="H592" s="9">
        <f>19.1995 * CHOOSE(CONTROL!$C$32, $C$9, 100%, $E$9)</f>
        <v>19.1995</v>
      </c>
      <c r="I592" s="9">
        <f>19.2027 * CHOOSE(CONTROL!$C$32, $C$9, 100%, $E$9)</f>
        <v>19.2027</v>
      </c>
      <c r="J592" s="9">
        <f>19.1995 * CHOOSE(CONTROL!$C$32, $C$9, 100%, $E$9)</f>
        <v>19.1995</v>
      </c>
      <c r="K592" s="9">
        <f>19.2027 * CHOOSE(CONTROL!$C$32, $C$9, 100%, $E$9)</f>
        <v>19.2027</v>
      </c>
      <c r="L592" s="9">
        <f>8.4007 * CHOOSE(CONTROL!$C$32, $C$9, 100%, $E$9)</f>
        <v>8.4007000000000005</v>
      </c>
      <c r="M592" s="9">
        <f>8.4039 * CHOOSE(CONTROL!$C$32, $C$9, 100%, $E$9)</f>
        <v>8.4039000000000001</v>
      </c>
      <c r="N592" s="9">
        <f>8.4007 * CHOOSE(CONTROL!$C$32, $C$9, 100%, $E$9)</f>
        <v>8.4007000000000005</v>
      </c>
      <c r="O592" s="9">
        <f>8.4039 * CHOOSE(CONTROL!$C$32, $C$9, 100%, $E$9)</f>
        <v>8.4039000000000001</v>
      </c>
    </row>
    <row r="593" spans="1:15" ht="15.75" x14ac:dyDescent="0.25">
      <c r="A593" s="13">
        <v>58926</v>
      </c>
      <c r="B593" s="10">
        <f>10.083 * CHOOSE(CONTROL!$C$32, $C$9, 100%, $E$9)</f>
        <v>10.083</v>
      </c>
      <c r="C593" s="10">
        <f>10.083 * CHOOSE(CONTROL!$C$32, $C$9, 100%, $E$9)</f>
        <v>10.083</v>
      </c>
      <c r="D593" s="10">
        <f>10.0839 * CHOOSE(CONTROL!$C$32, $C$9, 100%, $E$9)</f>
        <v>10.0839</v>
      </c>
      <c r="E593" s="9">
        <f>8.5666 * CHOOSE(CONTROL!$C$32, $C$9, 100%, $E$9)</f>
        <v>8.5665999999999993</v>
      </c>
      <c r="F593" s="9">
        <f>8.5666 * CHOOSE(CONTROL!$C$32, $C$9, 100%, $E$9)</f>
        <v>8.5665999999999993</v>
      </c>
      <c r="G593" s="9">
        <f>8.5698 * CHOOSE(CONTROL!$C$32, $C$9, 100%, $E$9)</f>
        <v>8.5698000000000008</v>
      </c>
      <c r="H593" s="9">
        <f>19.2395 * CHOOSE(CONTROL!$C$32, $C$9, 100%, $E$9)</f>
        <v>19.2395</v>
      </c>
      <c r="I593" s="9">
        <f>19.2427 * CHOOSE(CONTROL!$C$32, $C$9, 100%, $E$9)</f>
        <v>19.242699999999999</v>
      </c>
      <c r="J593" s="9">
        <f>19.2395 * CHOOSE(CONTROL!$C$32, $C$9, 100%, $E$9)</f>
        <v>19.2395</v>
      </c>
      <c r="K593" s="9">
        <f>19.2427 * CHOOSE(CONTROL!$C$32, $C$9, 100%, $E$9)</f>
        <v>19.242699999999999</v>
      </c>
      <c r="L593" s="9">
        <f>8.5666 * CHOOSE(CONTROL!$C$32, $C$9, 100%, $E$9)</f>
        <v>8.5665999999999993</v>
      </c>
      <c r="M593" s="9">
        <f>8.5698 * CHOOSE(CONTROL!$C$32, $C$9, 100%, $E$9)</f>
        <v>8.5698000000000008</v>
      </c>
      <c r="N593" s="9">
        <f>8.5666 * CHOOSE(CONTROL!$C$32, $C$9, 100%, $E$9)</f>
        <v>8.5665999999999993</v>
      </c>
      <c r="O593" s="9">
        <f>8.5698 * CHOOSE(CONTROL!$C$32, $C$9, 100%, $E$9)</f>
        <v>8.5698000000000008</v>
      </c>
    </row>
    <row r="594" spans="1:15" ht="15.75" x14ac:dyDescent="0.25">
      <c r="A594" s="13">
        <v>58957</v>
      </c>
      <c r="B594" s="10">
        <f>10.083 * CHOOSE(CONTROL!$C$32, $C$9, 100%, $E$9)</f>
        <v>10.083</v>
      </c>
      <c r="C594" s="10">
        <f>10.083 * CHOOSE(CONTROL!$C$32, $C$9, 100%, $E$9)</f>
        <v>10.083</v>
      </c>
      <c r="D594" s="10">
        <f>10.0842 * CHOOSE(CONTROL!$C$32, $C$9, 100%, $E$9)</f>
        <v>10.084199999999999</v>
      </c>
      <c r="E594" s="9">
        <f>8.6304 * CHOOSE(CONTROL!$C$32, $C$9, 100%, $E$9)</f>
        <v>8.6303999999999998</v>
      </c>
      <c r="F594" s="9">
        <f>8.6304 * CHOOSE(CONTROL!$C$32, $C$9, 100%, $E$9)</f>
        <v>8.6303999999999998</v>
      </c>
      <c r="G594" s="9">
        <f>8.6346 * CHOOSE(CONTROL!$C$32, $C$9, 100%, $E$9)</f>
        <v>8.6346000000000007</v>
      </c>
      <c r="H594" s="9">
        <f>19.2796 * CHOOSE(CONTROL!$C$32, $C$9, 100%, $E$9)</f>
        <v>19.279599999999999</v>
      </c>
      <c r="I594" s="9">
        <f>19.2838 * CHOOSE(CONTROL!$C$32, $C$9, 100%, $E$9)</f>
        <v>19.283799999999999</v>
      </c>
      <c r="J594" s="9">
        <f>19.2796 * CHOOSE(CONTROL!$C$32, $C$9, 100%, $E$9)</f>
        <v>19.279599999999999</v>
      </c>
      <c r="K594" s="9">
        <f>19.2838 * CHOOSE(CONTROL!$C$32, $C$9, 100%, $E$9)</f>
        <v>19.283799999999999</v>
      </c>
      <c r="L594" s="9">
        <f>8.6304 * CHOOSE(CONTROL!$C$32, $C$9, 100%, $E$9)</f>
        <v>8.6303999999999998</v>
      </c>
      <c r="M594" s="9">
        <f>8.6346 * CHOOSE(CONTROL!$C$32, $C$9, 100%, $E$9)</f>
        <v>8.6346000000000007</v>
      </c>
      <c r="N594" s="9">
        <f>8.6304 * CHOOSE(CONTROL!$C$32, $C$9, 100%, $E$9)</f>
        <v>8.6303999999999998</v>
      </c>
      <c r="O594" s="9">
        <f>8.6346 * CHOOSE(CONTROL!$C$32, $C$9, 100%, $E$9)</f>
        <v>8.6346000000000007</v>
      </c>
    </row>
    <row r="595" spans="1:15" ht="15.75" x14ac:dyDescent="0.25">
      <c r="A595" s="13">
        <v>58987</v>
      </c>
      <c r="B595" s="10">
        <f>10.0891 * CHOOSE(CONTROL!$C$32, $C$9, 100%, $E$9)</f>
        <v>10.0891</v>
      </c>
      <c r="C595" s="10">
        <f>10.0891 * CHOOSE(CONTROL!$C$32, $C$9, 100%, $E$9)</f>
        <v>10.0891</v>
      </c>
      <c r="D595" s="10">
        <f>10.0903 * CHOOSE(CONTROL!$C$32, $C$9, 100%, $E$9)</f>
        <v>10.090299999999999</v>
      </c>
      <c r="E595" s="9">
        <f>8.5708 * CHOOSE(CONTROL!$C$32, $C$9, 100%, $E$9)</f>
        <v>8.5708000000000002</v>
      </c>
      <c r="F595" s="9">
        <f>8.5708 * CHOOSE(CONTROL!$C$32, $C$9, 100%, $E$9)</f>
        <v>8.5708000000000002</v>
      </c>
      <c r="G595" s="9">
        <f>8.575 * CHOOSE(CONTROL!$C$32, $C$9, 100%, $E$9)</f>
        <v>8.5749999999999993</v>
      </c>
      <c r="H595" s="9">
        <f>19.3197 * CHOOSE(CONTROL!$C$32, $C$9, 100%, $E$9)</f>
        <v>19.319700000000001</v>
      </c>
      <c r="I595" s="9">
        <f>19.3239 * CHOOSE(CONTROL!$C$32, $C$9, 100%, $E$9)</f>
        <v>19.323899999999998</v>
      </c>
      <c r="J595" s="9">
        <f>19.3197 * CHOOSE(CONTROL!$C$32, $C$9, 100%, $E$9)</f>
        <v>19.319700000000001</v>
      </c>
      <c r="K595" s="9">
        <f>19.3239 * CHOOSE(CONTROL!$C$32, $C$9, 100%, $E$9)</f>
        <v>19.323899999999998</v>
      </c>
      <c r="L595" s="9">
        <f>8.5708 * CHOOSE(CONTROL!$C$32, $C$9, 100%, $E$9)</f>
        <v>8.5708000000000002</v>
      </c>
      <c r="M595" s="9">
        <f>8.575 * CHOOSE(CONTROL!$C$32, $C$9, 100%, $E$9)</f>
        <v>8.5749999999999993</v>
      </c>
      <c r="N595" s="9">
        <f>8.5708 * CHOOSE(CONTROL!$C$32, $C$9, 100%, $E$9)</f>
        <v>8.5708000000000002</v>
      </c>
      <c r="O595" s="9">
        <f>8.575 * CHOOSE(CONTROL!$C$32, $C$9, 100%, $E$9)</f>
        <v>8.5749999999999993</v>
      </c>
    </row>
    <row r="596" spans="1:15" ht="15.75" x14ac:dyDescent="0.25">
      <c r="A596" s="13">
        <v>59018</v>
      </c>
      <c r="B596" s="10">
        <f>10.2301 * CHOOSE(CONTROL!$C$32, $C$9, 100%, $E$9)</f>
        <v>10.2301</v>
      </c>
      <c r="C596" s="10">
        <f>10.2301 * CHOOSE(CONTROL!$C$32, $C$9, 100%, $E$9)</f>
        <v>10.2301</v>
      </c>
      <c r="D596" s="10">
        <f>10.2313 * CHOOSE(CONTROL!$C$32, $C$9, 100%, $E$9)</f>
        <v>10.231299999999999</v>
      </c>
      <c r="E596" s="9">
        <f>8.6694 * CHOOSE(CONTROL!$C$32, $C$9, 100%, $E$9)</f>
        <v>8.6693999999999996</v>
      </c>
      <c r="F596" s="9">
        <f>8.6694 * CHOOSE(CONTROL!$C$32, $C$9, 100%, $E$9)</f>
        <v>8.6693999999999996</v>
      </c>
      <c r="G596" s="9">
        <f>8.6736 * CHOOSE(CONTROL!$C$32, $C$9, 100%, $E$9)</f>
        <v>8.6736000000000004</v>
      </c>
      <c r="H596" s="9">
        <f>19.36 * CHOOSE(CONTROL!$C$32, $C$9, 100%, $E$9)</f>
        <v>19.36</v>
      </c>
      <c r="I596" s="9">
        <f>19.3642 * CHOOSE(CONTROL!$C$32, $C$9, 100%, $E$9)</f>
        <v>19.3642</v>
      </c>
      <c r="J596" s="9">
        <f>19.36 * CHOOSE(CONTROL!$C$32, $C$9, 100%, $E$9)</f>
        <v>19.36</v>
      </c>
      <c r="K596" s="9">
        <f>19.3642 * CHOOSE(CONTROL!$C$32, $C$9, 100%, $E$9)</f>
        <v>19.3642</v>
      </c>
      <c r="L596" s="9">
        <f>8.6694 * CHOOSE(CONTROL!$C$32, $C$9, 100%, $E$9)</f>
        <v>8.6693999999999996</v>
      </c>
      <c r="M596" s="9">
        <f>8.6736 * CHOOSE(CONTROL!$C$32, $C$9, 100%, $E$9)</f>
        <v>8.6736000000000004</v>
      </c>
      <c r="N596" s="9">
        <f>8.6694 * CHOOSE(CONTROL!$C$32, $C$9, 100%, $E$9)</f>
        <v>8.6693999999999996</v>
      </c>
      <c r="O596" s="9">
        <f>8.6736 * CHOOSE(CONTROL!$C$32, $C$9, 100%, $E$9)</f>
        <v>8.6736000000000004</v>
      </c>
    </row>
    <row r="597" spans="1:15" ht="15.75" x14ac:dyDescent="0.25">
      <c r="A597" s="13">
        <v>59049</v>
      </c>
      <c r="B597" s="10">
        <f>10.2368 * CHOOSE(CONTROL!$C$32, $C$9, 100%, $E$9)</f>
        <v>10.236800000000001</v>
      </c>
      <c r="C597" s="10">
        <f>10.2368 * CHOOSE(CONTROL!$C$32, $C$9, 100%, $E$9)</f>
        <v>10.236800000000001</v>
      </c>
      <c r="D597" s="10">
        <f>10.238 * CHOOSE(CONTROL!$C$32, $C$9, 100%, $E$9)</f>
        <v>10.238</v>
      </c>
      <c r="E597" s="9">
        <f>8.4826 * CHOOSE(CONTROL!$C$32, $C$9, 100%, $E$9)</f>
        <v>8.4825999999999997</v>
      </c>
      <c r="F597" s="9">
        <f>8.4826 * CHOOSE(CONTROL!$C$32, $C$9, 100%, $E$9)</f>
        <v>8.4825999999999997</v>
      </c>
      <c r="G597" s="9">
        <f>8.4868 * CHOOSE(CONTROL!$C$32, $C$9, 100%, $E$9)</f>
        <v>8.4868000000000006</v>
      </c>
      <c r="H597" s="9">
        <f>19.4003 * CHOOSE(CONTROL!$C$32, $C$9, 100%, $E$9)</f>
        <v>19.400300000000001</v>
      </c>
      <c r="I597" s="9">
        <f>19.4045 * CHOOSE(CONTROL!$C$32, $C$9, 100%, $E$9)</f>
        <v>19.404499999999999</v>
      </c>
      <c r="J597" s="9">
        <f>19.4003 * CHOOSE(CONTROL!$C$32, $C$9, 100%, $E$9)</f>
        <v>19.400300000000001</v>
      </c>
      <c r="K597" s="9">
        <f>19.4045 * CHOOSE(CONTROL!$C$32, $C$9, 100%, $E$9)</f>
        <v>19.404499999999999</v>
      </c>
      <c r="L597" s="9">
        <f>8.4826 * CHOOSE(CONTROL!$C$32, $C$9, 100%, $E$9)</f>
        <v>8.4825999999999997</v>
      </c>
      <c r="M597" s="9">
        <f>8.4868 * CHOOSE(CONTROL!$C$32, $C$9, 100%, $E$9)</f>
        <v>8.4868000000000006</v>
      </c>
      <c r="N597" s="9">
        <f>8.4826 * CHOOSE(CONTROL!$C$32, $C$9, 100%, $E$9)</f>
        <v>8.4825999999999997</v>
      </c>
      <c r="O597" s="9">
        <f>8.4868 * CHOOSE(CONTROL!$C$32, $C$9, 100%, $E$9)</f>
        <v>8.4868000000000006</v>
      </c>
    </row>
    <row r="598" spans="1:15" ht="15.75" x14ac:dyDescent="0.25">
      <c r="A598" s="13">
        <v>59079</v>
      </c>
      <c r="B598" s="10">
        <f>10.2337 * CHOOSE(CONTROL!$C$32, $C$9, 100%, $E$9)</f>
        <v>10.233700000000001</v>
      </c>
      <c r="C598" s="10">
        <f>10.2337 * CHOOSE(CONTROL!$C$32, $C$9, 100%, $E$9)</f>
        <v>10.233700000000001</v>
      </c>
      <c r="D598" s="10">
        <f>10.235 * CHOOSE(CONTROL!$C$32, $C$9, 100%, $E$9)</f>
        <v>10.234999999999999</v>
      </c>
      <c r="E598" s="9">
        <f>8.4593 * CHOOSE(CONTROL!$C$32, $C$9, 100%, $E$9)</f>
        <v>8.4593000000000007</v>
      </c>
      <c r="F598" s="9">
        <f>8.4593 * CHOOSE(CONTROL!$C$32, $C$9, 100%, $E$9)</f>
        <v>8.4593000000000007</v>
      </c>
      <c r="G598" s="9">
        <f>8.4635 * CHOOSE(CONTROL!$C$32, $C$9, 100%, $E$9)</f>
        <v>8.4634999999999998</v>
      </c>
      <c r="H598" s="9">
        <f>19.4407 * CHOOSE(CONTROL!$C$32, $C$9, 100%, $E$9)</f>
        <v>19.4407</v>
      </c>
      <c r="I598" s="9">
        <f>19.4449 * CHOOSE(CONTROL!$C$32, $C$9, 100%, $E$9)</f>
        <v>19.444900000000001</v>
      </c>
      <c r="J598" s="9">
        <f>19.4407 * CHOOSE(CONTROL!$C$32, $C$9, 100%, $E$9)</f>
        <v>19.4407</v>
      </c>
      <c r="K598" s="9">
        <f>19.4449 * CHOOSE(CONTROL!$C$32, $C$9, 100%, $E$9)</f>
        <v>19.444900000000001</v>
      </c>
      <c r="L598" s="9">
        <f>8.4593 * CHOOSE(CONTROL!$C$32, $C$9, 100%, $E$9)</f>
        <v>8.4593000000000007</v>
      </c>
      <c r="M598" s="9">
        <f>8.4635 * CHOOSE(CONTROL!$C$32, $C$9, 100%, $E$9)</f>
        <v>8.4634999999999998</v>
      </c>
      <c r="N598" s="9">
        <f>8.4593 * CHOOSE(CONTROL!$C$32, $C$9, 100%, $E$9)</f>
        <v>8.4593000000000007</v>
      </c>
      <c r="O598" s="9">
        <f>8.4635 * CHOOSE(CONTROL!$C$32, $C$9, 100%, $E$9)</f>
        <v>8.4634999999999998</v>
      </c>
    </row>
    <row r="599" spans="1:15" ht="15.75" x14ac:dyDescent="0.25">
      <c r="A599" s="13">
        <v>59110</v>
      </c>
      <c r="B599" s="10">
        <f>10.2534 * CHOOSE(CONTROL!$C$32, $C$9, 100%, $E$9)</f>
        <v>10.253399999999999</v>
      </c>
      <c r="C599" s="10">
        <f>10.2534 * CHOOSE(CONTROL!$C$32, $C$9, 100%, $E$9)</f>
        <v>10.253399999999999</v>
      </c>
      <c r="D599" s="10">
        <f>10.2544 * CHOOSE(CONTROL!$C$32, $C$9, 100%, $E$9)</f>
        <v>10.2544</v>
      </c>
      <c r="E599" s="9">
        <f>8.5309 * CHOOSE(CONTROL!$C$32, $C$9, 100%, $E$9)</f>
        <v>8.5309000000000008</v>
      </c>
      <c r="F599" s="9">
        <f>8.5309 * CHOOSE(CONTROL!$C$32, $C$9, 100%, $E$9)</f>
        <v>8.5309000000000008</v>
      </c>
      <c r="G599" s="9">
        <f>8.5342 * CHOOSE(CONTROL!$C$32, $C$9, 100%, $E$9)</f>
        <v>8.5342000000000002</v>
      </c>
      <c r="H599" s="9">
        <f>19.4812 * CHOOSE(CONTROL!$C$32, $C$9, 100%, $E$9)</f>
        <v>19.481200000000001</v>
      </c>
      <c r="I599" s="9">
        <f>19.4845 * CHOOSE(CONTROL!$C$32, $C$9, 100%, $E$9)</f>
        <v>19.484500000000001</v>
      </c>
      <c r="J599" s="9">
        <f>19.4812 * CHOOSE(CONTROL!$C$32, $C$9, 100%, $E$9)</f>
        <v>19.481200000000001</v>
      </c>
      <c r="K599" s="9">
        <f>19.4845 * CHOOSE(CONTROL!$C$32, $C$9, 100%, $E$9)</f>
        <v>19.484500000000001</v>
      </c>
      <c r="L599" s="9">
        <f>8.5309 * CHOOSE(CONTROL!$C$32, $C$9, 100%, $E$9)</f>
        <v>8.5309000000000008</v>
      </c>
      <c r="M599" s="9">
        <f>8.5342 * CHOOSE(CONTROL!$C$32, $C$9, 100%, $E$9)</f>
        <v>8.5342000000000002</v>
      </c>
      <c r="N599" s="9">
        <f>8.5309 * CHOOSE(CONTROL!$C$32, $C$9, 100%, $E$9)</f>
        <v>8.5309000000000008</v>
      </c>
      <c r="O599" s="9">
        <f>8.5342 * CHOOSE(CONTROL!$C$32, $C$9, 100%, $E$9)</f>
        <v>8.5342000000000002</v>
      </c>
    </row>
    <row r="600" spans="1:15" ht="15.75" x14ac:dyDescent="0.25">
      <c r="A600" s="13">
        <v>59140</v>
      </c>
      <c r="B600" s="10">
        <f>10.2564 * CHOOSE(CONTROL!$C$32, $C$9, 100%, $E$9)</f>
        <v>10.256399999999999</v>
      </c>
      <c r="C600" s="10">
        <f>10.2564 * CHOOSE(CONTROL!$C$32, $C$9, 100%, $E$9)</f>
        <v>10.256399999999999</v>
      </c>
      <c r="D600" s="10">
        <f>10.2574 * CHOOSE(CONTROL!$C$32, $C$9, 100%, $E$9)</f>
        <v>10.257400000000001</v>
      </c>
      <c r="E600" s="9">
        <f>8.5756 * CHOOSE(CONTROL!$C$32, $C$9, 100%, $E$9)</f>
        <v>8.5755999999999997</v>
      </c>
      <c r="F600" s="9">
        <f>8.5756 * CHOOSE(CONTROL!$C$32, $C$9, 100%, $E$9)</f>
        <v>8.5755999999999997</v>
      </c>
      <c r="G600" s="9">
        <f>8.5788 * CHOOSE(CONTROL!$C$32, $C$9, 100%, $E$9)</f>
        <v>8.5787999999999993</v>
      </c>
      <c r="H600" s="9">
        <f>19.5218 * CHOOSE(CONTROL!$C$32, $C$9, 100%, $E$9)</f>
        <v>19.521799999999999</v>
      </c>
      <c r="I600" s="9">
        <f>19.5251 * CHOOSE(CONTROL!$C$32, $C$9, 100%, $E$9)</f>
        <v>19.525099999999998</v>
      </c>
      <c r="J600" s="9">
        <f>19.5218 * CHOOSE(CONTROL!$C$32, $C$9, 100%, $E$9)</f>
        <v>19.521799999999999</v>
      </c>
      <c r="K600" s="9">
        <f>19.5251 * CHOOSE(CONTROL!$C$32, $C$9, 100%, $E$9)</f>
        <v>19.525099999999998</v>
      </c>
      <c r="L600" s="9">
        <f>8.5756 * CHOOSE(CONTROL!$C$32, $C$9, 100%, $E$9)</f>
        <v>8.5755999999999997</v>
      </c>
      <c r="M600" s="9">
        <f>8.5788 * CHOOSE(CONTROL!$C$32, $C$9, 100%, $E$9)</f>
        <v>8.5787999999999993</v>
      </c>
      <c r="N600" s="9">
        <f>8.5756 * CHOOSE(CONTROL!$C$32, $C$9, 100%, $E$9)</f>
        <v>8.5755999999999997</v>
      </c>
      <c r="O600" s="9">
        <f>8.5788 * CHOOSE(CONTROL!$C$32, $C$9, 100%, $E$9)</f>
        <v>8.5787999999999993</v>
      </c>
    </row>
    <row r="601" spans="1:15" ht="15.75" x14ac:dyDescent="0.25">
      <c r="A601" s="13">
        <v>59171</v>
      </c>
      <c r="B601" s="10">
        <f>10.2564 * CHOOSE(CONTROL!$C$32, $C$9, 100%, $E$9)</f>
        <v>10.256399999999999</v>
      </c>
      <c r="C601" s="10">
        <f>10.2564 * CHOOSE(CONTROL!$C$32, $C$9, 100%, $E$9)</f>
        <v>10.256399999999999</v>
      </c>
      <c r="D601" s="10">
        <f>10.2574 * CHOOSE(CONTROL!$C$32, $C$9, 100%, $E$9)</f>
        <v>10.257400000000001</v>
      </c>
      <c r="E601" s="9">
        <f>8.4692 * CHOOSE(CONTROL!$C$32, $C$9, 100%, $E$9)</f>
        <v>8.4692000000000007</v>
      </c>
      <c r="F601" s="9">
        <f>8.4692 * CHOOSE(CONTROL!$C$32, $C$9, 100%, $E$9)</f>
        <v>8.4692000000000007</v>
      </c>
      <c r="G601" s="9">
        <f>8.4725 * CHOOSE(CONTROL!$C$32, $C$9, 100%, $E$9)</f>
        <v>8.4725000000000001</v>
      </c>
      <c r="H601" s="9">
        <f>19.5625 * CHOOSE(CONTROL!$C$32, $C$9, 100%, $E$9)</f>
        <v>19.5625</v>
      </c>
      <c r="I601" s="9">
        <f>19.5657 * CHOOSE(CONTROL!$C$32, $C$9, 100%, $E$9)</f>
        <v>19.5657</v>
      </c>
      <c r="J601" s="9">
        <f>19.5625 * CHOOSE(CONTROL!$C$32, $C$9, 100%, $E$9)</f>
        <v>19.5625</v>
      </c>
      <c r="K601" s="9">
        <f>19.5657 * CHOOSE(CONTROL!$C$32, $C$9, 100%, $E$9)</f>
        <v>19.5657</v>
      </c>
      <c r="L601" s="9">
        <f>8.4692 * CHOOSE(CONTROL!$C$32, $C$9, 100%, $E$9)</f>
        <v>8.4692000000000007</v>
      </c>
      <c r="M601" s="9">
        <f>8.4725 * CHOOSE(CONTROL!$C$32, $C$9, 100%, $E$9)</f>
        <v>8.4725000000000001</v>
      </c>
      <c r="N601" s="9">
        <f>8.4692 * CHOOSE(CONTROL!$C$32, $C$9, 100%, $E$9)</f>
        <v>8.4692000000000007</v>
      </c>
      <c r="O601" s="9">
        <f>8.4725 * CHOOSE(CONTROL!$C$32, $C$9, 100%, $E$9)</f>
        <v>8.4725000000000001</v>
      </c>
    </row>
    <row r="602" spans="1:15" ht="15" x14ac:dyDescent="0.2">
      <c r="A602" s="12"/>
      <c r="B602" s="10"/>
      <c r="C602" s="10"/>
      <c r="D602" s="10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ht="15" x14ac:dyDescent="0.2">
      <c r="A603" s="11">
        <v>2013</v>
      </c>
      <c r="B603" s="10">
        <f t="shared" ref="B603:O603" si="0">AVERAGE(B14:B25)</f>
        <v>2.4477333333333333</v>
      </c>
      <c r="C603" s="10">
        <f t="shared" si="0"/>
        <v>2.500916666666666</v>
      </c>
      <c r="D603" s="10">
        <f t="shared" si="0"/>
        <v>2.5400166666666668</v>
      </c>
      <c r="E603" s="10">
        <f t="shared" si="0"/>
        <v>4.1238750000000008</v>
      </c>
      <c r="F603" s="10">
        <f t="shared" si="0"/>
        <v>3.608025</v>
      </c>
      <c r="G603" s="10">
        <f t="shared" si="0"/>
        <v>3.6210166666666663</v>
      </c>
      <c r="H603" s="10">
        <f t="shared" si="0"/>
        <v>5.8355083333333333</v>
      </c>
      <c r="I603" s="10">
        <f t="shared" si="0"/>
        <v>5.8484749999999996</v>
      </c>
      <c r="J603" s="10">
        <f t="shared" si="0"/>
        <v>5.8355083333333333</v>
      </c>
      <c r="K603" s="10">
        <f t="shared" si="0"/>
        <v>5.8484749999999996</v>
      </c>
      <c r="L603" s="10">
        <f t="shared" si="0"/>
        <v>4.1238750000000008</v>
      </c>
      <c r="M603" s="10">
        <f t="shared" si="0"/>
        <v>4.1368916666666662</v>
      </c>
      <c r="N603" s="10">
        <f t="shared" si="0"/>
        <v>4.1238750000000008</v>
      </c>
      <c r="O603" s="10">
        <f t="shared" si="0"/>
        <v>4.1368916666666662</v>
      </c>
    </row>
    <row r="604" spans="1:15" ht="15" x14ac:dyDescent="0.2">
      <c r="A604" s="11">
        <v>2014</v>
      </c>
      <c r="B604" s="10">
        <f t="shared" ref="B604:O604" si="1">AVERAGE(B26:B37)</f>
        <v>2.5016916666666664</v>
      </c>
      <c r="C604" s="10">
        <f t="shared" si="1"/>
        <v>2.5222333333333338</v>
      </c>
      <c r="D604" s="10">
        <f t="shared" si="1"/>
        <v>2.5613250000000001</v>
      </c>
      <c r="E604" s="10">
        <f t="shared" si="1"/>
        <v>3.5369416666666669</v>
      </c>
      <c r="F604" s="10">
        <f t="shared" si="1"/>
        <v>3.5125666666666664</v>
      </c>
      <c r="G604" s="10">
        <f t="shared" si="1"/>
        <v>3.5255749999999999</v>
      </c>
      <c r="H604" s="10">
        <f t="shared" si="1"/>
        <v>5.9799749999999996</v>
      </c>
      <c r="I604" s="10">
        <f t="shared" si="1"/>
        <v>5.992983333333334</v>
      </c>
      <c r="J604" s="10">
        <f t="shared" si="1"/>
        <v>5.9799749999999996</v>
      </c>
      <c r="K604" s="10">
        <f t="shared" si="1"/>
        <v>5.992983333333334</v>
      </c>
      <c r="L604" s="10">
        <f t="shared" si="1"/>
        <v>3.5369416666666669</v>
      </c>
      <c r="M604" s="10">
        <f t="shared" si="1"/>
        <v>3.5499499999999995</v>
      </c>
      <c r="N604" s="10">
        <f t="shared" si="1"/>
        <v>3.5369416666666669</v>
      </c>
      <c r="O604" s="10">
        <f t="shared" si="1"/>
        <v>3.5499499999999995</v>
      </c>
    </row>
    <row r="605" spans="1:15" ht="15" x14ac:dyDescent="0.2">
      <c r="A605" s="11">
        <v>2015</v>
      </c>
      <c r="B605" s="10">
        <f t="shared" ref="B605:O605" si="2">AVERAGE(B38:B49)</f>
        <v>2.5646416666666672</v>
      </c>
      <c r="C605" s="10">
        <f t="shared" si="2"/>
        <v>2.5646416666666672</v>
      </c>
      <c r="D605" s="10">
        <f t="shared" si="2"/>
        <v>2.5657333333333328</v>
      </c>
      <c r="E605" s="10">
        <f t="shared" si="2"/>
        <v>3.6045000000000011</v>
      </c>
      <c r="F605" s="10">
        <f t="shared" si="2"/>
        <v>3.5835999999999992</v>
      </c>
      <c r="G605" s="10">
        <f t="shared" si="2"/>
        <v>3.5872166666666665</v>
      </c>
      <c r="H605" s="10">
        <f t="shared" si="2"/>
        <v>6.1311916666666662</v>
      </c>
      <c r="I605" s="10">
        <f t="shared" si="2"/>
        <v>6.1348333333333338</v>
      </c>
      <c r="J605" s="10">
        <f t="shared" si="2"/>
        <v>6.1311916666666662</v>
      </c>
      <c r="K605" s="10">
        <f t="shared" si="2"/>
        <v>6.1348333333333338</v>
      </c>
      <c r="L605" s="10">
        <f t="shared" si="2"/>
        <v>3.6045000000000011</v>
      </c>
      <c r="M605" s="10">
        <f t="shared" si="2"/>
        <v>3.6081166666666671</v>
      </c>
      <c r="N605" s="10">
        <f t="shared" si="2"/>
        <v>3.6045000000000011</v>
      </c>
      <c r="O605" s="10">
        <f t="shared" si="2"/>
        <v>3.6081166666666671</v>
      </c>
    </row>
    <row r="606" spans="1:15" ht="15" x14ac:dyDescent="0.2">
      <c r="A606" s="11">
        <v>2016</v>
      </c>
      <c r="B606" s="10">
        <f t="shared" ref="B606:O606" si="3">AVERAGE(B50:B61)</f>
        <v>2.5733666666666664</v>
      </c>
      <c r="C606" s="10">
        <f t="shared" si="3"/>
        <v>2.5733666666666664</v>
      </c>
      <c r="D606" s="10">
        <f t="shared" si="3"/>
        <v>2.5744416666666665</v>
      </c>
      <c r="E606" s="10">
        <f t="shared" si="3"/>
        <v>3.7019000000000015</v>
      </c>
      <c r="F606" s="10">
        <f t="shared" si="3"/>
        <v>3.6856000000000004</v>
      </c>
      <c r="G606" s="10">
        <f t="shared" si="3"/>
        <v>3.6892166666666664</v>
      </c>
      <c r="H606" s="10">
        <f t="shared" si="3"/>
        <v>6.2862416666666681</v>
      </c>
      <c r="I606" s="10">
        <f t="shared" si="3"/>
        <v>6.289883333333333</v>
      </c>
      <c r="J606" s="10">
        <f t="shared" si="3"/>
        <v>6.2862416666666681</v>
      </c>
      <c r="K606" s="10">
        <f t="shared" si="3"/>
        <v>6.289883333333333</v>
      </c>
      <c r="L606" s="10">
        <f t="shared" si="3"/>
        <v>3.7019000000000015</v>
      </c>
      <c r="M606" s="10">
        <f t="shared" si="3"/>
        <v>3.7055749999999996</v>
      </c>
      <c r="N606" s="10">
        <f t="shared" si="3"/>
        <v>3.7019000000000015</v>
      </c>
      <c r="O606" s="10">
        <f t="shared" si="3"/>
        <v>3.7055749999999996</v>
      </c>
    </row>
    <row r="607" spans="1:15" ht="15" x14ac:dyDescent="0.2">
      <c r="A607" s="11">
        <v>2017</v>
      </c>
      <c r="B607" s="10">
        <f t="shared" ref="B607:O607" si="4">AVERAGE(B62:B73)</f>
        <v>2.6370083333333332</v>
      </c>
      <c r="C607" s="10">
        <f t="shared" si="4"/>
        <v>2.6370083333333332</v>
      </c>
      <c r="D607" s="10">
        <f t="shared" si="4"/>
        <v>2.6380916666666669</v>
      </c>
      <c r="E607" s="10">
        <f t="shared" si="4"/>
        <v>3.8132583333333336</v>
      </c>
      <c r="F607" s="10">
        <f t="shared" si="4"/>
        <v>3.8132583333333336</v>
      </c>
      <c r="G607" s="10">
        <f t="shared" si="4"/>
        <v>3.8169000000000004</v>
      </c>
      <c r="H607" s="10">
        <f t="shared" si="4"/>
        <v>6.4452249999999998</v>
      </c>
      <c r="I607" s="10">
        <f t="shared" si="4"/>
        <v>6.4488500000000002</v>
      </c>
      <c r="J607" s="10">
        <f t="shared" si="4"/>
        <v>6.4452249999999998</v>
      </c>
      <c r="K607" s="10">
        <f t="shared" si="4"/>
        <v>6.4488500000000002</v>
      </c>
      <c r="L607" s="10">
        <f t="shared" si="4"/>
        <v>3.8132583333333336</v>
      </c>
      <c r="M607" s="10">
        <f t="shared" si="4"/>
        <v>3.8169000000000004</v>
      </c>
      <c r="N607" s="10">
        <f t="shared" si="4"/>
        <v>3.8132583333333336</v>
      </c>
      <c r="O607" s="10">
        <f t="shared" si="4"/>
        <v>3.8169000000000004</v>
      </c>
    </row>
    <row r="608" spans="1:15" ht="15" x14ac:dyDescent="0.2">
      <c r="A608" s="11">
        <v>2018</v>
      </c>
      <c r="B608" s="10">
        <f t="shared" ref="B608:O608" si="5">AVERAGE(B74:B85)</f>
        <v>2.6999250000000004</v>
      </c>
      <c r="C608" s="10">
        <f t="shared" si="5"/>
        <v>2.6999250000000004</v>
      </c>
      <c r="D608" s="10">
        <f t="shared" si="5"/>
        <v>2.7010000000000001</v>
      </c>
      <c r="E608" s="10">
        <f t="shared" si="5"/>
        <v>3.9296083333333338</v>
      </c>
      <c r="F608" s="10">
        <f t="shared" si="5"/>
        <v>3.9296083333333338</v>
      </c>
      <c r="G608" s="10">
        <f t="shared" si="5"/>
        <v>3.9332583333333333</v>
      </c>
      <c r="H608" s="10">
        <f t="shared" si="5"/>
        <v>6.6081916666666656</v>
      </c>
      <c r="I608" s="10">
        <f t="shared" si="5"/>
        <v>6.6118416666666668</v>
      </c>
      <c r="J608" s="10">
        <f t="shared" si="5"/>
        <v>6.6081916666666656</v>
      </c>
      <c r="K608" s="10">
        <f t="shared" si="5"/>
        <v>6.6118416666666668</v>
      </c>
      <c r="L608" s="10">
        <f t="shared" si="5"/>
        <v>3.9296083333333338</v>
      </c>
      <c r="M608" s="10">
        <f t="shared" si="5"/>
        <v>3.9332583333333333</v>
      </c>
      <c r="N608" s="10">
        <f t="shared" si="5"/>
        <v>3.9296083333333338</v>
      </c>
      <c r="O608" s="10">
        <f t="shared" si="5"/>
        <v>3.9332583333333333</v>
      </c>
    </row>
    <row r="609" spans="1:15" ht="15" x14ac:dyDescent="0.2">
      <c r="A609" s="11">
        <v>2019</v>
      </c>
      <c r="B609" s="10">
        <f t="shared" ref="B609:O609" si="6">AVERAGE(B86:B97)</f>
        <v>3.6265583333333331</v>
      </c>
      <c r="C609" s="10">
        <f t="shared" si="6"/>
        <v>3.6265583333333331</v>
      </c>
      <c r="D609" s="10">
        <f t="shared" si="6"/>
        <v>3.6276333333333333</v>
      </c>
      <c r="E609" s="10">
        <f t="shared" si="6"/>
        <v>4.138841666666667</v>
      </c>
      <c r="F609" s="10">
        <f t="shared" si="6"/>
        <v>4.138841666666667</v>
      </c>
      <c r="G609" s="10">
        <f t="shared" si="6"/>
        <v>4.1424666666666665</v>
      </c>
      <c r="H609" s="10">
        <f t="shared" si="6"/>
        <v>6.7753166666666651</v>
      </c>
      <c r="I609" s="10">
        <f t="shared" si="6"/>
        <v>6.7789499999999991</v>
      </c>
      <c r="J609" s="10">
        <f t="shared" si="6"/>
        <v>6.7753166666666651</v>
      </c>
      <c r="K609" s="10">
        <f t="shared" si="6"/>
        <v>6.7789499999999991</v>
      </c>
      <c r="L609" s="10">
        <f t="shared" si="6"/>
        <v>4.138841666666667</v>
      </c>
      <c r="M609" s="10">
        <f t="shared" si="6"/>
        <v>4.1424666666666665</v>
      </c>
      <c r="N609" s="10">
        <f t="shared" si="6"/>
        <v>4.138841666666667</v>
      </c>
      <c r="O609" s="10">
        <f t="shared" si="6"/>
        <v>4.1424666666666665</v>
      </c>
    </row>
    <row r="610" spans="1:15" ht="15" x14ac:dyDescent="0.2">
      <c r="A610" s="11">
        <v>2020</v>
      </c>
      <c r="B610" s="10">
        <f t="shared" ref="B610:O610" si="7">AVERAGE(B98:B109)</f>
        <v>3.7318166666666657</v>
      </c>
      <c r="C610" s="10">
        <f t="shared" si="7"/>
        <v>3.7318166666666657</v>
      </c>
      <c r="D610" s="10">
        <f t="shared" si="7"/>
        <v>3.7329000000000003</v>
      </c>
      <c r="E610" s="10">
        <f t="shared" si="7"/>
        <v>4.345041666666666</v>
      </c>
      <c r="F610" s="10">
        <f t="shared" si="7"/>
        <v>4.345041666666666</v>
      </c>
      <c r="G610" s="10">
        <f t="shared" si="7"/>
        <v>4.3486833333333328</v>
      </c>
      <c r="H610" s="10">
        <f t="shared" si="7"/>
        <v>6.9466499999999991</v>
      </c>
      <c r="I610" s="10">
        <f t="shared" si="7"/>
        <v>6.9503000000000013</v>
      </c>
      <c r="J610" s="10">
        <f t="shared" si="7"/>
        <v>6.9466499999999991</v>
      </c>
      <c r="K610" s="10">
        <f t="shared" si="7"/>
        <v>6.9503000000000013</v>
      </c>
      <c r="L610" s="10">
        <f t="shared" si="7"/>
        <v>4.345041666666666</v>
      </c>
      <c r="M610" s="10">
        <f t="shared" si="7"/>
        <v>4.3486833333333328</v>
      </c>
      <c r="N610" s="10">
        <f t="shared" si="7"/>
        <v>4.345041666666666</v>
      </c>
      <c r="O610" s="10">
        <f t="shared" si="7"/>
        <v>4.3486833333333328</v>
      </c>
    </row>
    <row r="611" spans="1:15" ht="15" x14ac:dyDescent="0.2">
      <c r="A611" s="11">
        <v>2021</v>
      </c>
      <c r="B611" s="10">
        <f t="shared" ref="B611:O611" si="8">AVERAGE(B110:B121)</f>
        <v>3.8155750000000004</v>
      </c>
      <c r="C611" s="10">
        <f t="shared" si="8"/>
        <v>3.8155750000000004</v>
      </c>
      <c r="D611" s="10">
        <f t="shared" si="8"/>
        <v>3.8166499999999992</v>
      </c>
      <c r="E611" s="10">
        <f t="shared" si="8"/>
        <v>4.3847916666666675</v>
      </c>
      <c r="F611" s="10">
        <f t="shared" si="8"/>
        <v>4.3847916666666675</v>
      </c>
      <c r="G611" s="10">
        <f t="shared" si="8"/>
        <v>4.388441666666667</v>
      </c>
      <c r="H611" s="10">
        <f t="shared" si="8"/>
        <v>7.1223333333333336</v>
      </c>
      <c r="I611" s="10">
        <f t="shared" si="8"/>
        <v>7.1259583333333341</v>
      </c>
      <c r="J611" s="10">
        <f t="shared" si="8"/>
        <v>7.1223333333333336</v>
      </c>
      <c r="K611" s="10">
        <f t="shared" si="8"/>
        <v>7.1259583333333341</v>
      </c>
      <c r="L611" s="10">
        <f t="shared" si="8"/>
        <v>4.3847916666666675</v>
      </c>
      <c r="M611" s="10">
        <f t="shared" si="8"/>
        <v>4.388441666666667</v>
      </c>
      <c r="N611" s="10">
        <f t="shared" si="8"/>
        <v>4.3847916666666675</v>
      </c>
      <c r="O611" s="10">
        <f t="shared" si="8"/>
        <v>4.388441666666667</v>
      </c>
    </row>
    <row r="612" spans="1:15" ht="15" x14ac:dyDescent="0.2">
      <c r="A612" s="11">
        <v>2022</v>
      </c>
      <c r="B612" s="10">
        <f t="shared" ref="B612:O612" si="9">AVERAGE(B122:B133)</f>
        <v>3.9065916666666674</v>
      </c>
      <c r="C612" s="10">
        <f t="shared" si="9"/>
        <v>3.9065916666666674</v>
      </c>
      <c r="D612" s="10">
        <f t="shared" si="9"/>
        <v>3.9076499999999998</v>
      </c>
      <c r="E612" s="10">
        <f t="shared" si="9"/>
        <v>4.454391666666667</v>
      </c>
      <c r="F612" s="10">
        <f t="shared" si="9"/>
        <v>4.454391666666667</v>
      </c>
      <c r="G612" s="10">
        <f t="shared" si="9"/>
        <v>4.4580250000000001</v>
      </c>
      <c r="H612" s="10">
        <f t="shared" si="9"/>
        <v>7.3024499999999994</v>
      </c>
      <c r="I612" s="10">
        <f t="shared" si="9"/>
        <v>7.3060833333333335</v>
      </c>
      <c r="J612" s="10">
        <f t="shared" si="9"/>
        <v>7.3024499999999994</v>
      </c>
      <c r="K612" s="10">
        <f t="shared" si="9"/>
        <v>7.3060833333333335</v>
      </c>
      <c r="L612" s="10">
        <f t="shared" si="9"/>
        <v>4.454391666666667</v>
      </c>
      <c r="M612" s="10">
        <f t="shared" si="9"/>
        <v>4.4580250000000001</v>
      </c>
      <c r="N612" s="10">
        <f t="shared" si="9"/>
        <v>4.454391666666667</v>
      </c>
      <c r="O612" s="10">
        <f t="shared" si="9"/>
        <v>4.4580250000000001</v>
      </c>
    </row>
    <row r="613" spans="1:15" ht="15" x14ac:dyDescent="0.2">
      <c r="A613" s="11">
        <v>2023</v>
      </c>
      <c r="B613" s="10">
        <f t="shared" ref="B613:O613" si="10">AVERAGE(B134:B145)</f>
        <v>3.9949750000000002</v>
      </c>
      <c r="C613" s="10">
        <f t="shared" si="10"/>
        <v>3.9949750000000002</v>
      </c>
      <c r="D613" s="10">
        <f t="shared" si="10"/>
        <v>3.9960416666666667</v>
      </c>
      <c r="E613" s="10">
        <f t="shared" si="10"/>
        <v>4.4979333333333331</v>
      </c>
      <c r="F613" s="10">
        <f t="shared" si="10"/>
        <v>4.4979333333333331</v>
      </c>
      <c r="G613" s="10">
        <f t="shared" si="10"/>
        <v>4.5015666666666672</v>
      </c>
      <c r="H613" s="10">
        <f t="shared" si="10"/>
        <v>7.4871083333333344</v>
      </c>
      <c r="I613" s="10">
        <f t="shared" si="10"/>
        <v>7.4907333333333321</v>
      </c>
      <c r="J613" s="10">
        <f t="shared" si="10"/>
        <v>7.4871083333333344</v>
      </c>
      <c r="K613" s="10">
        <f t="shared" si="10"/>
        <v>7.4907333333333321</v>
      </c>
      <c r="L613" s="10">
        <f t="shared" si="10"/>
        <v>4.4979333333333331</v>
      </c>
      <c r="M613" s="10">
        <f t="shared" si="10"/>
        <v>4.5015666666666672</v>
      </c>
      <c r="N613" s="10">
        <f t="shared" si="10"/>
        <v>4.4979333333333331</v>
      </c>
      <c r="O613" s="10">
        <f t="shared" si="10"/>
        <v>4.5015666666666672</v>
      </c>
    </row>
    <row r="614" spans="1:15" ht="15" x14ac:dyDescent="0.2">
      <c r="A614" s="11">
        <v>2024</v>
      </c>
      <c r="B614" s="10">
        <f t="shared" ref="B614:O614" si="11">AVERAGE(B146:B157)</f>
        <v>4.0674500000000009</v>
      </c>
      <c r="C614" s="10">
        <f t="shared" si="11"/>
        <v>4.0674500000000009</v>
      </c>
      <c r="D614" s="10">
        <f t="shared" si="11"/>
        <v>4.0685250000000002</v>
      </c>
      <c r="E614" s="10">
        <f t="shared" si="11"/>
        <v>4.5426416666666665</v>
      </c>
      <c r="F614" s="10">
        <f t="shared" si="11"/>
        <v>4.5426416666666665</v>
      </c>
      <c r="G614" s="10">
        <f t="shared" si="11"/>
        <v>4.5462750000000005</v>
      </c>
      <c r="H614" s="10">
        <f t="shared" si="11"/>
        <v>7.6764416666666664</v>
      </c>
      <c r="I614" s="10">
        <f t="shared" si="11"/>
        <v>7.6800666666666659</v>
      </c>
      <c r="J614" s="10">
        <f t="shared" si="11"/>
        <v>7.6764416666666664</v>
      </c>
      <c r="K614" s="10">
        <f t="shared" si="11"/>
        <v>7.6800666666666659</v>
      </c>
      <c r="L614" s="10">
        <f t="shared" si="11"/>
        <v>4.5426416666666665</v>
      </c>
      <c r="M614" s="10">
        <f t="shared" si="11"/>
        <v>4.5462750000000005</v>
      </c>
      <c r="N614" s="10">
        <f t="shared" si="11"/>
        <v>4.5426416666666665</v>
      </c>
      <c r="O614" s="10">
        <f t="shared" si="11"/>
        <v>4.5462750000000005</v>
      </c>
    </row>
    <row r="615" spans="1:15" ht="15" x14ac:dyDescent="0.2">
      <c r="A615" s="11">
        <v>2025</v>
      </c>
      <c r="B615" s="10">
        <f t="shared" ref="B615:O615" si="12">AVERAGE(B158:B169)</f>
        <v>4.1597999999999997</v>
      </c>
      <c r="C615" s="10">
        <f t="shared" si="12"/>
        <v>4.1597999999999997</v>
      </c>
      <c r="D615" s="10">
        <f t="shared" si="12"/>
        <v>4.1608749999999999</v>
      </c>
      <c r="E615" s="10">
        <f t="shared" si="12"/>
        <v>4.595416666666666</v>
      </c>
      <c r="F615" s="10">
        <f t="shared" si="12"/>
        <v>4.595416666666666</v>
      </c>
      <c r="G615" s="10">
        <f t="shared" si="12"/>
        <v>4.5990666666666682</v>
      </c>
      <c r="H615" s="10">
        <f t="shared" si="12"/>
        <v>7.870566666666666</v>
      </c>
      <c r="I615" s="10">
        <f t="shared" si="12"/>
        <v>7.8741916666666674</v>
      </c>
      <c r="J615" s="10">
        <f t="shared" si="12"/>
        <v>7.870566666666666</v>
      </c>
      <c r="K615" s="10">
        <f t="shared" si="12"/>
        <v>7.8741916666666674</v>
      </c>
      <c r="L615" s="10">
        <f t="shared" si="12"/>
        <v>4.595416666666666</v>
      </c>
      <c r="M615" s="10">
        <f t="shared" si="12"/>
        <v>4.5990666666666682</v>
      </c>
      <c r="N615" s="10">
        <f t="shared" si="12"/>
        <v>4.595416666666666</v>
      </c>
      <c r="O615" s="10">
        <f t="shared" si="12"/>
        <v>4.5990666666666682</v>
      </c>
    </row>
    <row r="616" spans="1:15" ht="15" x14ac:dyDescent="0.2">
      <c r="A616" s="11">
        <v>2026</v>
      </c>
      <c r="B616" s="10">
        <f t="shared" ref="B616:O616" si="13">AVERAGE(B170:B181)</f>
        <v>4.2534333333333336</v>
      </c>
      <c r="C616" s="10">
        <f t="shared" si="13"/>
        <v>4.2534333333333336</v>
      </c>
      <c r="D616" s="10">
        <f t="shared" si="13"/>
        <v>4.2545083333333329</v>
      </c>
      <c r="E616" s="10">
        <f t="shared" si="13"/>
        <v>4.6719666666666662</v>
      </c>
      <c r="F616" s="10">
        <f t="shared" si="13"/>
        <v>4.6719666666666662</v>
      </c>
      <c r="G616" s="10">
        <f t="shared" si="13"/>
        <v>4.675625000000001</v>
      </c>
      <c r="H616" s="10">
        <f t="shared" si="13"/>
        <v>8.0696000000000012</v>
      </c>
      <c r="I616" s="10">
        <f t="shared" si="13"/>
        <v>8.0732250000000008</v>
      </c>
      <c r="J616" s="10">
        <f t="shared" si="13"/>
        <v>8.0696000000000012</v>
      </c>
      <c r="K616" s="10">
        <f t="shared" si="13"/>
        <v>8.0732250000000008</v>
      </c>
      <c r="L616" s="10">
        <f t="shared" si="13"/>
        <v>4.6719666666666662</v>
      </c>
      <c r="M616" s="10">
        <f t="shared" si="13"/>
        <v>4.675625000000001</v>
      </c>
      <c r="N616" s="10">
        <f t="shared" si="13"/>
        <v>4.6719666666666662</v>
      </c>
      <c r="O616" s="10">
        <f t="shared" si="13"/>
        <v>4.675625000000001</v>
      </c>
    </row>
    <row r="617" spans="1:15" ht="15" x14ac:dyDescent="0.2">
      <c r="A617" s="11">
        <v>2027</v>
      </c>
      <c r="B617" s="10">
        <f t="shared" ref="B617:O617" si="14">AVERAGE(B182:B193)</f>
        <v>4.3583500000000006</v>
      </c>
      <c r="C617" s="10">
        <f t="shared" si="14"/>
        <v>4.3583500000000006</v>
      </c>
      <c r="D617" s="10">
        <f t="shared" si="14"/>
        <v>4.3594250000000008</v>
      </c>
      <c r="E617" s="10">
        <f t="shared" si="14"/>
        <v>4.7393416666666672</v>
      </c>
      <c r="F617" s="10">
        <f t="shared" si="14"/>
        <v>4.7393416666666672</v>
      </c>
      <c r="G617" s="10">
        <f t="shared" si="14"/>
        <v>4.7429750000000004</v>
      </c>
      <c r="H617" s="10">
        <f t="shared" si="14"/>
        <v>8.2736666666666654</v>
      </c>
      <c r="I617" s="10">
        <f t="shared" si="14"/>
        <v>8.2773000000000003</v>
      </c>
      <c r="J617" s="10">
        <f t="shared" si="14"/>
        <v>8.2736666666666654</v>
      </c>
      <c r="K617" s="10">
        <f t="shared" si="14"/>
        <v>8.2773000000000003</v>
      </c>
      <c r="L617" s="10">
        <f t="shared" si="14"/>
        <v>4.7393416666666672</v>
      </c>
      <c r="M617" s="10">
        <f t="shared" si="14"/>
        <v>4.7429750000000004</v>
      </c>
      <c r="N617" s="10">
        <f t="shared" si="14"/>
        <v>4.7393416666666672</v>
      </c>
      <c r="O617" s="10">
        <f t="shared" si="14"/>
        <v>4.7429750000000004</v>
      </c>
    </row>
    <row r="618" spans="1:15" ht="15" x14ac:dyDescent="0.2">
      <c r="A618" s="11">
        <v>2028</v>
      </c>
      <c r="B618" s="10">
        <f t="shared" ref="B618:O618" si="15">AVERAGE(B194:B205)</f>
        <v>4.4605500000000005</v>
      </c>
      <c r="C618" s="10">
        <f t="shared" si="15"/>
        <v>4.4605500000000005</v>
      </c>
      <c r="D618" s="10">
        <f t="shared" si="15"/>
        <v>4.4616166666666652</v>
      </c>
      <c r="E618" s="10">
        <f t="shared" si="15"/>
        <v>4.8055500000000011</v>
      </c>
      <c r="F618" s="10">
        <f t="shared" si="15"/>
        <v>4.8055500000000011</v>
      </c>
      <c r="G618" s="10">
        <f t="shared" si="15"/>
        <v>4.8091833333333343</v>
      </c>
      <c r="H618" s="10">
        <f t="shared" si="15"/>
        <v>8.4828916666666672</v>
      </c>
      <c r="I618" s="10">
        <f t="shared" si="15"/>
        <v>8.4865249999999985</v>
      </c>
      <c r="J618" s="10">
        <f t="shared" si="15"/>
        <v>8.4828916666666672</v>
      </c>
      <c r="K618" s="10">
        <f t="shared" si="15"/>
        <v>8.4865249999999985</v>
      </c>
      <c r="L618" s="10">
        <f t="shared" si="15"/>
        <v>4.8055500000000011</v>
      </c>
      <c r="M618" s="10">
        <f t="shared" si="15"/>
        <v>4.8091833333333343</v>
      </c>
      <c r="N618" s="10">
        <f t="shared" si="15"/>
        <v>4.8055500000000011</v>
      </c>
      <c r="O618" s="10">
        <f t="shared" si="15"/>
        <v>4.8091833333333343</v>
      </c>
    </row>
    <row r="619" spans="1:15" ht="15" x14ac:dyDescent="0.2">
      <c r="A619" s="11">
        <v>2029</v>
      </c>
      <c r="B619" s="10">
        <f t="shared" ref="B619:O619" si="16">AVERAGE(B206:B217)</f>
        <v>4.5807083333333329</v>
      </c>
      <c r="C619" s="10">
        <f t="shared" si="16"/>
        <v>4.5807083333333329</v>
      </c>
      <c r="D619" s="10">
        <f t="shared" si="16"/>
        <v>4.5817916666666667</v>
      </c>
      <c r="E619" s="10">
        <f t="shared" si="16"/>
        <v>4.8855250000000003</v>
      </c>
      <c r="F619" s="10">
        <f t="shared" si="16"/>
        <v>4.8855250000000003</v>
      </c>
      <c r="G619" s="10">
        <f t="shared" si="16"/>
        <v>4.8891666666666671</v>
      </c>
      <c r="H619" s="10">
        <f t="shared" si="16"/>
        <v>8.6974166666666672</v>
      </c>
      <c r="I619" s="10">
        <f t="shared" si="16"/>
        <v>8.7010416666666686</v>
      </c>
      <c r="J619" s="10">
        <f t="shared" si="16"/>
        <v>8.6974166666666672</v>
      </c>
      <c r="K619" s="10">
        <f t="shared" si="16"/>
        <v>8.7010416666666686</v>
      </c>
      <c r="L619" s="10">
        <f t="shared" si="16"/>
        <v>4.8855250000000003</v>
      </c>
      <c r="M619" s="10">
        <f t="shared" si="16"/>
        <v>4.8891666666666671</v>
      </c>
      <c r="N619" s="10">
        <f t="shared" si="16"/>
        <v>4.8855250000000003</v>
      </c>
      <c r="O619" s="10">
        <f t="shared" si="16"/>
        <v>4.8891666666666671</v>
      </c>
    </row>
    <row r="620" spans="1:15" ht="15" x14ac:dyDescent="0.2">
      <c r="A620" s="11">
        <v>2030</v>
      </c>
      <c r="B620" s="10">
        <f t="shared" ref="B620:O620" si="17">AVERAGE(B218:B229)</f>
        <v>4.6823666666666659</v>
      </c>
      <c r="C620" s="10">
        <f t="shared" si="17"/>
        <v>4.6823666666666659</v>
      </c>
      <c r="D620" s="10">
        <f t="shared" si="17"/>
        <v>4.6834416666666669</v>
      </c>
      <c r="E620" s="10">
        <f t="shared" si="17"/>
        <v>4.9560333333333331</v>
      </c>
      <c r="F620" s="10">
        <f t="shared" si="17"/>
        <v>4.9560333333333331</v>
      </c>
      <c r="G620" s="10">
        <f t="shared" si="17"/>
        <v>4.9596833333333334</v>
      </c>
      <c r="H620" s="10">
        <f t="shared" si="17"/>
        <v>8.9173500000000008</v>
      </c>
      <c r="I620" s="10">
        <f t="shared" si="17"/>
        <v>8.9209833333333322</v>
      </c>
      <c r="J620" s="10">
        <f t="shared" si="17"/>
        <v>8.9173500000000008</v>
      </c>
      <c r="K620" s="10">
        <f t="shared" si="17"/>
        <v>8.9209833333333322</v>
      </c>
      <c r="L620" s="10">
        <f t="shared" si="17"/>
        <v>4.9560333333333331</v>
      </c>
      <c r="M620" s="10">
        <f t="shared" si="17"/>
        <v>4.9596833333333334</v>
      </c>
      <c r="N620" s="10">
        <f t="shared" si="17"/>
        <v>4.9560333333333331</v>
      </c>
      <c r="O620" s="10">
        <f t="shared" si="17"/>
        <v>4.9596833333333334</v>
      </c>
    </row>
    <row r="621" spans="1:15" ht="15" x14ac:dyDescent="0.2">
      <c r="A621" s="11">
        <v>2031</v>
      </c>
      <c r="B621" s="10">
        <f t="shared" ref="B621:O621" si="18">AVERAGE(B230:B241)</f>
        <v>4.7983416666666656</v>
      </c>
      <c r="C621" s="10">
        <f t="shared" si="18"/>
        <v>4.7983416666666656</v>
      </c>
      <c r="D621" s="10">
        <f t="shared" si="18"/>
        <v>4.7994333333333339</v>
      </c>
      <c r="E621" s="10">
        <f t="shared" si="18"/>
        <v>5.0305666666666662</v>
      </c>
      <c r="F621" s="10">
        <f t="shared" si="18"/>
        <v>5.0305666666666662</v>
      </c>
      <c r="G621" s="10">
        <f t="shared" si="18"/>
        <v>5.0342083333333338</v>
      </c>
      <c r="H621" s="10">
        <f t="shared" si="18"/>
        <v>9.1428750000000019</v>
      </c>
      <c r="I621" s="10">
        <f t="shared" si="18"/>
        <v>9.146491666666666</v>
      </c>
      <c r="J621" s="10">
        <f t="shared" si="18"/>
        <v>9.1428750000000019</v>
      </c>
      <c r="K621" s="10">
        <f t="shared" si="18"/>
        <v>9.146491666666666</v>
      </c>
      <c r="L621" s="10">
        <f t="shared" si="18"/>
        <v>5.0305666666666662</v>
      </c>
      <c r="M621" s="10">
        <f t="shared" si="18"/>
        <v>5.0342083333333338</v>
      </c>
      <c r="N621" s="10">
        <f t="shared" si="18"/>
        <v>5.0305666666666662</v>
      </c>
      <c r="O621" s="10">
        <f t="shared" si="18"/>
        <v>5.0342083333333338</v>
      </c>
    </row>
    <row r="622" spans="1:15" ht="15" x14ac:dyDescent="0.2">
      <c r="A622" s="11">
        <v>2032</v>
      </c>
      <c r="B622" s="10">
        <f t="shared" ref="B622:O622" si="19">AVERAGE(B242:B253)</f>
        <v>4.9174749999999996</v>
      </c>
      <c r="C622" s="10">
        <f t="shared" si="19"/>
        <v>4.9174749999999996</v>
      </c>
      <c r="D622" s="10">
        <f t="shared" si="19"/>
        <v>4.9185500000000006</v>
      </c>
      <c r="E622" s="10">
        <f t="shared" si="19"/>
        <v>5.0972999999999997</v>
      </c>
      <c r="F622" s="10">
        <f t="shared" si="19"/>
        <v>5.0972999999999997</v>
      </c>
      <c r="G622" s="10">
        <f t="shared" si="19"/>
        <v>5.1009166666666657</v>
      </c>
      <c r="H622" s="10">
        <f t="shared" si="19"/>
        <v>9.3740666666666659</v>
      </c>
      <c r="I622" s="10">
        <f t="shared" si="19"/>
        <v>9.3777083333333326</v>
      </c>
      <c r="J622" s="10">
        <f t="shared" si="19"/>
        <v>9.3740666666666659</v>
      </c>
      <c r="K622" s="10">
        <f t="shared" si="19"/>
        <v>9.3777083333333326</v>
      </c>
      <c r="L622" s="10">
        <f t="shared" si="19"/>
        <v>5.0972999999999997</v>
      </c>
      <c r="M622" s="10">
        <f t="shared" si="19"/>
        <v>5.1009166666666657</v>
      </c>
      <c r="N622" s="10">
        <f t="shared" si="19"/>
        <v>5.0972999999999997</v>
      </c>
      <c r="O622" s="10">
        <f t="shared" si="19"/>
        <v>5.1009166666666657</v>
      </c>
    </row>
    <row r="623" spans="1:15" ht="15" x14ac:dyDescent="0.2">
      <c r="A623" s="11">
        <v>2033</v>
      </c>
      <c r="B623" s="10">
        <f t="shared" ref="B623:O623" si="20">AVERAGE(B254:B265)</f>
        <v>5.0398166666666668</v>
      </c>
      <c r="C623" s="10">
        <f t="shared" si="20"/>
        <v>5.0398166666666668</v>
      </c>
      <c r="D623" s="10">
        <f t="shared" si="20"/>
        <v>5.0408750000000015</v>
      </c>
      <c r="E623" s="10">
        <f t="shared" si="20"/>
        <v>5.1623166666666664</v>
      </c>
      <c r="F623" s="10">
        <f t="shared" si="20"/>
        <v>5.1623166666666664</v>
      </c>
      <c r="G623" s="10">
        <f t="shared" si="20"/>
        <v>5.1659333333333333</v>
      </c>
      <c r="H623" s="10">
        <f t="shared" si="20"/>
        <v>9.6111166666666676</v>
      </c>
      <c r="I623" s="10">
        <f t="shared" si="20"/>
        <v>9.6147583333333326</v>
      </c>
      <c r="J623" s="10">
        <f t="shared" si="20"/>
        <v>9.6111166666666676</v>
      </c>
      <c r="K623" s="10">
        <f t="shared" si="20"/>
        <v>9.6147583333333326</v>
      </c>
      <c r="L623" s="10">
        <f t="shared" si="20"/>
        <v>5.1623166666666664</v>
      </c>
      <c r="M623" s="10">
        <f t="shared" si="20"/>
        <v>5.1659333333333333</v>
      </c>
      <c r="N623" s="10">
        <f t="shared" si="20"/>
        <v>5.1623166666666664</v>
      </c>
      <c r="O623" s="10">
        <f t="shared" si="20"/>
        <v>5.1659333333333333</v>
      </c>
    </row>
    <row r="624" spans="1:15" ht="15" x14ac:dyDescent="0.2">
      <c r="A624" s="11">
        <v>2034</v>
      </c>
      <c r="B624" s="10">
        <f t="shared" ref="B624:O624" si="21">AVERAGE(B266:B277)</f>
        <v>5.1680333333333328</v>
      </c>
      <c r="C624" s="10">
        <f t="shared" si="21"/>
        <v>5.1680333333333328</v>
      </c>
      <c r="D624" s="10">
        <f t="shared" si="21"/>
        <v>5.1690916666666658</v>
      </c>
      <c r="E624" s="10">
        <f t="shared" si="21"/>
        <v>5.2323416666666667</v>
      </c>
      <c r="F624" s="10">
        <f t="shared" si="21"/>
        <v>5.2323416666666667</v>
      </c>
      <c r="G624" s="10">
        <f t="shared" si="21"/>
        <v>5.2359750000000007</v>
      </c>
      <c r="H624" s="10">
        <f t="shared" si="21"/>
        <v>9.8541833333333333</v>
      </c>
      <c r="I624" s="10">
        <f t="shared" si="21"/>
        <v>9.8578083333333311</v>
      </c>
      <c r="J624" s="10">
        <f t="shared" si="21"/>
        <v>9.8541833333333333</v>
      </c>
      <c r="K624" s="10">
        <f t="shared" si="21"/>
        <v>9.8578083333333311</v>
      </c>
      <c r="L624" s="10">
        <f t="shared" si="21"/>
        <v>5.2323416666666667</v>
      </c>
      <c r="M624" s="10">
        <f t="shared" si="21"/>
        <v>5.2359750000000007</v>
      </c>
      <c r="N624" s="10">
        <f t="shared" si="21"/>
        <v>5.2323416666666667</v>
      </c>
      <c r="O624" s="10">
        <f t="shared" si="21"/>
        <v>5.2359750000000007</v>
      </c>
    </row>
    <row r="625" spans="1:15" ht="15" x14ac:dyDescent="0.2">
      <c r="A625" s="11">
        <v>2035</v>
      </c>
      <c r="B625" s="10">
        <f t="shared" ref="B625:O625" si="22">AVERAGE(B278:B289)</f>
        <v>5.3069999999999995</v>
      </c>
      <c r="C625" s="10">
        <f t="shared" si="22"/>
        <v>5.3069999999999995</v>
      </c>
      <c r="D625" s="10">
        <f t="shared" si="22"/>
        <v>5.3080916666666669</v>
      </c>
      <c r="E625" s="10">
        <f t="shared" si="22"/>
        <v>5.3044499999999992</v>
      </c>
      <c r="F625" s="10">
        <f t="shared" si="22"/>
        <v>5.3044499999999992</v>
      </c>
      <c r="G625" s="10">
        <f t="shared" si="22"/>
        <v>5.3080750000000005</v>
      </c>
      <c r="H625" s="10">
        <f t="shared" si="22"/>
        <v>10.103366666666666</v>
      </c>
      <c r="I625" s="10">
        <f t="shared" si="22"/>
        <v>10.107008333333333</v>
      </c>
      <c r="J625" s="10">
        <f t="shared" si="22"/>
        <v>10.103366666666666</v>
      </c>
      <c r="K625" s="10">
        <f t="shared" si="22"/>
        <v>10.107008333333333</v>
      </c>
      <c r="L625" s="10">
        <f t="shared" si="22"/>
        <v>5.3044499999999992</v>
      </c>
      <c r="M625" s="10">
        <f t="shared" si="22"/>
        <v>5.3080750000000005</v>
      </c>
      <c r="N625" s="10">
        <f t="shared" si="22"/>
        <v>5.3044499999999992</v>
      </c>
      <c r="O625" s="10">
        <f t="shared" si="22"/>
        <v>5.3080750000000005</v>
      </c>
    </row>
    <row r="626" spans="1:15" ht="15" x14ac:dyDescent="0.2">
      <c r="A626" s="11">
        <v>2036</v>
      </c>
      <c r="B626" s="10">
        <f t="shared" ref="B626:O626" si="23">AVERAGE(B290:B301)</f>
        <v>5.4434583333333331</v>
      </c>
      <c r="C626" s="10">
        <f t="shared" si="23"/>
        <v>5.4434583333333331</v>
      </c>
      <c r="D626" s="10">
        <f t="shared" si="23"/>
        <v>5.4445249999999996</v>
      </c>
      <c r="E626" s="10">
        <f t="shared" si="23"/>
        <v>5.399258333333333</v>
      </c>
      <c r="F626" s="10">
        <f t="shared" si="23"/>
        <v>5.399258333333333</v>
      </c>
      <c r="G626" s="10">
        <f t="shared" si="23"/>
        <v>5.4028916666666662</v>
      </c>
      <c r="H626" s="10">
        <f t="shared" si="23"/>
        <v>10.358874999999999</v>
      </c>
      <c r="I626" s="10">
        <f t="shared" si="23"/>
        <v>10.362508333333333</v>
      </c>
      <c r="J626" s="10">
        <f t="shared" si="23"/>
        <v>10.358874999999999</v>
      </c>
      <c r="K626" s="10">
        <f t="shared" si="23"/>
        <v>10.362508333333333</v>
      </c>
      <c r="L626" s="10">
        <f t="shared" si="23"/>
        <v>5.399258333333333</v>
      </c>
      <c r="M626" s="10">
        <f t="shared" si="23"/>
        <v>5.4028916666666662</v>
      </c>
      <c r="N626" s="10">
        <f t="shared" si="23"/>
        <v>5.399258333333333</v>
      </c>
      <c r="O626" s="10">
        <f t="shared" si="23"/>
        <v>5.4028916666666662</v>
      </c>
    </row>
    <row r="627" spans="1:15" ht="15" x14ac:dyDescent="0.2">
      <c r="A627" s="11">
        <v>2037</v>
      </c>
      <c r="B627" s="10">
        <f t="shared" ref="B627:O627" si="24">AVERAGE(B302:B313)</f>
        <v>5.5810416666666667</v>
      </c>
      <c r="C627" s="10">
        <f t="shared" si="24"/>
        <v>5.5810416666666667</v>
      </c>
      <c r="D627" s="10">
        <f t="shared" si="24"/>
        <v>5.5821416666666659</v>
      </c>
      <c r="E627" s="10">
        <f t="shared" si="24"/>
        <v>5.4959749999999987</v>
      </c>
      <c r="F627" s="10">
        <f t="shared" si="24"/>
        <v>5.4959749999999987</v>
      </c>
      <c r="G627" s="10">
        <f t="shared" si="24"/>
        <v>5.4995999999999983</v>
      </c>
      <c r="H627" s="10">
        <f t="shared" si="24"/>
        <v>10.620850000000001</v>
      </c>
      <c r="I627" s="10">
        <f t="shared" si="24"/>
        <v>10.624474999999999</v>
      </c>
      <c r="J627" s="10">
        <f t="shared" si="24"/>
        <v>10.620850000000001</v>
      </c>
      <c r="K627" s="10">
        <f t="shared" si="24"/>
        <v>10.624474999999999</v>
      </c>
      <c r="L627" s="10">
        <f t="shared" si="24"/>
        <v>5.4959749999999987</v>
      </c>
      <c r="M627" s="10">
        <f t="shared" si="24"/>
        <v>5.4995999999999983</v>
      </c>
      <c r="N627" s="10">
        <f t="shared" si="24"/>
        <v>5.4959749999999987</v>
      </c>
      <c r="O627" s="10">
        <f t="shared" si="24"/>
        <v>5.4995999999999983</v>
      </c>
    </row>
    <row r="628" spans="1:15" ht="15" x14ac:dyDescent="0.2">
      <c r="A628" s="11">
        <f t="shared" ref="A628:A651" si="25">A627+1</f>
        <v>2038</v>
      </c>
      <c r="B628" s="10">
        <f t="shared" ref="B628:O628" si="26">AVERAGE(B314:B325)</f>
        <v>5.7221166666666674</v>
      </c>
      <c r="C628" s="10">
        <f t="shared" si="26"/>
        <v>5.7221166666666674</v>
      </c>
      <c r="D628" s="10">
        <f t="shared" si="26"/>
        <v>5.7232000000000012</v>
      </c>
      <c r="E628" s="10">
        <f t="shared" si="26"/>
        <v>5.5971916666666672</v>
      </c>
      <c r="F628" s="10">
        <f t="shared" si="26"/>
        <v>5.5971916666666672</v>
      </c>
      <c r="G628" s="10">
        <f t="shared" si="26"/>
        <v>5.6008250000000004</v>
      </c>
      <c r="H628" s="10">
        <f t="shared" si="26"/>
        <v>10.88940833333333</v>
      </c>
      <c r="I628" s="10">
        <f t="shared" si="26"/>
        <v>10.893050000000001</v>
      </c>
      <c r="J628" s="10">
        <f t="shared" si="26"/>
        <v>10.88940833333333</v>
      </c>
      <c r="K628" s="10">
        <f t="shared" si="26"/>
        <v>10.893050000000001</v>
      </c>
      <c r="L628" s="10">
        <f t="shared" si="26"/>
        <v>5.5971916666666672</v>
      </c>
      <c r="M628" s="10">
        <f t="shared" si="26"/>
        <v>5.6008250000000004</v>
      </c>
      <c r="N628" s="10">
        <f t="shared" si="26"/>
        <v>5.5971916666666672</v>
      </c>
      <c r="O628" s="10">
        <f t="shared" si="26"/>
        <v>5.6008250000000004</v>
      </c>
    </row>
    <row r="629" spans="1:15" ht="15" x14ac:dyDescent="0.2">
      <c r="A629" s="11">
        <f t="shared" si="25"/>
        <v>2039</v>
      </c>
      <c r="B629" s="10">
        <f t="shared" ref="B629:O629" si="27">AVERAGE(B326:B337)</f>
        <v>5.8667833333333332</v>
      </c>
      <c r="C629" s="10">
        <f t="shared" si="27"/>
        <v>5.8667833333333332</v>
      </c>
      <c r="D629" s="10">
        <f t="shared" si="27"/>
        <v>5.8678583333333334</v>
      </c>
      <c r="E629" s="10">
        <f t="shared" si="27"/>
        <v>5.6951416666666654</v>
      </c>
      <c r="F629" s="10">
        <f t="shared" si="27"/>
        <v>5.6951416666666654</v>
      </c>
      <c r="G629" s="10">
        <f t="shared" si="27"/>
        <v>5.6987750000000004</v>
      </c>
      <c r="H629" s="10">
        <f t="shared" si="27"/>
        <v>11.164791666666666</v>
      </c>
      <c r="I629" s="10">
        <f t="shared" si="27"/>
        <v>11.168441666666666</v>
      </c>
      <c r="J629" s="10">
        <f t="shared" si="27"/>
        <v>11.164791666666666</v>
      </c>
      <c r="K629" s="10">
        <f t="shared" si="27"/>
        <v>11.168441666666666</v>
      </c>
      <c r="L629" s="10">
        <f t="shared" si="27"/>
        <v>5.6951416666666654</v>
      </c>
      <c r="M629" s="10">
        <f t="shared" si="27"/>
        <v>5.6987750000000004</v>
      </c>
      <c r="N629" s="10">
        <f t="shared" si="27"/>
        <v>5.6951416666666654</v>
      </c>
      <c r="O629" s="10">
        <f t="shared" si="27"/>
        <v>5.6987750000000004</v>
      </c>
    </row>
    <row r="630" spans="1:15" ht="15" x14ac:dyDescent="0.2">
      <c r="A630" s="11">
        <f t="shared" si="25"/>
        <v>2040</v>
      </c>
      <c r="B630" s="10">
        <f t="shared" ref="B630:O630" si="28">AVERAGE(B338:B349)</f>
        <v>6.0150916666666667</v>
      </c>
      <c r="C630" s="10">
        <f t="shared" si="28"/>
        <v>6.0150916666666667</v>
      </c>
      <c r="D630" s="10">
        <f t="shared" si="28"/>
        <v>6.016166666666666</v>
      </c>
      <c r="E630" s="10">
        <f t="shared" si="28"/>
        <v>5.7976999999999999</v>
      </c>
      <c r="F630" s="10">
        <f t="shared" si="28"/>
        <v>5.7976999999999999</v>
      </c>
      <c r="G630" s="10">
        <f t="shared" si="28"/>
        <v>5.8013416666666666</v>
      </c>
      <c r="H630" s="10">
        <f t="shared" si="28"/>
        <v>11.447141666666667</v>
      </c>
      <c r="I630" s="10">
        <f t="shared" si="28"/>
        <v>11.450791666666667</v>
      </c>
      <c r="J630" s="10">
        <f t="shared" si="28"/>
        <v>11.447141666666667</v>
      </c>
      <c r="K630" s="10">
        <f t="shared" si="28"/>
        <v>11.450791666666667</v>
      </c>
      <c r="L630" s="10">
        <f t="shared" si="28"/>
        <v>5.7976999999999999</v>
      </c>
      <c r="M630" s="10">
        <f t="shared" si="28"/>
        <v>5.8013416666666666</v>
      </c>
      <c r="N630" s="10">
        <f t="shared" si="28"/>
        <v>5.7976999999999999</v>
      </c>
      <c r="O630" s="10">
        <f t="shared" si="28"/>
        <v>5.8013416666666666</v>
      </c>
    </row>
    <row r="631" spans="1:15" ht="15" x14ac:dyDescent="0.2">
      <c r="A631" s="11">
        <f t="shared" si="25"/>
        <v>2041</v>
      </c>
      <c r="B631" s="10">
        <f t="shared" ref="B631:O631" si="29">AVERAGE(B350:B361)</f>
        <v>6.1671583333333331</v>
      </c>
      <c r="C631" s="10">
        <f t="shared" si="29"/>
        <v>6.1671583333333331</v>
      </c>
      <c r="D631" s="10">
        <f t="shared" si="29"/>
        <v>6.1682416666666668</v>
      </c>
      <c r="E631" s="10">
        <f t="shared" si="29"/>
        <v>5.902308333333333</v>
      </c>
      <c r="F631" s="10">
        <f t="shared" si="29"/>
        <v>5.902308333333333</v>
      </c>
      <c r="G631" s="10">
        <f t="shared" si="29"/>
        <v>5.905966666666667</v>
      </c>
      <c r="H631" s="10">
        <f t="shared" si="29"/>
        <v>11.736591666666667</v>
      </c>
      <c r="I631" s="10">
        <f t="shared" si="29"/>
        <v>11.740241666666668</v>
      </c>
      <c r="J631" s="10">
        <f t="shared" si="29"/>
        <v>11.736591666666667</v>
      </c>
      <c r="K631" s="10">
        <f t="shared" si="29"/>
        <v>11.740241666666668</v>
      </c>
      <c r="L631" s="10">
        <f t="shared" si="29"/>
        <v>5.902308333333333</v>
      </c>
      <c r="M631" s="10">
        <f t="shared" si="29"/>
        <v>5.905966666666667</v>
      </c>
      <c r="N631" s="10">
        <f t="shared" si="29"/>
        <v>5.902308333333333</v>
      </c>
      <c r="O631" s="10">
        <f t="shared" si="29"/>
        <v>5.905966666666667</v>
      </c>
    </row>
    <row r="632" spans="1:15" ht="15" x14ac:dyDescent="0.2">
      <c r="A632" s="11">
        <f t="shared" si="25"/>
        <v>2042</v>
      </c>
      <c r="B632" s="10">
        <f t="shared" ref="B632:O632" si="30">AVERAGE(B362:B373)</f>
        <v>6.3230916666666666</v>
      </c>
      <c r="C632" s="10">
        <f t="shared" si="30"/>
        <v>6.3230916666666666</v>
      </c>
      <c r="D632" s="10">
        <f t="shared" si="30"/>
        <v>6.3241749999999994</v>
      </c>
      <c r="E632" s="10">
        <f t="shared" si="30"/>
        <v>6.0090250000000003</v>
      </c>
      <c r="F632" s="10">
        <f t="shared" si="30"/>
        <v>6.0090250000000003</v>
      </c>
      <c r="G632" s="10">
        <f t="shared" si="30"/>
        <v>6.0126499999999998</v>
      </c>
      <c r="H632" s="10">
        <f t="shared" si="30"/>
        <v>12.033416666666668</v>
      </c>
      <c r="I632" s="10">
        <f t="shared" si="30"/>
        <v>12.037058333333334</v>
      </c>
      <c r="J632" s="10">
        <f t="shared" si="30"/>
        <v>12.033416666666668</v>
      </c>
      <c r="K632" s="10">
        <f t="shared" si="30"/>
        <v>12.037058333333334</v>
      </c>
      <c r="L632" s="10">
        <f t="shared" si="30"/>
        <v>6.0090250000000003</v>
      </c>
      <c r="M632" s="10">
        <f t="shared" si="30"/>
        <v>6.0126499999999998</v>
      </c>
      <c r="N632" s="10">
        <f t="shared" si="30"/>
        <v>6.0090250000000003</v>
      </c>
      <c r="O632" s="10">
        <f t="shared" si="30"/>
        <v>6.0126499999999998</v>
      </c>
    </row>
    <row r="633" spans="1:15" ht="15" x14ac:dyDescent="0.2">
      <c r="A633" s="11">
        <f t="shared" si="25"/>
        <v>2043</v>
      </c>
      <c r="B633" s="10">
        <f t="shared" ref="B633:O633" si="31">AVERAGE(B374:B385)</f>
        <v>6.4829833333333342</v>
      </c>
      <c r="C633" s="10">
        <f t="shared" si="31"/>
        <v>6.4829833333333342</v>
      </c>
      <c r="D633" s="10">
        <f t="shared" si="31"/>
        <v>6.4840333333333353</v>
      </c>
      <c r="E633" s="10">
        <f t="shared" si="31"/>
        <v>6.1178750000000006</v>
      </c>
      <c r="F633" s="10">
        <f t="shared" si="31"/>
        <v>6.1178750000000006</v>
      </c>
      <c r="G633" s="10">
        <f t="shared" si="31"/>
        <v>6.1215166666666674</v>
      </c>
      <c r="H633" s="10">
        <f t="shared" si="31"/>
        <v>12.337741666666666</v>
      </c>
      <c r="I633" s="10">
        <f t="shared" si="31"/>
        <v>12.341366666666667</v>
      </c>
      <c r="J633" s="10">
        <f t="shared" si="31"/>
        <v>12.337741666666666</v>
      </c>
      <c r="K633" s="10">
        <f t="shared" si="31"/>
        <v>12.341366666666667</v>
      </c>
      <c r="L633" s="10">
        <f t="shared" si="31"/>
        <v>6.1178750000000006</v>
      </c>
      <c r="M633" s="10">
        <f t="shared" si="31"/>
        <v>6.1215166666666674</v>
      </c>
      <c r="N633" s="10">
        <f t="shared" si="31"/>
        <v>6.1178750000000006</v>
      </c>
      <c r="O633" s="10">
        <f t="shared" si="31"/>
        <v>6.1215166666666674</v>
      </c>
    </row>
    <row r="634" spans="1:15" ht="15" x14ac:dyDescent="0.2">
      <c r="A634" s="11">
        <f t="shared" si="25"/>
        <v>2044</v>
      </c>
      <c r="B634" s="10">
        <f t="shared" ref="B634:O634" si="32">AVERAGE(B386:B397)</f>
        <v>6.646891666666666</v>
      </c>
      <c r="C634" s="10">
        <f t="shared" si="32"/>
        <v>6.646891666666666</v>
      </c>
      <c r="D634" s="10">
        <f t="shared" si="32"/>
        <v>6.6479666666666661</v>
      </c>
      <c r="E634" s="10">
        <f t="shared" si="32"/>
        <v>6.2289000000000003</v>
      </c>
      <c r="F634" s="10">
        <f t="shared" si="32"/>
        <v>6.2289000000000003</v>
      </c>
      <c r="G634" s="10">
        <f t="shared" si="32"/>
        <v>6.2325249999999999</v>
      </c>
      <c r="H634" s="10">
        <f t="shared" si="32"/>
        <v>12.649733333333332</v>
      </c>
      <c r="I634" s="10">
        <f t="shared" si="32"/>
        <v>12.653383333333336</v>
      </c>
      <c r="J634" s="10">
        <f t="shared" si="32"/>
        <v>12.649733333333332</v>
      </c>
      <c r="K634" s="10">
        <f t="shared" si="32"/>
        <v>12.653383333333336</v>
      </c>
      <c r="L634" s="10">
        <f t="shared" si="32"/>
        <v>6.2289000000000003</v>
      </c>
      <c r="M634" s="10">
        <f t="shared" si="32"/>
        <v>6.2325249999999999</v>
      </c>
      <c r="N634" s="10">
        <f t="shared" si="32"/>
        <v>6.2289000000000003</v>
      </c>
      <c r="O634" s="10">
        <f t="shared" si="32"/>
        <v>6.2325249999999999</v>
      </c>
    </row>
    <row r="635" spans="1:15" ht="15" x14ac:dyDescent="0.2">
      <c r="A635" s="11">
        <f t="shared" si="25"/>
        <v>2045</v>
      </c>
      <c r="B635" s="10">
        <f t="shared" ref="B635:O635" si="33">AVERAGE(B398:B409)</f>
        <v>6.8149666666666668</v>
      </c>
      <c r="C635" s="10">
        <f t="shared" si="33"/>
        <v>6.8149666666666668</v>
      </c>
      <c r="D635" s="10">
        <f t="shared" si="33"/>
        <v>6.816041666666667</v>
      </c>
      <c r="E635" s="10">
        <f t="shared" si="33"/>
        <v>6.3421750000000001</v>
      </c>
      <c r="F635" s="10">
        <f t="shared" si="33"/>
        <v>6.3421750000000001</v>
      </c>
      <c r="G635" s="10">
        <f t="shared" si="33"/>
        <v>6.3458000000000006</v>
      </c>
      <c r="H635" s="10">
        <f t="shared" si="33"/>
        <v>12.969624999999999</v>
      </c>
      <c r="I635" s="10">
        <f t="shared" si="33"/>
        <v>12.973241666666667</v>
      </c>
      <c r="J635" s="10">
        <f t="shared" si="33"/>
        <v>12.969624999999999</v>
      </c>
      <c r="K635" s="10">
        <f t="shared" si="33"/>
        <v>12.973241666666667</v>
      </c>
      <c r="L635" s="10">
        <f t="shared" si="33"/>
        <v>6.3421750000000001</v>
      </c>
      <c r="M635" s="10">
        <f t="shared" si="33"/>
        <v>6.3458000000000006</v>
      </c>
      <c r="N635" s="10">
        <f t="shared" si="33"/>
        <v>6.3421750000000001</v>
      </c>
      <c r="O635" s="10">
        <f t="shared" si="33"/>
        <v>6.3458000000000006</v>
      </c>
    </row>
    <row r="636" spans="1:15" ht="15" x14ac:dyDescent="0.2">
      <c r="A636" s="11">
        <f t="shared" si="25"/>
        <v>2046</v>
      </c>
      <c r="B636" s="10">
        <f t="shared" ref="B636:O636" si="34">AVERAGE(B410:B421)</f>
        <v>6.9873083333333321</v>
      </c>
      <c r="C636" s="10">
        <f t="shared" si="34"/>
        <v>6.9873083333333321</v>
      </c>
      <c r="D636" s="10">
        <f t="shared" si="34"/>
        <v>6.9883833333333323</v>
      </c>
      <c r="E636" s="10">
        <f t="shared" si="34"/>
        <v>6.4577249999999999</v>
      </c>
      <c r="F636" s="10">
        <f t="shared" si="34"/>
        <v>6.4577249999999999</v>
      </c>
      <c r="G636" s="10">
        <f t="shared" si="34"/>
        <v>6.4613583333333331</v>
      </c>
      <c r="H636" s="10">
        <f t="shared" si="34"/>
        <v>13.297600000000001</v>
      </c>
      <c r="I636" s="10">
        <f t="shared" si="34"/>
        <v>13.301233333333334</v>
      </c>
      <c r="J636" s="10">
        <f t="shared" si="34"/>
        <v>13.297600000000001</v>
      </c>
      <c r="K636" s="10">
        <f t="shared" si="34"/>
        <v>13.301233333333334</v>
      </c>
      <c r="L636" s="10">
        <f t="shared" si="34"/>
        <v>6.4577249999999999</v>
      </c>
      <c r="M636" s="10">
        <f t="shared" si="34"/>
        <v>6.4613583333333331</v>
      </c>
      <c r="N636" s="10">
        <f t="shared" si="34"/>
        <v>6.4577249999999999</v>
      </c>
      <c r="O636" s="10">
        <f t="shared" si="34"/>
        <v>6.4613583333333331</v>
      </c>
    </row>
    <row r="637" spans="1:15" ht="15" x14ac:dyDescent="0.2">
      <c r="A637" s="11">
        <f t="shared" si="25"/>
        <v>2047</v>
      </c>
      <c r="B637" s="10">
        <f t="shared" ref="B637:O637" si="35">AVERAGE(B422:B433)</f>
        <v>7.1640166666666678</v>
      </c>
      <c r="C637" s="10">
        <f t="shared" si="35"/>
        <v>7.1640166666666678</v>
      </c>
      <c r="D637" s="10">
        <f t="shared" si="35"/>
        <v>7.1650916666666689</v>
      </c>
      <c r="E637" s="10">
        <f t="shared" si="35"/>
        <v>6.5756333333333323</v>
      </c>
      <c r="F637" s="10">
        <f t="shared" si="35"/>
        <v>6.5756333333333323</v>
      </c>
      <c r="G637" s="10">
        <f t="shared" si="35"/>
        <v>6.5792583333333345</v>
      </c>
      <c r="H637" s="10">
        <f t="shared" si="35"/>
        <v>13.633883333333332</v>
      </c>
      <c r="I637" s="10">
        <f t="shared" si="35"/>
        <v>13.637516666666665</v>
      </c>
      <c r="J637" s="10">
        <f t="shared" si="35"/>
        <v>13.633883333333332</v>
      </c>
      <c r="K637" s="10">
        <f t="shared" si="35"/>
        <v>13.637516666666665</v>
      </c>
      <c r="L637" s="10">
        <f t="shared" si="35"/>
        <v>6.5756333333333323</v>
      </c>
      <c r="M637" s="10">
        <f t="shared" si="35"/>
        <v>6.5792583333333345</v>
      </c>
      <c r="N637" s="10">
        <f t="shared" si="35"/>
        <v>6.5756333333333323</v>
      </c>
      <c r="O637" s="10">
        <f t="shared" si="35"/>
        <v>6.5792583333333345</v>
      </c>
    </row>
    <row r="638" spans="1:15" ht="15" x14ac:dyDescent="0.2">
      <c r="A638" s="11">
        <f t="shared" si="25"/>
        <v>2048</v>
      </c>
      <c r="B638" s="10">
        <f t="shared" ref="B638:O638" si="36">AVERAGE(B434:B445)</f>
        <v>7.3451916666666683</v>
      </c>
      <c r="C638" s="10">
        <f t="shared" si="36"/>
        <v>7.3451916666666683</v>
      </c>
      <c r="D638" s="10">
        <f t="shared" si="36"/>
        <v>7.3462833333333322</v>
      </c>
      <c r="E638" s="10">
        <f t="shared" si="36"/>
        <v>6.6959000000000009</v>
      </c>
      <c r="F638" s="10">
        <f t="shared" si="36"/>
        <v>6.6959000000000009</v>
      </c>
      <c r="G638" s="10">
        <f t="shared" si="36"/>
        <v>6.6995416666666658</v>
      </c>
      <c r="H638" s="10">
        <f t="shared" si="36"/>
        <v>13.978666666666667</v>
      </c>
      <c r="I638" s="10">
        <f t="shared" si="36"/>
        <v>13.982291666666669</v>
      </c>
      <c r="J638" s="10">
        <f t="shared" si="36"/>
        <v>13.978666666666667</v>
      </c>
      <c r="K638" s="10">
        <f t="shared" si="36"/>
        <v>13.982291666666669</v>
      </c>
      <c r="L638" s="10">
        <f t="shared" si="36"/>
        <v>6.6959000000000009</v>
      </c>
      <c r="M638" s="10">
        <f t="shared" si="36"/>
        <v>6.6995416666666658</v>
      </c>
      <c r="N638" s="10">
        <f t="shared" si="36"/>
        <v>6.6959000000000009</v>
      </c>
      <c r="O638" s="10">
        <f t="shared" si="36"/>
        <v>6.6995416666666658</v>
      </c>
    </row>
    <row r="639" spans="1:15" ht="15" x14ac:dyDescent="0.2">
      <c r="A639" s="11">
        <f t="shared" si="25"/>
        <v>2049</v>
      </c>
      <c r="B639" s="10">
        <f t="shared" ref="B639:O639" si="37">AVERAGE(B446:B457)</f>
        <v>7.5309666666666679</v>
      </c>
      <c r="C639" s="10">
        <f t="shared" si="37"/>
        <v>7.5309666666666679</v>
      </c>
      <c r="D639" s="10">
        <f t="shared" si="37"/>
        <v>7.5320583333333317</v>
      </c>
      <c r="E639" s="10">
        <f t="shared" si="37"/>
        <v>6.8186249999999999</v>
      </c>
      <c r="F639" s="10">
        <f t="shared" si="37"/>
        <v>6.8186249999999999</v>
      </c>
      <c r="G639" s="10">
        <f t="shared" si="37"/>
        <v>6.822258333333334</v>
      </c>
      <c r="H639" s="10">
        <f t="shared" si="37"/>
        <v>14.332166666666668</v>
      </c>
      <c r="I639" s="10">
        <f t="shared" si="37"/>
        <v>14.335791666666665</v>
      </c>
      <c r="J639" s="10">
        <f t="shared" si="37"/>
        <v>14.332166666666668</v>
      </c>
      <c r="K639" s="10">
        <f t="shared" si="37"/>
        <v>14.335791666666665</v>
      </c>
      <c r="L639" s="10">
        <f t="shared" si="37"/>
        <v>6.8186249999999999</v>
      </c>
      <c r="M639" s="10">
        <f t="shared" si="37"/>
        <v>6.822258333333334</v>
      </c>
      <c r="N639" s="10">
        <f t="shared" si="37"/>
        <v>6.8186249999999999</v>
      </c>
      <c r="O639" s="10">
        <f t="shared" si="37"/>
        <v>6.822258333333334</v>
      </c>
    </row>
    <row r="640" spans="1:15" ht="15" x14ac:dyDescent="0.2">
      <c r="A640" s="11">
        <f t="shared" si="25"/>
        <v>2050</v>
      </c>
      <c r="B640" s="10">
        <f t="shared" ref="B640:O640" si="38">AVERAGE(B458:B469)</f>
        <v>7.7214666666666645</v>
      </c>
      <c r="C640" s="10">
        <f t="shared" si="38"/>
        <v>7.7214666666666645</v>
      </c>
      <c r="D640" s="10">
        <f t="shared" si="38"/>
        <v>7.7225416666666655</v>
      </c>
      <c r="E640" s="10">
        <f t="shared" si="38"/>
        <v>6.9438583333333339</v>
      </c>
      <c r="F640" s="10">
        <f t="shared" si="38"/>
        <v>6.9438583333333339</v>
      </c>
      <c r="G640" s="10">
        <f t="shared" si="38"/>
        <v>6.9474833333333343</v>
      </c>
      <c r="H640" s="10">
        <f t="shared" si="38"/>
        <v>14.694600000000003</v>
      </c>
      <c r="I640" s="10">
        <f t="shared" si="38"/>
        <v>14.698233333333334</v>
      </c>
      <c r="J640" s="10">
        <f t="shared" si="38"/>
        <v>14.694600000000003</v>
      </c>
      <c r="K640" s="10">
        <f t="shared" si="38"/>
        <v>14.698233333333334</v>
      </c>
      <c r="L640" s="10">
        <f t="shared" si="38"/>
        <v>6.9438583333333339</v>
      </c>
      <c r="M640" s="10">
        <f t="shared" si="38"/>
        <v>6.9474833333333343</v>
      </c>
      <c r="N640" s="10">
        <f t="shared" si="38"/>
        <v>6.9438583333333339</v>
      </c>
      <c r="O640" s="10">
        <f t="shared" si="38"/>
        <v>6.9474833333333343</v>
      </c>
    </row>
    <row r="641" spans="1:15" ht="15" x14ac:dyDescent="0.2">
      <c r="A641" s="11">
        <f t="shared" si="25"/>
        <v>2051</v>
      </c>
      <c r="B641" s="10">
        <f t="shared" ref="B641:O641" si="39">AVERAGE(B470:B481)</f>
        <v>7.9167750000000003</v>
      </c>
      <c r="C641" s="10">
        <f t="shared" si="39"/>
        <v>7.9167750000000003</v>
      </c>
      <c r="D641" s="10">
        <f t="shared" si="39"/>
        <v>7.9178500000000014</v>
      </c>
      <c r="E641" s="10">
        <f t="shared" si="39"/>
        <v>7.0716499999999991</v>
      </c>
      <c r="F641" s="10">
        <f t="shared" si="39"/>
        <v>7.0716499999999991</v>
      </c>
      <c r="G641" s="10">
        <f t="shared" si="39"/>
        <v>7.0752750000000013</v>
      </c>
      <c r="H641" s="10">
        <f t="shared" si="39"/>
        <v>15.06620833333333</v>
      </c>
      <c r="I641" s="10">
        <f t="shared" si="39"/>
        <v>15.069841666666667</v>
      </c>
      <c r="J641" s="10">
        <f t="shared" si="39"/>
        <v>15.06620833333333</v>
      </c>
      <c r="K641" s="10">
        <f t="shared" si="39"/>
        <v>15.069841666666667</v>
      </c>
      <c r="L641" s="10">
        <f t="shared" si="39"/>
        <v>7.0716499999999991</v>
      </c>
      <c r="M641" s="10">
        <f t="shared" si="39"/>
        <v>7.0752750000000013</v>
      </c>
      <c r="N641" s="10">
        <f t="shared" si="39"/>
        <v>7.0716499999999991</v>
      </c>
      <c r="O641" s="10">
        <f t="shared" si="39"/>
        <v>7.0752750000000013</v>
      </c>
    </row>
    <row r="642" spans="1:15" ht="15" x14ac:dyDescent="0.2">
      <c r="A642" s="11">
        <f t="shared" si="25"/>
        <v>2052</v>
      </c>
      <c r="B642" s="10">
        <f t="shared" ref="B642:O642" si="40">AVERAGE(B482:B493)</f>
        <v>8.1170416666666672</v>
      </c>
      <c r="C642" s="10">
        <f t="shared" si="40"/>
        <v>8.1170416666666672</v>
      </c>
      <c r="D642" s="10">
        <f t="shared" si="40"/>
        <v>8.1181166666666655</v>
      </c>
      <c r="E642" s="10">
        <f t="shared" si="40"/>
        <v>7.2020499999999998</v>
      </c>
      <c r="F642" s="10">
        <f t="shared" si="40"/>
        <v>7.2020499999999998</v>
      </c>
      <c r="G642" s="10">
        <f t="shared" si="40"/>
        <v>7.205683333333333</v>
      </c>
      <c r="H642" s="10">
        <f t="shared" si="40"/>
        <v>15.447191666666663</v>
      </c>
      <c r="I642" s="10">
        <f t="shared" si="40"/>
        <v>15.450841666666669</v>
      </c>
      <c r="J642" s="10">
        <f t="shared" si="40"/>
        <v>15.447191666666663</v>
      </c>
      <c r="K642" s="10">
        <f t="shared" si="40"/>
        <v>15.450841666666669</v>
      </c>
      <c r="L642" s="10">
        <f t="shared" si="40"/>
        <v>7.2020499999999998</v>
      </c>
      <c r="M642" s="10">
        <f t="shared" si="40"/>
        <v>7.205683333333333</v>
      </c>
      <c r="N642" s="10">
        <f t="shared" si="40"/>
        <v>7.2020499999999998</v>
      </c>
      <c r="O642" s="10">
        <f t="shared" si="40"/>
        <v>7.205683333333333</v>
      </c>
    </row>
    <row r="643" spans="1:15" ht="15" x14ac:dyDescent="0.2">
      <c r="A643" s="11">
        <f t="shared" si="25"/>
        <v>2053</v>
      </c>
      <c r="B643" s="10">
        <f t="shared" ref="B643:O643" si="41">AVERAGE(B494:B505)</f>
        <v>8.322375000000001</v>
      </c>
      <c r="C643" s="10">
        <f t="shared" si="41"/>
        <v>8.322375000000001</v>
      </c>
      <c r="D643" s="10">
        <f t="shared" si="41"/>
        <v>8.3234499999999993</v>
      </c>
      <c r="E643" s="10">
        <f t="shared" si="41"/>
        <v>7.3351333333333324</v>
      </c>
      <c r="F643" s="10">
        <f t="shared" si="41"/>
        <v>7.3351333333333324</v>
      </c>
      <c r="G643" s="10">
        <f t="shared" si="41"/>
        <v>7.3387583333333337</v>
      </c>
      <c r="H643" s="10">
        <f t="shared" si="41"/>
        <v>15.837833333333334</v>
      </c>
      <c r="I643" s="10">
        <f t="shared" si="41"/>
        <v>15.841475000000001</v>
      </c>
      <c r="J643" s="10">
        <f t="shared" si="41"/>
        <v>15.837833333333334</v>
      </c>
      <c r="K643" s="10">
        <f t="shared" si="41"/>
        <v>15.841475000000001</v>
      </c>
      <c r="L643" s="10">
        <f t="shared" si="41"/>
        <v>7.3351333333333324</v>
      </c>
      <c r="M643" s="10">
        <f t="shared" si="41"/>
        <v>7.3387583333333337</v>
      </c>
      <c r="N643" s="10">
        <f t="shared" si="41"/>
        <v>7.3351333333333324</v>
      </c>
      <c r="O643" s="10">
        <f t="shared" si="41"/>
        <v>7.3387583333333337</v>
      </c>
    </row>
    <row r="644" spans="1:15" ht="15" x14ac:dyDescent="0.2">
      <c r="A644" s="11">
        <f t="shared" si="25"/>
        <v>2054</v>
      </c>
      <c r="B644" s="10">
        <f t="shared" ref="B644:O644" si="42">AVERAGE(B506:B517)</f>
        <v>8.5329166666666669</v>
      </c>
      <c r="C644" s="10">
        <f t="shared" si="42"/>
        <v>8.5329166666666669</v>
      </c>
      <c r="D644" s="10">
        <f t="shared" si="42"/>
        <v>8.5340000000000007</v>
      </c>
      <c r="E644" s="10">
        <f t="shared" si="42"/>
        <v>7.4709583333333329</v>
      </c>
      <c r="F644" s="10">
        <f t="shared" si="42"/>
        <v>7.4709583333333329</v>
      </c>
      <c r="G644" s="10">
        <f t="shared" si="42"/>
        <v>7.4745749999999989</v>
      </c>
      <c r="H644" s="10">
        <f t="shared" si="42"/>
        <v>16.238341666666667</v>
      </c>
      <c r="I644" s="10">
        <f t="shared" si="42"/>
        <v>16.241975</v>
      </c>
      <c r="J644" s="10">
        <f t="shared" si="42"/>
        <v>16.238341666666667</v>
      </c>
      <c r="K644" s="10">
        <f t="shared" si="42"/>
        <v>16.241975</v>
      </c>
      <c r="L644" s="10">
        <f t="shared" si="42"/>
        <v>7.4709583333333329</v>
      </c>
      <c r="M644" s="10">
        <f t="shared" si="42"/>
        <v>7.4745749999999989</v>
      </c>
      <c r="N644" s="10">
        <f t="shared" si="42"/>
        <v>7.4709583333333329</v>
      </c>
      <c r="O644" s="10">
        <f t="shared" si="42"/>
        <v>7.4745749999999989</v>
      </c>
    </row>
    <row r="645" spans="1:15" ht="15" x14ac:dyDescent="0.2">
      <c r="A645" s="11">
        <f t="shared" si="25"/>
        <v>2055</v>
      </c>
      <c r="B645" s="10">
        <f t="shared" ref="B645:O645" si="43">AVERAGE(B18:B529)</f>
        <v>5.3655509765624991</v>
      </c>
      <c r="C645" s="10">
        <f t="shared" si="43"/>
        <v>5.3668812500000005</v>
      </c>
      <c r="D645" s="10">
        <f t="shared" si="43"/>
        <v>5.3694777343750024</v>
      </c>
      <c r="E645" s="10">
        <f t="shared" si="43"/>
        <v>5.4135345703124989</v>
      </c>
      <c r="F645" s="10">
        <f t="shared" si="43"/>
        <v>5.4035539062499991</v>
      </c>
      <c r="G645" s="10">
        <f t="shared" si="43"/>
        <v>5.4075648437499968</v>
      </c>
      <c r="H645" s="10">
        <f t="shared" si="43"/>
        <v>10.369837304687504</v>
      </c>
      <c r="I645" s="10">
        <f t="shared" si="43"/>
        <v>10.373848828125011</v>
      </c>
      <c r="J645" s="10">
        <f t="shared" si="43"/>
        <v>10.369837304687504</v>
      </c>
      <c r="K645" s="10">
        <f t="shared" si="43"/>
        <v>10.373848828125011</v>
      </c>
      <c r="L645" s="10">
        <f t="shared" si="43"/>
        <v>5.4135345703124989</v>
      </c>
      <c r="M645" s="10">
        <f t="shared" si="43"/>
        <v>5.4175472656249974</v>
      </c>
      <c r="N645" s="10">
        <f t="shared" si="43"/>
        <v>5.4135345703124989</v>
      </c>
      <c r="O645" s="10">
        <f t="shared" si="43"/>
        <v>5.4175472656249974</v>
      </c>
    </row>
    <row r="646" spans="1:15" ht="15" x14ac:dyDescent="0.2">
      <c r="A646" s="11">
        <f t="shared" si="25"/>
        <v>2056</v>
      </c>
      <c r="B646" s="10">
        <f t="shared" ref="B646:O646" si="44">AVERAGE(B530:B541)</f>
        <v>8.9701749999999993</v>
      </c>
      <c r="C646" s="10">
        <f t="shared" si="44"/>
        <v>8.9701749999999993</v>
      </c>
      <c r="D646" s="10">
        <f t="shared" si="44"/>
        <v>8.9712416666666677</v>
      </c>
      <c r="E646" s="10">
        <f t="shared" si="44"/>
        <v>7.7510833333333338</v>
      </c>
      <c r="F646" s="10">
        <f t="shared" si="44"/>
        <v>7.7510833333333338</v>
      </c>
      <c r="G646" s="10">
        <f t="shared" si="44"/>
        <v>7.7547250000000005</v>
      </c>
      <c r="H646" s="10">
        <f t="shared" si="44"/>
        <v>17.070033333333335</v>
      </c>
      <c r="I646" s="10">
        <f t="shared" si="44"/>
        <v>17.073649999999997</v>
      </c>
      <c r="J646" s="10">
        <f t="shared" si="44"/>
        <v>17.070033333333335</v>
      </c>
      <c r="K646" s="10">
        <f t="shared" si="44"/>
        <v>17.073649999999997</v>
      </c>
      <c r="L646" s="10">
        <f t="shared" si="44"/>
        <v>7.7510833333333338</v>
      </c>
      <c r="M646" s="10">
        <f t="shared" si="44"/>
        <v>7.7547250000000005</v>
      </c>
      <c r="N646" s="10">
        <f t="shared" si="44"/>
        <v>7.7510833333333338</v>
      </c>
      <c r="O646" s="10">
        <f t="shared" si="44"/>
        <v>7.7547250000000005</v>
      </c>
    </row>
    <row r="647" spans="1:15" ht="15" x14ac:dyDescent="0.2">
      <c r="A647" s="11">
        <f t="shared" si="25"/>
        <v>2057</v>
      </c>
      <c r="B647" s="10">
        <f t="shared" ref="B647:O647" si="45">AVERAGE(B542:B553)</f>
        <v>9.197141666666667</v>
      </c>
      <c r="C647" s="10">
        <f t="shared" si="45"/>
        <v>9.197141666666667</v>
      </c>
      <c r="D647" s="10">
        <f t="shared" si="45"/>
        <v>9.1982000000000017</v>
      </c>
      <c r="E647" s="10">
        <f t="shared" si="45"/>
        <v>7.8955083333333347</v>
      </c>
      <c r="F647" s="10">
        <f t="shared" si="45"/>
        <v>7.8955083333333347</v>
      </c>
      <c r="G647" s="10">
        <f t="shared" si="45"/>
        <v>7.8991499999999997</v>
      </c>
      <c r="H647" s="10">
        <f t="shared" si="45"/>
        <v>17.501691666666666</v>
      </c>
      <c r="I647" s="10">
        <f t="shared" si="45"/>
        <v>17.505333333333333</v>
      </c>
      <c r="J647" s="10">
        <f t="shared" si="45"/>
        <v>17.501691666666666</v>
      </c>
      <c r="K647" s="10">
        <f t="shared" si="45"/>
        <v>17.505333333333333</v>
      </c>
      <c r="L647" s="10">
        <f t="shared" si="45"/>
        <v>7.8955083333333347</v>
      </c>
      <c r="M647" s="10">
        <f t="shared" si="45"/>
        <v>7.8991499999999997</v>
      </c>
      <c r="N647" s="10">
        <f t="shared" si="45"/>
        <v>7.8955083333333347</v>
      </c>
      <c r="O647" s="10">
        <f t="shared" si="45"/>
        <v>7.8991499999999997</v>
      </c>
    </row>
    <row r="648" spans="1:15" ht="15" x14ac:dyDescent="0.2">
      <c r="A648" s="11">
        <f t="shared" si="25"/>
        <v>2058</v>
      </c>
      <c r="B648" s="10">
        <f t="shared" ref="B648:O648" si="46">AVERAGE(B554:B565)</f>
        <v>9.4298583333333319</v>
      </c>
      <c r="C648" s="10">
        <f t="shared" si="46"/>
        <v>9.4298583333333319</v>
      </c>
      <c r="D648" s="10">
        <f t="shared" si="46"/>
        <v>9.4309250000000002</v>
      </c>
      <c r="E648" s="10">
        <f t="shared" si="46"/>
        <v>8.0429416666666675</v>
      </c>
      <c r="F648" s="10">
        <f t="shared" si="46"/>
        <v>8.0429416666666675</v>
      </c>
      <c r="G648" s="10">
        <f t="shared" si="46"/>
        <v>8.0465583333333317</v>
      </c>
      <c r="H648" s="10">
        <f t="shared" si="46"/>
        <v>17.944291666666661</v>
      </c>
      <c r="I648" s="10">
        <f t="shared" si="46"/>
        <v>17.947908333333334</v>
      </c>
      <c r="J648" s="10">
        <f t="shared" si="46"/>
        <v>17.944291666666661</v>
      </c>
      <c r="K648" s="10">
        <f t="shared" si="46"/>
        <v>17.947908333333334</v>
      </c>
      <c r="L648" s="10">
        <f t="shared" si="46"/>
        <v>8.0429416666666675</v>
      </c>
      <c r="M648" s="10">
        <f t="shared" si="46"/>
        <v>8.0465583333333317</v>
      </c>
      <c r="N648" s="10">
        <f t="shared" si="46"/>
        <v>8.0429416666666675</v>
      </c>
      <c r="O648" s="10">
        <f t="shared" si="46"/>
        <v>8.0465583333333317</v>
      </c>
    </row>
    <row r="649" spans="1:15" ht="15" x14ac:dyDescent="0.2">
      <c r="A649" s="11">
        <f t="shared" si="25"/>
        <v>2059</v>
      </c>
      <c r="B649" s="10">
        <f t="shared" ref="B649:O649" si="47">AVERAGE(B566:B577)</f>
        <v>9.6684833333333344</v>
      </c>
      <c r="C649" s="10">
        <f t="shared" si="47"/>
        <v>9.6684833333333344</v>
      </c>
      <c r="D649" s="10">
        <f t="shared" si="47"/>
        <v>9.6695416666666656</v>
      </c>
      <c r="E649" s="10">
        <f t="shared" si="47"/>
        <v>8.1934416666666667</v>
      </c>
      <c r="F649" s="10">
        <f t="shared" si="47"/>
        <v>8.1934416666666667</v>
      </c>
      <c r="G649" s="10">
        <f t="shared" si="47"/>
        <v>8.1970833333333317</v>
      </c>
      <c r="H649" s="10">
        <f t="shared" si="47"/>
        <v>18.398083333333332</v>
      </c>
      <c r="I649" s="10">
        <f t="shared" si="47"/>
        <v>18.401708333333332</v>
      </c>
      <c r="J649" s="10">
        <f t="shared" si="47"/>
        <v>18.398083333333332</v>
      </c>
      <c r="K649" s="10">
        <f t="shared" si="47"/>
        <v>18.401708333333332</v>
      </c>
      <c r="L649" s="10">
        <f t="shared" si="47"/>
        <v>8.1934416666666667</v>
      </c>
      <c r="M649" s="10">
        <f t="shared" si="47"/>
        <v>8.1970833333333317</v>
      </c>
      <c r="N649" s="10">
        <f t="shared" si="47"/>
        <v>8.1934416666666667</v>
      </c>
      <c r="O649" s="10">
        <f t="shared" si="47"/>
        <v>8.1970833333333317</v>
      </c>
    </row>
    <row r="650" spans="1:15" ht="15" x14ac:dyDescent="0.2">
      <c r="A650" s="11">
        <f t="shared" si="25"/>
        <v>2060</v>
      </c>
      <c r="B650" s="10">
        <f t="shared" ref="B650:O650" si="48">AVERAGE(B578:B589)</f>
        <v>9.9131416666666663</v>
      </c>
      <c r="C650" s="10">
        <f t="shared" si="48"/>
        <v>9.9131416666666663</v>
      </c>
      <c r="D650" s="10">
        <f t="shared" si="48"/>
        <v>9.9142333333333319</v>
      </c>
      <c r="E650" s="10">
        <f t="shared" si="48"/>
        <v>8.3470750000000002</v>
      </c>
      <c r="F650" s="10">
        <f t="shared" si="48"/>
        <v>8.3470750000000002</v>
      </c>
      <c r="G650" s="10">
        <f t="shared" si="48"/>
        <v>8.3507333333333325</v>
      </c>
      <c r="H650" s="10">
        <f t="shared" si="48"/>
        <v>18.863325</v>
      </c>
      <c r="I650" s="10">
        <f t="shared" si="48"/>
        <v>18.866966666666663</v>
      </c>
      <c r="J650" s="10">
        <f t="shared" si="48"/>
        <v>18.863325</v>
      </c>
      <c r="K650" s="10">
        <f t="shared" si="48"/>
        <v>18.866966666666663</v>
      </c>
      <c r="L650" s="10">
        <f t="shared" si="48"/>
        <v>8.3470750000000002</v>
      </c>
      <c r="M650" s="10">
        <f t="shared" si="48"/>
        <v>8.3507333333333325</v>
      </c>
      <c r="N650" s="10">
        <f t="shared" si="48"/>
        <v>8.3470750000000002</v>
      </c>
      <c r="O650" s="10">
        <f t="shared" si="48"/>
        <v>8.3507333333333325</v>
      </c>
    </row>
    <row r="651" spans="1:15" ht="15" x14ac:dyDescent="0.2">
      <c r="A651" s="11">
        <f t="shared" si="25"/>
        <v>2061</v>
      </c>
      <c r="B651" s="10">
        <f t="shared" ref="B651:O651" si="49">AVERAGE(B590:B601)</f>
        <v>10.164025000000001</v>
      </c>
      <c r="C651" s="10">
        <f t="shared" si="49"/>
        <v>10.164025000000001</v>
      </c>
      <c r="D651" s="10">
        <f t="shared" si="49"/>
        <v>10.165100000000001</v>
      </c>
      <c r="E651" s="10">
        <f t="shared" si="49"/>
        <v>8.5039333333333342</v>
      </c>
      <c r="F651" s="10">
        <f t="shared" si="49"/>
        <v>8.5039333333333342</v>
      </c>
      <c r="G651" s="10">
        <f t="shared" si="49"/>
        <v>8.5075833333333311</v>
      </c>
      <c r="H651" s="10">
        <f t="shared" si="49"/>
        <v>19.340341666666664</v>
      </c>
      <c r="I651" s="10">
        <f t="shared" si="49"/>
        <v>19.34398333333333</v>
      </c>
      <c r="J651" s="10">
        <f t="shared" si="49"/>
        <v>19.340341666666664</v>
      </c>
      <c r="K651" s="10">
        <f t="shared" si="49"/>
        <v>19.34398333333333</v>
      </c>
      <c r="L651" s="10">
        <f t="shared" si="49"/>
        <v>8.5039333333333342</v>
      </c>
      <c r="M651" s="10">
        <f t="shared" si="49"/>
        <v>8.5075833333333311</v>
      </c>
      <c r="N651" s="10">
        <f t="shared" si="49"/>
        <v>8.5039333333333342</v>
      </c>
      <c r="O651" s="10">
        <f t="shared" si="49"/>
        <v>8.5075833333333311</v>
      </c>
    </row>
    <row r="652" spans="1:15" ht="15" x14ac:dyDescent="0.2">
      <c r="B652" s="10"/>
      <c r="C652" s="10"/>
      <c r="D652" s="10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</sheetData>
  <mergeCells count="7">
    <mergeCell ref="B10:D10"/>
    <mergeCell ref="P10:Q10"/>
    <mergeCell ref="R10:S10"/>
    <mergeCell ref="P9:S9"/>
    <mergeCell ref="E10:G10"/>
    <mergeCell ref="H10:K10"/>
    <mergeCell ref="L10:O10"/>
  </mergeCells>
  <pageMargins left="0.25" right="0.25" top="0.5" bottom="0.5" header="0.25" footer="0.25"/>
  <pageSetup paperSize="17" scale="6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5</xdr:col>
                    <xdr:colOff>390525</xdr:colOff>
                    <xdr:row>7</xdr:row>
                    <xdr:rowOff>76200</xdr:rowOff>
                  </from>
                  <to>
                    <xdr:col>6</xdr:col>
                    <xdr:colOff>400050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Q708"/>
  <sheetViews>
    <sheetView zoomScale="75" zoomScaleNormal="75" workbookViewId="0">
      <pane xSplit="1" ySplit="11" topLeftCell="B12" activePane="bottomRight" state="frozen"/>
      <selection activeCell="A7" sqref="A7"/>
      <selection pane="topRight" activeCell="A7" sqref="A7"/>
      <selection pane="bottomLeft" activeCell="A7" sqref="A7"/>
      <selection pane="bottomRight" activeCell="B12" sqref="B12"/>
    </sheetView>
  </sheetViews>
  <sheetFormatPr defaultColWidth="7.109375" defaultRowHeight="12.75" x14ac:dyDescent="0.2"/>
  <cols>
    <col min="1" max="1" width="19.77734375" style="33" customWidth="1"/>
    <col min="2" max="4" width="16.109375" style="33" customWidth="1"/>
    <col min="5" max="5" width="21" style="33" customWidth="1"/>
    <col min="6" max="9" width="16.109375" style="33" customWidth="1"/>
    <col min="10" max="10" width="12.33203125" style="8" customWidth="1"/>
    <col min="11" max="11" width="10.77734375" style="8" customWidth="1"/>
    <col min="12" max="12" width="11.6640625" style="8" customWidth="1"/>
    <col min="13" max="16384" width="7.109375" style="8"/>
  </cols>
  <sheetData>
    <row r="1" spans="1:17" ht="15.75" x14ac:dyDescent="0.25">
      <c r="A1" s="103" t="s">
        <v>90</v>
      </c>
    </row>
    <row r="2" spans="1:17" ht="15.75" x14ac:dyDescent="0.25">
      <c r="A2" s="103" t="s">
        <v>91</v>
      </c>
    </row>
    <row r="3" spans="1:17" ht="15.75" x14ac:dyDescent="0.25">
      <c r="A3" s="103" t="s">
        <v>92</v>
      </c>
    </row>
    <row r="4" spans="1:17" ht="15.75" x14ac:dyDescent="0.25">
      <c r="A4" s="103" t="s">
        <v>93</v>
      </c>
    </row>
    <row r="5" spans="1:17" ht="15.75" x14ac:dyDescent="0.25">
      <c r="A5" s="103" t="s">
        <v>95</v>
      </c>
    </row>
    <row r="6" spans="1:17" ht="15.75" x14ac:dyDescent="0.25">
      <c r="A6" s="103" t="s">
        <v>97</v>
      </c>
    </row>
    <row r="7" spans="1:17" s="25" customForma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17" ht="15.75" x14ac:dyDescent="0.25">
      <c r="A8" s="42" t="s">
        <v>27</v>
      </c>
      <c r="B8" s="8"/>
      <c r="C8" s="8"/>
      <c r="D8" s="8"/>
      <c r="E8" s="8"/>
      <c r="F8" s="8"/>
      <c r="G8" s="8"/>
      <c r="H8" s="8"/>
      <c r="I8" s="8"/>
    </row>
    <row r="9" spans="1:17" ht="15.75" x14ac:dyDescent="0.25">
      <c r="A9" s="42"/>
      <c r="B9" s="41"/>
      <c r="C9" s="40" t="s">
        <v>25</v>
      </c>
      <c r="D9" s="39">
        <f>1-0.278</f>
        <v>0.72199999999999998</v>
      </c>
      <c r="E9" s="40" t="s">
        <v>24</v>
      </c>
      <c r="F9" s="39">
        <v>1.278</v>
      </c>
      <c r="G9" s="8"/>
      <c r="H9" s="8"/>
      <c r="I9" s="8"/>
    </row>
    <row r="10" spans="1:17" s="35" customFormat="1" ht="13.15" customHeight="1" x14ac:dyDescent="0.25">
      <c r="B10" s="36" t="s">
        <v>37</v>
      </c>
      <c r="C10" s="36" t="s">
        <v>36</v>
      </c>
      <c r="D10" s="36" t="s">
        <v>35</v>
      </c>
      <c r="E10" s="38" t="s">
        <v>34</v>
      </c>
      <c r="F10" s="36" t="s">
        <v>33</v>
      </c>
      <c r="G10" s="38" t="s">
        <v>32</v>
      </c>
      <c r="H10" s="38" t="s">
        <v>31</v>
      </c>
      <c r="I10" s="36" t="s">
        <v>30</v>
      </c>
      <c r="J10" s="36" t="s">
        <v>29</v>
      </c>
      <c r="K10" s="36" t="s">
        <v>28</v>
      </c>
      <c r="L10" s="36"/>
    </row>
    <row r="11" spans="1:17" s="35" customFormat="1" ht="13.15" customHeight="1" x14ac:dyDescent="0.25">
      <c r="A11" s="37" t="s">
        <v>15</v>
      </c>
      <c r="B11" s="36" t="s">
        <v>14</v>
      </c>
      <c r="C11" s="36" t="s">
        <v>14</v>
      </c>
      <c r="D11" s="36" t="s">
        <v>14</v>
      </c>
      <c r="E11" s="36" t="s">
        <v>14</v>
      </c>
      <c r="F11" s="36" t="s">
        <v>14</v>
      </c>
      <c r="G11" s="36" t="s">
        <v>14</v>
      </c>
      <c r="H11" s="36" t="s">
        <v>14</v>
      </c>
      <c r="I11" s="36" t="s">
        <v>14</v>
      </c>
      <c r="J11" s="36" t="s">
        <v>14</v>
      </c>
      <c r="K11" s="36" t="s">
        <v>14</v>
      </c>
      <c r="L11" s="36"/>
    </row>
    <row r="12" spans="1:17" ht="15" x14ac:dyDescent="0.2">
      <c r="A12" s="16">
        <v>41275</v>
      </c>
      <c r="B12" s="17">
        <v>24.537438554750199</v>
      </c>
      <c r="C12" s="17">
        <v>24.1051915564654</v>
      </c>
      <c r="D12" s="17">
        <v>24.1051915564654</v>
      </c>
      <c r="E12" s="17">
        <v>23.9685330658994</v>
      </c>
      <c r="F12" s="17">
        <v>23.9685330658994</v>
      </c>
      <c r="G12" s="17">
        <v>24.239908537597501</v>
      </c>
      <c r="H12" s="17">
        <v>24.1051915564654</v>
      </c>
      <c r="I12" s="17">
        <v>24.1051915564654</v>
      </c>
      <c r="J12" s="17">
        <v>23.744985724561499</v>
      </c>
      <c r="K12" s="17">
        <v>24.1051915564654</v>
      </c>
      <c r="L12" s="17"/>
      <c r="M12" s="34"/>
      <c r="N12" s="34"/>
      <c r="O12" s="34"/>
      <c r="P12" s="34"/>
      <c r="Q12" s="34"/>
    </row>
    <row r="13" spans="1:17" ht="15" x14ac:dyDescent="0.2">
      <c r="A13" s="16">
        <v>41306</v>
      </c>
      <c r="B13" s="17">
        <v>25.612662092624401</v>
      </c>
      <c r="C13" s="17">
        <v>25.180415094339601</v>
      </c>
      <c r="D13" s="17">
        <v>25.180415094339601</v>
      </c>
      <c r="E13" s="17">
        <v>25.043756603773598</v>
      </c>
      <c r="F13" s="17">
        <v>25.043756603773598</v>
      </c>
      <c r="G13" s="17">
        <v>25.315132075471698</v>
      </c>
      <c r="H13" s="17">
        <v>25.180415094339601</v>
      </c>
      <c r="I13" s="17">
        <v>25.180415094339601</v>
      </c>
      <c r="J13" s="17">
        <v>24.8202092624357</v>
      </c>
      <c r="K13" s="17">
        <v>25.180415094339601</v>
      </c>
      <c r="L13" s="17"/>
      <c r="M13" s="34"/>
      <c r="N13" s="34"/>
      <c r="O13" s="34"/>
      <c r="P13" s="34"/>
      <c r="Q13" s="34"/>
    </row>
    <row r="14" spans="1:17" ht="15" x14ac:dyDescent="0.2">
      <c r="A14" s="16">
        <v>41334</v>
      </c>
      <c r="B14" s="17">
        <v>24.135123499142399</v>
      </c>
      <c r="C14" s="17">
        <v>23.702876500857599</v>
      </c>
      <c r="D14" s="17">
        <v>23.702876500857599</v>
      </c>
      <c r="E14" s="17">
        <v>23.5662180102916</v>
      </c>
      <c r="F14" s="17">
        <v>23.5662180102916</v>
      </c>
      <c r="G14" s="17">
        <v>23.8375934819897</v>
      </c>
      <c r="H14" s="17">
        <v>23.702876500857599</v>
      </c>
      <c r="I14" s="17">
        <v>23.702876500857599</v>
      </c>
      <c r="J14" s="17">
        <v>23.342670668953701</v>
      </c>
      <c r="K14" s="17">
        <v>23.702876500857599</v>
      </c>
      <c r="L14" s="17"/>
      <c r="M14" s="34"/>
      <c r="N14" s="34"/>
      <c r="O14" s="34"/>
      <c r="P14" s="34"/>
      <c r="Q14" s="34"/>
    </row>
    <row r="15" spans="1:17" ht="15" x14ac:dyDescent="0.2">
      <c r="A15" s="16">
        <v>41365</v>
      </c>
      <c r="B15" s="17">
        <f>23.3219 * CHOOSE(CONTROL!$C$9, $D$9, 100%, $F$9) + CHOOSE(CONTROL!$C$27, 0.0021, 0)</f>
        <v>23.323999999999998</v>
      </c>
      <c r="C15" s="17">
        <f>22.8896 * CHOOSE(CONTROL!$C$9, $D$9, 100%, $F$9) + CHOOSE(CONTROL!$C$27, 0.0021, 0)</f>
        <v>22.8917</v>
      </c>
      <c r="D15" s="17">
        <f>22.8896 * CHOOSE(CONTROL!$C$9, $D$9, 100%, $F$9) + CHOOSE(CONTROL!$C$27, 0.0021, 0)</f>
        <v>22.8917</v>
      </c>
      <c r="E15" s="17">
        <f>22.753 * CHOOSE(CONTROL!$C$9, $D$9, 100%, $F$9) + CHOOSE(CONTROL!$C$27, 0.0021, 0)</f>
        <v>22.755099999999999</v>
      </c>
      <c r="F15" s="17">
        <f>22.753 * CHOOSE(CONTROL!$C$9, $D$9, 100%, $F$9) + CHOOSE(CONTROL!$C$27, 0.0021, 0)</f>
        <v>22.755099999999999</v>
      </c>
      <c r="G15" s="17">
        <f>23.0244 * CHOOSE(CONTROL!$C$9, $D$9, 100%, $F$9) + CHOOSE(CONTROL!$C$27, 0.0021, 0)</f>
        <v>23.026499999999999</v>
      </c>
      <c r="H15" s="17">
        <f>22.8896 * CHOOSE(CONTROL!$C$9, $D$9, 100%, $F$9) + CHOOSE(CONTROL!$C$27, 0.0021, 0)</f>
        <v>22.8917</v>
      </c>
      <c r="I15" s="17">
        <f>22.8896 * CHOOSE(CONTROL!$C$9, $D$9, 100%, $F$9) + CHOOSE(CONTROL!$C$27, 0.0021, 0)</f>
        <v>22.8917</v>
      </c>
      <c r="J15" s="17">
        <f>22.5294 * CHOOSE(CONTROL!$C$9, $D$9, 100%, $F$9) + CHOOSE(CONTROL!$C$27, 0.0021, 0)</f>
        <v>22.531499999999998</v>
      </c>
      <c r="K15" s="17">
        <f>22.8896 * CHOOSE(CONTROL!$C$9, $D$9, 100%, $F$9) + CHOOSE(CONTROL!$C$27, 0.0021, 0)</f>
        <v>22.8917</v>
      </c>
      <c r="L15" s="17"/>
      <c r="M15" s="34"/>
      <c r="N15" s="34"/>
      <c r="O15" s="34"/>
      <c r="P15" s="34"/>
      <c r="Q15" s="34"/>
    </row>
    <row r="16" spans="1:17" ht="15" x14ac:dyDescent="0.2">
      <c r="A16" s="16">
        <v>41395</v>
      </c>
      <c r="B16" s="17">
        <f>23.953 * CHOOSE(CONTROL!$C$9, $D$9, 100%, $F$9) + CHOOSE(CONTROL!$C$27, 0.0021, 0)</f>
        <v>23.955099999999998</v>
      </c>
      <c r="C16" s="17">
        <f>23.5207 * CHOOSE(CONTROL!$C$9, $D$9, 100%, $F$9) + CHOOSE(CONTROL!$C$27, 0.0021, 0)</f>
        <v>23.5228</v>
      </c>
      <c r="D16" s="17">
        <f>23.5207 * CHOOSE(CONTROL!$C$9, $D$9, 100%, $F$9) + CHOOSE(CONTROL!$C$27, 0.0021, 0)</f>
        <v>23.5228</v>
      </c>
      <c r="E16" s="17">
        <f>23.3841 * CHOOSE(CONTROL!$C$9, $D$9, 100%, $F$9) + CHOOSE(CONTROL!$C$27, 0.0021, 0)</f>
        <v>23.386199999999999</v>
      </c>
      <c r="F16" s="17">
        <f>23.3841 * CHOOSE(CONTROL!$C$9, $D$9, 100%, $F$9) + CHOOSE(CONTROL!$C$27, 0.0021, 0)</f>
        <v>23.386199999999999</v>
      </c>
      <c r="G16" s="17">
        <f>23.6554 * CHOOSE(CONTROL!$C$9, $D$9, 100%, $F$9) + CHOOSE(CONTROL!$C$27, 0.0021, 0)</f>
        <v>23.657499999999999</v>
      </c>
      <c r="H16" s="17">
        <f>23.5207 * CHOOSE(CONTROL!$C$9, $D$9, 100%, $F$9) + CHOOSE(CONTROL!$C$27, 0.0021, 0)</f>
        <v>23.5228</v>
      </c>
      <c r="I16" s="17">
        <f>23.5207 * CHOOSE(CONTROL!$C$9, $D$9, 100%, $F$9) + CHOOSE(CONTROL!$C$27, 0.0021, 0)</f>
        <v>23.5228</v>
      </c>
      <c r="J16" s="17">
        <f>23.1605 * CHOOSE(CONTROL!$C$9, $D$9, 100%, $F$9) + CHOOSE(CONTROL!$C$27, 0.0021, 0)</f>
        <v>23.162599999999998</v>
      </c>
      <c r="K16" s="17">
        <f>23.5207 * CHOOSE(CONTROL!$C$9, $D$9, 100%, $F$9) + CHOOSE(CONTROL!$C$27, 0.0021, 0)</f>
        <v>23.5228</v>
      </c>
      <c r="L16" s="17"/>
      <c r="M16" s="34"/>
      <c r="N16" s="34"/>
      <c r="O16" s="34"/>
      <c r="P16" s="34"/>
      <c r="Q16" s="34"/>
    </row>
    <row r="17" spans="1:17" ht="15" x14ac:dyDescent="0.2">
      <c r="A17" s="16">
        <v>41426</v>
      </c>
      <c r="B17" s="17">
        <f>23.8017 * CHOOSE(CONTROL!$C$9, $D$9, 100%, $F$9) + CHOOSE(CONTROL!$C$27, 0.0021, 0)</f>
        <v>23.803799999999999</v>
      </c>
      <c r="C17" s="17">
        <f>23.3694 * CHOOSE(CONTROL!$C$9, $D$9, 100%, $F$9) + CHOOSE(CONTROL!$C$27, 0.0021, 0)</f>
        <v>23.371499999999997</v>
      </c>
      <c r="D17" s="17">
        <f>23.3694 * CHOOSE(CONTROL!$C$9, $D$9, 100%, $F$9) + CHOOSE(CONTROL!$C$27, 0.0021, 0)</f>
        <v>23.371499999999997</v>
      </c>
      <c r="E17" s="17">
        <f>23.2328 * CHOOSE(CONTROL!$C$9, $D$9, 100%, $F$9) + CHOOSE(CONTROL!$C$27, 0.0021, 0)</f>
        <v>23.2349</v>
      </c>
      <c r="F17" s="17">
        <f>23.2328 * CHOOSE(CONTROL!$C$9, $D$9, 100%, $F$9) + CHOOSE(CONTROL!$C$27, 0.0021, 0)</f>
        <v>23.2349</v>
      </c>
      <c r="G17" s="17">
        <f>23.5042 * CHOOSE(CONTROL!$C$9, $D$9, 100%, $F$9) + CHOOSE(CONTROL!$C$27, 0.0021, 0)</f>
        <v>23.5063</v>
      </c>
      <c r="H17" s="17">
        <f>23.3694 * CHOOSE(CONTROL!$C$9, $D$9, 100%, $F$9) + CHOOSE(CONTROL!$C$27, 0.0021, 0)</f>
        <v>23.371499999999997</v>
      </c>
      <c r="I17" s="17">
        <f>23.3694 * CHOOSE(CONTROL!$C$9, $D$9, 100%, $F$9) + CHOOSE(CONTROL!$C$27, 0.0021, 0)</f>
        <v>23.371499999999997</v>
      </c>
      <c r="J17" s="17">
        <f>23.0092 * CHOOSE(CONTROL!$C$9, $D$9, 100%, $F$9) + CHOOSE(CONTROL!$C$27, 0.0021, 0)</f>
        <v>23.011299999999999</v>
      </c>
      <c r="K17" s="17">
        <f>23.3694 * CHOOSE(CONTROL!$C$9, $D$9, 100%, $F$9) + CHOOSE(CONTROL!$C$27, 0.0021, 0)</f>
        <v>23.371499999999997</v>
      </c>
      <c r="L17" s="17"/>
      <c r="M17" s="34"/>
      <c r="N17" s="34"/>
      <c r="O17" s="34"/>
      <c r="P17" s="34"/>
      <c r="Q17" s="34"/>
    </row>
    <row r="18" spans="1:17" ht="15" x14ac:dyDescent="0.2">
      <c r="A18" s="16">
        <v>41456</v>
      </c>
      <c r="B18" s="17">
        <f>23.7152 * CHOOSE(CONTROL!$C$9, $D$9, 100%, $F$9) + CHOOSE(CONTROL!$C$27, 0.0021, 0)</f>
        <v>23.717299999999998</v>
      </c>
      <c r="C18" s="17">
        <f>23.283 * CHOOSE(CONTROL!$C$9, $D$9, 100%, $F$9) + CHOOSE(CONTROL!$C$27, 0.0021, 0)</f>
        <v>23.2851</v>
      </c>
      <c r="D18" s="17">
        <f>23.283 * CHOOSE(CONTROL!$C$9, $D$9, 100%, $F$9) + CHOOSE(CONTROL!$C$27, 0.0021, 0)</f>
        <v>23.2851</v>
      </c>
      <c r="E18" s="17">
        <f>23.1463 * CHOOSE(CONTROL!$C$9, $D$9, 100%, $F$9) + CHOOSE(CONTROL!$C$27, 0.0021, 0)</f>
        <v>23.148399999999999</v>
      </c>
      <c r="F18" s="17">
        <f>23.1463 * CHOOSE(CONTROL!$C$9, $D$9, 100%, $F$9) + CHOOSE(CONTROL!$C$27, 0.0021, 0)</f>
        <v>23.148399999999999</v>
      </c>
      <c r="G18" s="17">
        <f>23.4177 * CHOOSE(CONTROL!$C$9, $D$9, 100%, $F$9) + CHOOSE(CONTROL!$C$27, 0.0021, 0)</f>
        <v>23.419799999999999</v>
      </c>
      <c r="H18" s="17">
        <f>23.283 * CHOOSE(CONTROL!$C$9, $D$9, 100%, $F$9) + CHOOSE(CONTROL!$C$27, 0.0021, 0)</f>
        <v>23.2851</v>
      </c>
      <c r="I18" s="17">
        <f>23.283 * CHOOSE(CONTROL!$C$9, $D$9, 100%, $F$9) + CHOOSE(CONTROL!$C$27, 0.0021, 0)</f>
        <v>23.2851</v>
      </c>
      <c r="J18" s="17">
        <f>22.9228 * CHOOSE(CONTROL!$C$9, $D$9, 100%, $F$9) + CHOOSE(CONTROL!$C$27, 0.0021, 0)</f>
        <v>22.924899999999997</v>
      </c>
      <c r="K18" s="17">
        <f>23.283 * CHOOSE(CONTROL!$C$9, $D$9, 100%, $F$9) + CHOOSE(CONTROL!$C$27, 0.0021, 0)</f>
        <v>23.2851</v>
      </c>
      <c r="L18" s="17"/>
      <c r="M18" s="34"/>
      <c r="N18" s="34"/>
      <c r="O18" s="34"/>
      <c r="P18" s="34"/>
      <c r="Q18" s="34"/>
    </row>
    <row r="19" spans="1:17" ht="15" x14ac:dyDescent="0.2">
      <c r="A19" s="16">
        <v>41487</v>
      </c>
      <c r="B19" s="17">
        <f>23.6684 * CHOOSE(CONTROL!$C$9, $D$9, 100%, $F$9) + CHOOSE(CONTROL!$C$27, 0.0021, 0)</f>
        <v>23.670499999999997</v>
      </c>
      <c r="C19" s="17">
        <f>23.2362 * CHOOSE(CONTROL!$C$9, $D$9, 100%, $F$9) + CHOOSE(CONTROL!$C$27, 0.0021, 0)</f>
        <v>23.238299999999999</v>
      </c>
      <c r="D19" s="17">
        <f>23.2362 * CHOOSE(CONTROL!$C$9, $D$9, 100%, $F$9) + CHOOSE(CONTROL!$C$27, 0.0021, 0)</f>
        <v>23.238299999999999</v>
      </c>
      <c r="E19" s="17">
        <f>23.0995 * CHOOSE(CONTROL!$C$9, $D$9, 100%, $F$9) + CHOOSE(CONTROL!$C$27, 0.0021, 0)</f>
        <v>23.101599999999998</v>
      </c>
      <c r="F19" s="17">
        <f>23.0995 * CHOOSE(CONTROL!$C$9, $D$9, 100%, $F$9) + CHOOSE(CONTROL!$C$27, 0.0021, 0)</f>
        <v>23.101599999999998</v>
      </c>
      <c r="G19" s="17">
        <f>23.3709 * CHOOSE(CONTROL!$C$9, $D$9, 100%, $F$9) + CHOOSE(CONTROL!$C$27, 0.0021, 0)</f>
        <v>23.372999999999998</v>
      </c>
      <c r="H19" s="17">
        <f>23.2362 * CHOOSE(CONTROL!$C$9, $D$9, 100%, $F$9) + CHOOSE(CONTROL!$C$27, 0.0021, 0)</f>
        <v>23.238299999999999</v>
      </c>
      <c r="I19" s="17">
        <f>23.2362 * CHOOSE(CONTROL!$C$9, $D$9, 100%, $F$9) + CHOOSE(CONTROL!$C$27, 0.0021, 0)</f>
        <v>23.238299999999999</v>
      </c>
      <c r="J19" s="17">
        <f>22.876 * CHOOSE(CONTROL!$C$9, $D$9, 100%, $F$9) + CHOOSE(CONTROL!$C$27, 0.0021, 0)</f>
        <v>22.8781</v>
      </c>
      <c r="K19" s="17">
        <f>23.2362 * CHOOSE(CONTROL!$C$9, $D$9, 100%, $F$9) + CHOOSE(CONTROL!$C$27, 0.0021, 0)</f>
        <v>23.238299999999999</v>
      </c>
      <c r="L19" s="17"/>
      <c r="M19" s="34"/>
      <c r="N19" s="34"/>
      <c r="O19" s="34"/>
      <c r="P19" s="34"/>
      <c r="Q19" s="34"/>
    </row>
    <row r="20" spans="1:17" ht="15" x14ac:dyDescent="0.2">
      <c r="A20" s="16">
        <v>41518</v>
      </c>
      <c r="B20" s="17">
        <f>23.6281 * CHOOSE(CONTROL!$C$9, $D$9, 100%, $F$9) + CHOOSE(CONTROL!$C$27, 0.0021, 0)</f>
        <v>23.630199999999999</v>
      </c>
      <c r="C20" s="17">
        <f>23.1958 * CHOOSE(CONTROL!$C$9, $D$9, 100%, $F$9) + CHOOSE(CONTROL!$C$27, 0.0021, 0)</f>
        <v>23.197899999999997</v>
      </c>
      <c r="D20" s="17">
        <f>23.1958 * CHOOSE(CONTROL!$C$9, $D$9, 100%, $F$9) + CHOOSE(CONTROL!$C$27, 0.0021, 0)</f>
        <v>23.197899999999997</v>
      </c>
      <c r="E20" s="17">
        <f>23.0592 * CHOOSE(CONTROL!$C$9, $D$9, 100%, $F$9) + CHOOSE(CONTROL!$C$27, 0.0021, 0)</f>
        <v>23.061299999999999</v>
      </c>
      <c r="F20" s="17">
        <f>23.0592 * CHOOSE(CONTROL!$C$9, $D$9, 100%, $F$9) + CHOOSE(CONTROL!$C$27, 0.0021, 0)</f>
        <v>23.061299999999999</v>
      </c>
      <c r="G20" s="17">
        <f>23.3305 * CHOOSE(CONTROL!$C$9, $D$9, 100%, $F$9) + CHOOSE(CONTROL!$C$27, 0.0021, 0)</f>
        <v>23.332599999999999</v>
      </c>
      <c r="H20" s="17">
        <f>23.1958 * CHOOSE(CONTROL!$C$9, $D$9, 100%, $F$9) + CHOOSE(CONTROL!$C$27, 0.0021, 0)</f>
        <v>23.197899999999997</v>
      </c>
      <c r="I20" s="17">
        <f>23.1958 * CHOOSE(CONTROL!$C$9, $D$9, 100%, $F$9) + CHOOSE(CONTROL!$C$27, 0.0021, 0)</f>
        <v>23.197899999999997</v>
      </c>
      <c r="J20" s="17">
        <f>22.8356 * CHOOSE(CONTROL!$C$9, $D$9, 100%, $F$9) + CHOOSE(CONTROL!$C$27, 0.0021, 0)</f>
        <v>22.837699999999998</v>
      </c>
      <c r="K20" s="17">
        <f>23.1958 * CHOOSE(CONTROL!$C$9, $D$9, 100%, $F$9) + CHOOSE(CONTROL!$C$27, 0.0021, 0)</f>
        <v>23.197899999999997</v>
      </c>
      <c r="L20" s="17"/>
      <c r="M20" s="34"/>
      <c r="N20" s="34"/>
      <c r="O20" s="34"/>
      <c r="P20" s="34"/>
      <c r="Q20" s="34"/>
    </row>
    <row r="21" spans="1:17" ht="15" x14ac:dyDescent="0.2">
      <c r="A21" s="16">
        <v>41548</v>
      </c>
      <c r="B21" s="17">
        <f>23.587 * CHOOSE(CONTROL!$C$9, $D$9, 100%, $F$9) + CHOOSE(CONTROL!$C$27, 0.0021, 0)</f>
        <v>23.589099999999998</v>
      </c>
      <c r="C21" s="17">
        <f>23.1548 * CHOOSE(CONTROL!$C$9, $D$9, 100%, $F$9) + CHOOSE(CONTROL!$C$27, 0.0021, 0)</f>
        <v>23.1569</v>
      </c>
      <c r="D21" s="17">
        <f>23.1548 * CHOOSE(CONTROL!$C$9, $D$9, 100%, $F$9) + CHOOSE(CONTROL!$C$27, 0.0021, 0)</f>
        <v>23.1569</v>
      </c>
      <c r="E21" s="17">
        <f>23.0181 * CHOOSE(CONTROL!$C$9, $D$9, 100%, $F$9) + CHOOSE(CONTROL!$C$27, 0.0021, 0)</f>
        <v>23.020199999999999</v>
      </c>
      <c r="F21" s="17">
        <f>23.0181 * CHOOSE(CONTROL!$C$9, $D$9, 100%, $F$9) + CHOOSE(CONTROL!$C$27, 0.0021, 0)</f>
        <v>23.020199999999999</v>
      </c>
      <c r="G21" s="17">
        <f>23.2895 * CHOOSE(CONTROL!$C$9, $D$9, 100%, $F$9) + CHOOSE(CONTROL!$C$27, 0.0021, 0)</f>
        <v>23.291599999999999</v>
      </c>
      <c r="H21" s="17">
        <f>23.1548 * CHOOSE(CONTROL!$C$9, $D$9, 100%, $F$9) + CHOOSE(CONTROL!$C$27, 0.0021, 0)</f>
        <v>23.1569</v>
      </c>
      <c r="I21" s="17">
        <f>23.1548 * CHOOSE(CONTROL!$C$9, $D$9, 100%, $F$9) + CHOOSE(CONTROL!$C$27, 0.0021, 0)</f>
        <v>23.1569</v>
      </c>
      <c r="J21" s="17">
        <f>22.7945 * CHOOSE(CONTROL!$C$9, $D$9, 100%, $F$9) + CHOOSE(CONTROL!$C$27, 0.0021, 0)</f>
        <v>22.796599999999998</v>
      </c>
      <c r="K21" s="17">
        <f>23.1548 * CHOOSE(CONTROL!$C$9, $D$9, 100%, $F$9) + CHOOSE(CONTROL!$C$27, 0.0021, 0)</f>
        <v>23.1569</v>
      </c>
      <c r="L21" s="17"/>
      <c r="M21" s="34"/>
      <c r="N21" s="34"/>
      <c r="O21" s="34"/>
      <c r="P21" s="34"/>
      <c r="Q21" s="34"/>
    </row>
    <row r="22" spans="1:17" ht="15" x14ac:dyDescent="0.2">
      <c r="A22" s="16">
        <v>41579</v>
      </c>
      <c r="B22" s="17">
        <f>23.5481 * CHOOSE(CONTROL!$C$9, $D$9, 100%, $F$9) + CHOOSE(CONTROL!$C$27, 0.0021, 0)</f>
        <v>23.5502</v>
      </c>
      <c r="C22" s="17">
        <f>23.1158 * CHOOSE(CONTROL!$C$9, $D$9, 100%, $F$9) + CHOOSE(CONTROL!$C$27, 0.0021, 0)</f>
        <v>23.117899999999999</v>
      </c>
      <c r="D22" s="17">
        <f>23.1158 * CHOOSE(CONTROL!$C$9, $D$9, 100%, $F$9) + CHOOSE(CONTROL!$C$27, 0.0021, 0)</f>
        <v>23.117899999999999</v>
      </c>
      <c r="E22" s="17">
        <f>22.9792 * CHOOSE(CONTROL!$C$9, $D$9, 100%, $F$9) + CHOOSE(CONTROL!$C$27, 0.0021, 0)</f>
        <v>22.981299999999997</v>
      </c>
      <c r="F22" s="17">
        <f>22.9792 * CHOOSE(CONTROL!$C$9, $D$9, 100%, $F$9) + CHOOSE(CONTROL!$C$27, 0.0021, 0)</f>
        <v>22.981299999999997</v>
      </c>
      <c r="G22" s="17">
        <f>23.2506 * CHOOSE(CONTROL!$C$9, $D$9, 100%, $F$9) + CHOOSE(CONTROL!$C$27, 0.0021, 0)</f>
        <v>23.252699999999997</v>
      </c>
      <c r="H22" s="17">
        <f>23.1158 * CHOOSE(CONTROL!$C$9, $D$9, 100%, $F$9) + CHOOSE(CONTROL!$C$27, 0.0021, 0)</f>
        <v>23.117899999999999</v>
      </c>
      <c r="I22" s="17">
        <f>23.1158 * CHOOSE(CONTROL!$C$9, $D$9, 100%, $F$9) + CHOOSE(CONTROL!$C$27, 0.0021, 0)</f>
        <v>23.117899999999999</v>
      </c>
      <c r="J22" s="17">
        <f>22.7556 * CHOOSE(CONTROL!$C$9, $D$9, 100%, $F$9) + CHOOSE(CONTROL!$C$27, 0.0021, 0)</f>
        <v>22.7577</v>
      </c>
      <c r="K22" s="17">
        <f>23.1158 * CHOOSE(CONTROL!$C$9, $D$9, 100%, $F$9) + CHOOSE(CONTROL!$C$27, 0.0021, 0)</f>
        <v>23.117899999999999</v>
      </c>
      <c r="L22" s="17"/>
      <c r="M22" s="34"/>
      <c r="N22" s="34"/>
      <c r="O22" s="34"/>
      <c r="P22" s="34"/>
      <c r="Q22" s="34"/>
    </row>
    <row r="23" spans="1:17" ht="15" x14ac:dyDescent="0.2">
      <c r="A23" s="16">
        <v>41609</v>
      </c>
      <c r="B23" s="17">
        <f>23.5157 * CHOOSE(CONTROL!$C$9, $D$9, 100%, $F$9) + CHOOSE(CONTROL!$C$27, 0.0021, 0)</f>
        <v>23.517799999999998</v>
      </c>
      <c r="C23" s="17">
        <f>23.0834 * CHOOSE(CONTROL!$C$9, $D$9, 100%, $F$9) + CHOOSE(CONTROL!$C$27, 0.0021, 0)</f>
        <v>23.0855</v>
      </c>
      <c r="D23" s="17">
        <f>23.0834 * CHOOSE(CONTROL!$C$9, $D$9, 100%, $F$9) + CHOOSE(CONTROL!$C$27, 0.0021, 0)</f>
        <v>23.0855</v>
      </c>
      <c r="E23" s="17">
        <f>22.9468 * CHOOSE(CONTROL!$C$9, $D$9, 100%, $F$9) + CHOOSE(CONTROL!$C$27, 0.0021, 0)</f>
        <v>22.948899999999998</v>
      </c>
      <c r="F23" s="17">
        <f>22.9468 * CHOOSE(CONTROL!$C$9, $D$9, 100%, $F$9) + CHOOSE(CONTROL!$C$27, 0.0021, 0)</f>
        <v>22.948899999999998</v>
      </c>
      <c r="G23" s="17">
        <f>23.2181 * CHOOSE(CONTROL!$C$9, $D$9, 100%, $F$9) + CHOOSE(CONTROL!$C$27, 0.0021, 0)</f>
        <v>23.220199999999998</v>
      </c>
      <c r="H23" s="17">
        <f>23.0834 * CHOOSE(CONTROL!$C$9, $D$9, 100%, $F$9) + CHOOSE(CONTROL!$C$27, 0.0021, 0)</f>
        <v>23.0855</v>
      </c>
      <c r="I23" s="17">
        <f>23.0834 * CHOOSE(CONTROL!$C$9, $D$9, 100%, $F$9) + CHOOSE(CONTROL!$C$27, 0.0021, 0)</f>
        <v>23.0855</v>
      </c>
      <c r="J23" s="17">
        <f>22.7232 * CHOOSE(CONTROL!$C$9, $D$9, 100%, $F$9) + CHOOSE(CONTROL!$C$27, 0.0021, 0)</f>
        <v>22.725299999999997</v>
      </c>
      <c r="K23" s="17">
        <f>23.0834 * CHOOSE(CONTROL!$C$9, $D$9, 100%, $F$9) + CHOOSE(CONTROL!$C$27, 0.0021, 0)</f>
        <v>23.0855</v>
      </c>
      <c r="L23" s="17"/>
      <c r="M23" s="34"/>
      <c r="N23" s="34"/>
      <c r="O23" s="34"/>
      <c r="P23" s="34"/>
      <c r="Q23" s="34"/>
    </row>
    <row r="24" spans="1:17" ht="15" x14ac:dyDescent="0.2">
      <c r="A24" s="16">
        <v>41640</v>
      </c>
      <c r="B24" s="17">
        <f>23.489 * CHOOSE(CONTROL!$C$9, $D$9, 100%, $F$9) + CHOOSE(CONTROL!$C$27, 0.0021, 0)</f>
        <v>23.491099999999999</v>
      </c>
      <c r="C24" s="17">
        <f>23.0568 * CHOOSE(CONTROL!$C$9, $D$9, 100%, $F$9) + CHOOSE(CONTROL!$C$27, 0.0021, 0)</f>
        <v>23.058899999999998</v>
      </c>
      <c r="D24" s="17">
        <f>23.0568 * CHOOSE(CONTROL!$C$9, $D$9, 100%, $F$9) + CHOOSE(CONTROL!$C$27, 0.0021, 0)</f>
        <v>23.058899999999998</v>
      </c>
      <c r="E24" s="17">
        <f>22.9201 * CHOOSE(CONTROL!$C$9, $D$9, 100%, $F$9) + CHOOSE(CONTROL!$C$27, 0.0021, 0)</f>
        <v>22.9222</v>
      </c>
      <c r="F24" s="17">
        <f>22.9201 * CHOOSE(CONTROL!$C$9, $D$9, 100%, $F$9) + CHOOSE(CONTROL!$C$27, 0.0021, 0)</f>
        <v>22.9222</v>
      </c>
      <c r="G24" s="17">
        <f>23.1915 * CHOOSE(CONTROL!$C$9, $D$9, 100%, $F$9) + CHOOSE(CONTROL!$C$27, 0.0021, 0)</f>
        <v>23.1936</v>
      </c>
      <c r="H24" s="17">
        <f>23.0568 * CHOOSE(CONTROL!$C$9, $D$9, 100%, $F$9) + CHOOSE(CONTROL!$C$27, 0.0021, 0)</f>
        <v>23.058899999999998</v>
      </c>
      <c r="I24" s="17">
        <f>23.0568 * CHOOSE(CONTROL!$C$9, $D$9, 100%, $F$9) + CHOOSE(CONTROL!$C$27, 0.0021, 0)</f>
        <v>23.058899999999998</v>
      </c>
      <c r="J24" s="17">
        <f>22.6966 * CHOOSE(CONTROL!$C$9, $D$9, 100%, $F$9) + CHOOSE(CONTROL!$C$27, 0.0021, 0)</f>
        <v>22.698699999999999</v>
      </c>
      <c r="K24" s="17">
        <f>23.0568 * CHOOSE(CONTROL!$C$9, $D$9, 100%, $F$9) + CHOOSE(CONTROL!$C$27, 0.0021, 0)</f>
        <v>23.058899999999998</v>
      </c>
      <c r="L24" s="17"/>
      <c r="M24" s="34"/>
      <c r="N24" s="34"/>
      <c r="O24" s="34"/>
      <c r="P24" s="34"/>
      <c r="Q24" s="34"/>
    </row>
    <row r="25" spans="1:17" ht="15" x14ac:dyDescent="0.2">
      <c r="A25" s="16">
        <v>41671</v>
      </c>
      <c r="B25" s="17">
        <f>23.453 * CHOOSE(CONTROL!$C$9, $D$9, 100%, $F$9) + CHOOSE(CONTROL!$C$27, 0.0021, 0)</f>
        <v>23.455099999999998</v>
      </c>
      <c r="C25" s="17">
        <f>23.0208 * CHOOSE(CONTROL!$C$9, $D$9, 100%, $F$9) + CHOOSE(CONTROL!$C$27, 0.0021, 0)</f>
        <v>23.0229</v>
      </c>
      <c r="D25" s="17">
        <f>23.0208 * CHOOSE(CONTROL!$C$9, $D$9, 100%, $F$9) + CHOOSE(CONTROL!$C$27, 0.0021, 0)</f>
        <v>23.0229</v>
      </c>
      <c r="E25" s="17">
        <f>22.8841 * CHOOSE(CONTROL!$C$9, $D$9, 100%, $F$9) + CHOOSE(CONTROL!$C$27, 0.0021, 0)</f>
        <v>22.886199999999999</v>
      </c>
      <c r="F25" s="17">
        <f>22.8841 * CHOOSE(CONTROL!$C$9, $D$9, 100%, $F$9) + CHOOSE(CONTROL!$C$27, 0.0021, 0)</f>
        <v>22.886199999999999</v>
      </c>
      <c r="G25" s="17">
        <f>23.1555 * CHOOSE(CONTROL!$C$9, $D$9, 100%, $F$9) + CHOOSE(CONTROL!$C$27, 0.0021, 0)</f>
        <v>23.157599999999999</v>
      </c>
      <c r="H25" s="17">
        <f>23.0208 * CHOOSE(CONTROL!$C$9, $D$9, 100%, $F$9) + CHOOSE(CONTROL!$C$27, 0.0021, 0)</f>
        <v>23.0229</v>
      </c>
      <c r="I25" s="17">
        <f>23.0208 * CHOOSE(CONTROL!$C$9, $D$9, 100%, $F$9) + CHOOSE(CONTROL!$C$27, 0.0021, 0)</f>
        <v>23.0229</v>
      </c>
      <c r="J25" s="17">
        <f>22.6605 * CHOOSE(CONTROL!$C$9, $D$9, 100%, $F$9) + CHOOSE(CONTROL!$C$27, 0.0021, 0)</f>
        <v>22.662599999999998</v>
      </c>
      <c r="K25" s="17">
        <f>23.0208 * CHOOSE(CONTROL!$C$9, $D$9, 100%, $F$9) + CHOOSE(CONTROL!$C$27, 0.0021, 0)</f>
        <v>23.0229</v>
      </c>
      <c r="L25" s="17"/>
      <c r="M25" s="34"/>
      <c r="N25" s="34"/>
      <c r="O25" s="34"/>
      <c r="P25" s="34"/>
      <c r="Q25" s="34"/>
    </row>
    <row r="26" spans="1:17" ht="15" x14ac:dyDescent="0.2">
      <c r="A26" s="16">
        <v>41699</v>
      </c>
      <c r="B26" s="17">
        <f>23.4026 * CHOOSE(CONTROL!$C$9, $D$9, 100%, $F$9) + CHOOSE(CONTROL!$C$27, 0.0021, 0)</f>
        <v>23.404699999999998</v>
      </c>
      <c r="C26" s="17">
        <f>22.9703 * CHOOSE(CONTROL!$C$9, $D$9, 100%, $F$9) + CHOOSE(CONTROL!$C$27, 0.0021, 0)</f>
        <v>22.9724</v>
      </c>
      <c r="D26" s="17">
        <f>22.9703 * CHOOSE(CONTROL!$C$9, $D$9, 100%, $F$9) + CHOOSE(CONTROL!$C$27, 0.0021, 0)</f>
        <v>22.9724</v>
      </c>
      <c r="E26" s="17">
        <f>22.8337 * CHOOSE(CONTROL!$C$9, $D$9, 100%, $F$9) + CHOOSE(CONTROL!$C$27, 0.0021, 0)</f>
        <v>22.835799999999999</v>
      </c>
      <c r="F26" s="17">
        <f>22.8337 * CHOOSE(CONTROL!$C$9, $D$9, 100%, $F$9) + CHOOSE(CONTROL!$C$27, 0.0021, 0)</f>
        <v>22.835799999999999</v>
      </c>
      <c r="G26" s="17">
        <f>23.105 * CHOOSE(CONTROL!$C$9, $D$9, 100%, $F$9) + CHOOSE(CONTROL!$C$27, 0.0021, 0)</f>
        <v>23.107099999999999</v>
      </c>
      <c r="H26" s="17">
        <f>22.9703 * CHOOSE(CONTROL!$C$9, $D$9, 100%, $F$9) + CHOOSE(CONTROL!$C$27, 0.0021, 0)</f>
        <v>22.9724</v>
      </c>
      <c r="I26" s="17">
        <f>22.9703 * CHOOSE(CONTROL!$C$9, $D$9, 100%, $F$9) + CHOOSE(CONTROL!$C$27, 0.0021, 0)</f>
        <v>22.9724</v>
      </c>
      <c r="J26" s="17">
        <f>22.6101 * CHOOSE(CONTROL!$C$9, $D$9, 100%, $F$9) + CHOOSE(CONTROL!$C$27, 0.0021, 0)</f>
        <v>22.612199999999998</v>
      </c>
      <c r="K26" s="17">
        <f>22.9703 * CHOOSE(CONTROL!$C$9, $D$9, 100%, $F$9) + CHOOSE(CONTROL!$C$27, 0.0021, 0)</f>
        <v>22.9724</v>
      </c>
      <c r="L26" s="17"/>
      <c r="M26" s="34"/>
      <c r="N26" s="34"/>
      <c r="O26" s="34"/>
      <c r="P26" s="34"/>
      <c r="Q26" s="34"/>
    </row>
    <row r="27" spans="1:17" ht="15" x14ac:dyDescent="0.2">
      <c r="A27" s="16">
        <v>41730</v>
      </c>
      <c r="B27" s="17">
        <f>23.3233 * CHOOSE(CONTROL!$C$9, $D$9, 100%, $F$9) + CHOOSE(CONTROL!$C$27, 0.0021, 0)</f>
        <v>23.325399999999998</v>
      </c>
      <c r="C27" s="17">
        <f>22.8911 * CHOOSE(CONTROL!$C$9, $D$9, 100%, $F$9) + CHOOSE(CONTROL!$C$27, 0.0021, 0)</f>
        <v>22.8932</v>
      </c>
      <c r="D27" s="17">
        <f>22.8911 * CHOOSE(CONTROL!$C$9, $D$9, 100%, $F$9) + CHOOSE(CONTROL!$C$27, 0.0021, 0)</f>
        <v>22.8932</v>
      </c>
      <c r="E27" s="17">
        <f>22.7544 * CHOOSE(CONTROL!$C$9, $D$9, 100%, $F$9) + CHOOSE(CONTROL!$C$27, 0.0021, 0)</f>
        <v>22.756499999999999</v>
      </c>
      <c r="F27" s="17">
        <f>22.7544 * CHOOSE(CONTROL!$C$9, $D$9, 100%, $F$9) + CHOOSE(CONTROL!$C$27, 0.0021, 0)</f>
        <v>22.756499999999999</v>
      </c>
      <c r="G27" s="17">
        <f>23.0258 * CHOOSE(CONTROL!$C$9, $D$9, 100%, $F$9) + CHOOSE(CONTROL!$C$27, 0.0021, 0)</f>
        <v>23.027899999999999</v>
      </c>
      <c r="H27" s="17">
        <f>22.8911 * CHOOSE(CONTROL!$C$9, $D$9, 100%, $F$9) + CHOOSE(CONTROL!$C$27, 0.0021, 0)</f>
        <v>22.8932</v>
      </c>
      <c r="I27" s="17">
        <f>22.8911 * CHOOSE(CONTROL!$C$9, $D$9, 100%, $F$9) + CHOOSE(CONTROL!$C$27, 0.0021, 0)</f>
        <v>22.8932</v>
      </c>
      <c r="J27" s="17">
        <f>22.5309 * CHOOSE(CONTROL!$C$9, $D$9, 100%, $F$9) + CHOOSE(CONTROL!$C$27, 0.0021, 0)</f>
        <v>22.532999999999998</v>
      </c>
      <c r="K27" s="17">
        <f>22.8911 * CHOOSE(CONTROL!$C$9, $D$9, 100%, $F$9) + CHOOSE(CONTROL!$C$27, 0.0021, 0)</f>
        <v>22.8932</v>
      </c>
      <c r="L27" s="17"/>
      <c r="M27" s="34"/>
      <c r="N27" s="34"/>
      <c r="O27" s="34"/>
      <c r="P27" s="34"/>
      <c r="Q27" s="34"/>
    </row>
    <row r="28" spans="1:17" ht="15" x14ac:dyDescent="0.2">
      <c r="A28" s="16">
        <v>41760</v>
      </c>
      <c r="B28" s="17">
        <f>23.1792 * CHOOSE(CONTROL!$C$9, $D$9, 100%, $F$9) + CHOOSE(CONTROL!$C$27, 0.0021, 0)</f>
        <v>23.1813</v>
      </c>
      <c r="C28" s="17">
        <f>22.747 * CHOOSE(CONTROL!$C$9, $D$9, 100%, $F$9) + CHOOSE(CONTROL!$C$27, 0.0021, 0)</f>
        <v>22.749099999999999</v>
      </c>
      <c r="D28" s="17">
        <f>22.747 * CHOOSE(CONTROL!$C$9, $D$9, 100%, $F$9) + CHOOSE(CONTROL!$C$27, 0.0021, 0)</f>
        <v>22.749099999999999</v>
      </c>
      <c r="E28" s="17">
        <f>22.6103 * CHOOSE(CONTROL!$C$9, $D$9, 100%, $F$9) + CHOOSE(CONTROL!$C$27, 0.0021, 0)</f>
        <v>22.612399999999997</v>
      </c>
      <c r="F28" s="17">
        <f>22.6103 * CHOOSE(CONTROL!$C$9, $D$9, 100%, $F$9) + CHOOSE(CONTROL!$C$27, 0.0021, 0)</f>
        <v>22.612399999999997</v>
      </c>
      <c r="G28" s="17">
        <f>22.8817 * CHOOSE(CONTROL!$C$9, $D$9, 100%, $F$9) + CHOOSE(CONTROL!$C$27, 0.0021, 0)</f>
        <v>22.883799999999997</v>
      </c>
      <c r="H28" s="17">
        <f>22.747 * CHOOSE(CONTROL!$C$9, $D$9, 100%, $F$9) + CHOOSE(CONTROL!$C$27, 0.0021, 0)</f>
        <v>22.749099999999999</v>
      </c>
      <c r="I28" s="17">
        <f>22.747 * CHOOSE(CONTROL!$C$9, $D$9, 100%, $F$9) + CHOOSE(CONTROL!$C$27, 0.0021, 0)</f>
        <v>22.749099999999999</v>
      </c>
      <c r="J28" s="17">
        <f>22.3868 * CHOOSE(CONTROL!$C$9, $D$9, 100%, $F$9) + CHOOSE(CONTROL!$C$27, 0.0021, 0)</f>
        <v>22.3889</v>
      </c>
      <c r="K28" s="17">
        <f>22.747 * CHOOSE(CONTROL!$C$9, $D$9, 100%, $F$9) + CHOOSE(CONTROL!$C$27, 0.0021, 0)</f>
        <v>22.749099999999999</v>
      </c>
      <c r="L28" s="17"/>
      <c r="M28" s="34"/>
      <c r="N28" s="34"/>
      <c r="O28" s="34"/>
      <c r="P28" s="34"/>
      <c r="Q28" s="34"/>
    </row>
    <row r="29" spans="1:17" ht="15" x14ac:dyDescent="0.2">
      <c r="A29" s="16">
        <v>41791</v>
      </c>
      <c r="B29" s="17">
        <f>23.028 * CHOOSE(CONTROL!$C$9, $D$9, 100%, $F$9) + CHOOSE(CONTROL!$C$27, 0.0021, 0)</f>
        <v>23.030099999999997</v>
      </c>
      <c r="C29" s="17">
        <f>22.5957 * CHOOSE(CONTROL!$C$9, $D$9, 100%, $F$9) + CHOOSE(CONTROL!$C$27, 0.0021, 0)</f>
        <v>22.597799999999999</v>
      </c>
      <c r="D29" s="17">
        <f>22.5957 * CHOOSE(CONTROL!$C$9, $D$9, 100%, $F$9) + CHOOSE(CONTROL!$C$27, 0.0021, 0)</f>
        <v>22.597799999999999</v>
      </c>
      <c r="E29" s="17">
        <f>22.4591 * CHOOSE(CONTROL!$C$9, $D$9, 100%, $F$9) + CHOOSE(CONTROL!$C$27, 0.0021, 0)</f>
        <v>22.461199999999998</v>
      </c>
      <c r="F29" s="17">
        <f>22.4591 * CHOOSE(CONTROL!$C$9, $D$9, 100%, $F$9) + CHOOSE(CONTROL!$C$27, 0.0021, 0)</f>
        <v>22.461199999999998</v>
      </c>
      <c r="G29" s="17">
        <f>22.7304 * CHOOSE(CONTROL!$C$9, $D$9, 100%, $F$9) + CHOOSE(CONTROL!$C$27, 0.0021, 0)</f>
        <v>22.732499999999998</v>
      </c>
      <c r="H29" s="17">
        <f>22.5957 * CHOOSE(CONTROL!$C$9, $D$9, 100%, $F$9) + CHOOSE(CONTROL!$C$27, 0.0021, 0)</f>
        <v>22.597799999999999</v>
      </c>
      <c r="I29" s="17">
        <f>22.5957 * CHOOSE(CONTROL!$C$9, $D$9, 100%, $F$9) + CHOOSE(CONTROL!$C$27, 0.0021, 0)</f>
        <v>22.597799999999999</v>
      </c>
      <c r="J29" s="17">
        <f>22.2355 * CHOOSE(CONTROL!$C$9, $D$9, 100%, $F$9) + CHOOSE(CONTROL!$C$27, 0.0021, 0)</f>
        <v>22.237599999999997</v>
      </c>
      <c r="K29" s="17">
        <f>22.5957 * CHOOSE(CONTROL!$C$9, $D$9, 100%, $F$9) + CHOOSE(CONTROL!$C$27, 0.0021, 0)</f>
        <v>22.597799999999999</v>
      </c>
      <c r="L29" s="17"/>
      <c r="M29" s="34"/>
      <c r="N29" s="34"/>
      <c r="O29" s="34"/>
      <c r="P29" s="34"/>
      <c r="Q29" s="34"/>
    </row>
    <row r="30" spans="1:17" ht="15" x14ac:dyDescent="0.2">
      <c r="A30" s="16">
        <v>41821</v>
      </c>
      <c r="B30" s="17">
        <f>22.9559 * CHOOSE(CONTROL!$C$9, $D$9, 100%, $F$9) + CHOOSE(CONTROL!$C$27, 0.0021, 0)</f>
        <v>22.957999999999998</v>
      </c>
      <c r="C30" s="17">
        <f>22.5237 * CHOOSE(CONTROL!$C$9, $D$9, 100%, $F$9) + CHOOSE(CONTROL!$C$27, 0.0021, 0)</f>
        <v>22.5258</v>
      </c>
      <c r="D30" s="17">
        <f>22.5237 * CHOOSE(CONTROL!$C$9, $D$9, 100%, $F$9) + CHOOSE(CONTROL!$C$27, 0.0021, 0)</f>
        <v>22.5258</v>
      </c>
      <c r="E30" s="17">
        <f>22.387 * CHOOSE(CONTROL!$C$9, $D$9, 100%, $F$9) + CHOOSE(CONTROL!$C$27, 0.0021, 0)</f>
        <v>22.389099999999999</v>
      </c>
      <c r="F30" s="17">
        <f>22.387 * CHOOSE(CONTROL!$C$9, $D$9, 100%, $F$9) + CHOOSE(CONTROL!$C$27, 0.0021, 0)</f>
        <v>22.389099999999999</v>
      </c>
      <c r="G30" s="17">
        <f>22.6584 * CHOOSE(CONTROL!$C$9, $D$9, 100%, $F$9) + CHOOSE(CONTROL!$C$27, 0.0021, 0)</f>
        <v>22.660499999999999</v>
      </c>
      <c r="H30" s="17">
        <f>22.5237 * CHOOSE(CONTROL!$C$9, $D$9, 100%, $F$9) + CHOOSE(CONTROL!$C$27, 0.0021, 0)</f>
        <v>22.5258</v>
      </c>
      <c r="I30" s="17">
        <f>22.5237 * CHOOSE(CONTROL!$C$9, $D$9, 100%, $F$9) + CHOOSE(CONTROL!$C$27, 0.0021, 0)</f>
        <v>22.5258</v>
      </c>
      <c r="J30" s="17">
        <f>22.1635 * CHOOSE(CONTROL!$C$9, $D$9, 100%, $F$9) + CHOOSE(CONTROL!$C$27, 0.0021, 0)</f>
        <v>22.165599999999998</v>
      </c>
      <c r="K30" s="17">
        <f>22.5237 * CHOOSE(CONTROL!$C$9, $D$9, 100%, $F$9) + CHOOSE(CONTROL!$C$27, 0.0021, 0)</f>
        <v>22.5258</v>
      </c>
      <c r="L30" s="17"/>
      <c r="M30" s="34"/>
      <c r="N30" s="34"/>
      <c r="O30" s="34"/>
      <c r="P30" s="34"/>
      <c r="Q30" s="34"/>
    </row>
    <row r="31" spans="1:17" ht="15" x14ac:dyDescent="0.2">
      <c r="A31" s="16">
        <v>41852</v>
      </c>
      <c r="B31" s="17">
        <f>22.9127 * CHOOSE(CONTROL!$C$9, $D$9, 100%, $F$9) + CHOOSE(CONTROL!$C$27, 0.0021, 0)</f>
        <v>22.9148</v>
      </c>
      <c r="C31" s="17">
        <f>22.4804 * CHOOSE(CONTROL!$C$9, $D$9, 100%, $F$9) + CHOOSE(CONTROL!$C$27, 0.0021, 0)</f>
        <v>22.482499999999998</v>
      </c>
      <c r="D31" s="17">
        <f>22.4804 * CHOOSE(CONTROL!$C$9, $D$9, 100%, $F$9) + CHOOSE(CONTROL!$C$27, 0.0021, 0)</f>
        <v>22.482499999999998</v>
      </c>
      <c r="E31" s="17">
        <f>22.3438 * CHOOSE(CONTROL!$C$9, $D$9, 100%, $F$9) + CHOOSE(CONTROL!$C$27, 0.0021, 0)</f>
        <v>22.3459</v>
      </c>
      <c r="F31" s="17">
        <f>22.3438 * CHOOSE(CONTROL!$C$9, $D$9, 100%, $F$9) + CHOOSE(CONTROL!$C$27, 0.0021, 0)</f>
        <v>22.3459</v>
      </c>
      <c r="G31" s="17">
        <f>22.6152 * CHOOSE(CONTROL!$C$9, $D$9, 100%, $F$9) + CHOOSE(CONTROL!$C$27, 0.0021, 0)</f>
        <v>22.6173</v>
      </c>
      <c r="H31" s="17">
        <f>22.4804 * CHOOSE(CONTROL!$C$9, $D$9, 100%, $F$9) + CHOOSE(CONTROL!$C$27, 0.0021, 0)</f>
        <v>22.482499999999998</v>
      </c>
      <c r="I31" s="17">
        <f>22.4804 * CHOOSE(CONTROL!$C$9, $D$9, 100%, $F$9) + CHOOSE(CONTROL!$C$27, 0.0021, 0)</f>
        <v>22.482499999999998</v>
      </c>
      <c r="J31" s="17">
        <f>22.1202 * CHOOSE(CONTROL!$C$9, $D$9, 100%, $F$9) + CHOOSE(CONTROL!$C$27, 0.0021, 0)</f>
        <v>22.122299999999999</v>
      </c>
      <c r="K31" s="17">
        <f>22.4804 * CHOOSE(CONTROL!$C$9, $D$9, 100%, $F$9) + CHOOSE(CONTROL!$C$27, 0.0021, 0)</f>
        <v>22.482499999999998</v>
      </c>
      <c r="L31" s="17"/>
      <c r="M31" s="34"/>
      <c r="N31" s="34"/>
      <c r="O31" s="34"/>
      <c r="P31" s="34"/>
      <c r="Q31" s="34"/>
    </row>
    <row r="32" spans="1:17" ht="15" x14ac:dyDescent="0.2">
      <c r="A32" s="16">
        <v>41883</v>
      </c>
      <c r="B32" s="17">
        <f>22.8731 * CHOOSE(CONTROL!$C$9, $D$9, 100%, $F$9) + CHOOSE(CONTROL!$C$27, 0.0021, 0)</f>
        <v>22.8752</v>
      </c>
      <c r="C32" s="17">
        <f>22.4408 * CHOOSE(CONTROL!$C$9, $D$9, 100%, $F$9) + CHOOSE(CONTROL!$C$27, 0.0021, 0)</f>
        <v>22.442899999999998</v>
      </c>
      <c r="D32" s="17">
        <f>22.4408 * CHOOSE(CONTROL!$C$9, $D$9, 100%, $F$9) + CHOOSE(CONTROL!$C$27, 0.0021, 0)</f>
        <v>22.442899999999998</v>
      </c>
      <c r="E32" s="17">
        <f>22.3042 * CHOOSE(CONTROL!$C$9, $D$9, 100%, $F$9) + CHOOSE(CONTROL!$C$27, 0.0021, 0)</f>
        <v>22.3063</v>
      </c>
      <c r="F32" s="17">
        <f>22.3042 * CHOOSE(CONTROL!$C$9, $D$9, 100%, $F$9) + CHOOSE(CONTROL!$C$27, 0.0021, 0)</f>
        <v>22.3063</v>
      </c>
      <c r="G32" s="17">
        <f>22.5755 * CHOOSE(CONTROL!$C$9, $D$9, 100%, $F$9) + CHOOSE(CONTROL!$C$27, 0.0021, 0)</f>
        <v>22.5776</v>
      </c>
      <c r="H32" s="17">
        <f>22.4408 * CHOOSE(CONTROL!$C$9, $D$9, 100%, $F$9) + CHOOSE(CONTROL!$C$27, 0.0021, 0)</f>
        <v>22.442899999999998</v>
      </c>
      <c r="I32" s="17">
        <f>22.4408 * CHOOSE(CONTROL!$C$9, $D$9, 100%, $F$9) + CHOOSE(CONTROL!$C$27, 0.0021, 0)</f>
        <v>22.442899999999998</v>
      </c>
      <c r="J32" s="17">
        <f>22.0806 * CHOOSE(CONTROL!$C$9, $D$9, 100%, $F$9) + CHOOSE(CONTROL!$C$27, 0.0021, 0)</f>
        <v>22.082699999999999</v>
      </c>
      <c r="K32" s="17">
        <f>22.4408 * CHOOSE(CONTROL!$C$9, $D$9, 100%, $F$9) + CHOOSE(CONTROL!$C$27, 0.0021, 0)</f>
        <v>22.442899999999998</v>
      </c>
      <c r="L32" s="17"/>
      <c r="M32" s="34"/>
      <c r="N32" s="34"/>
      <c r="O32" s="34"/>
      <c r="P32" s="34"/>
      <c r="Q32" s="34"/>
    </row>
    <row r="33" spans="1:17" ht="15" x14ac:dyDescent="0.2">
      <c r="A33" s="16">
        <v>41913</v>
      </c>
      <c r="B33" s="17">
        <f>22.8479 * CHOOSE(CONTROL!$C$9, $D$9, 100%, $F$9) + CHOOSE(CONTROL!$C$27, 0.0021, 0)</f>
        <v>22.849999999999998</v>
      </c>
      <c r="C33" s="17">
        <f>22.4156 * CHOOSE(CONTROL!$C$9, $D$9, 100%, $F$9) + CHOOSE(CONTROL!$C$27, 0.0021, 0)</f>
        <v>22.4177</v>
      </c>
      <c r="D33" s="17">
        <f>22.4156 * CHOOSE(CONTROL!$C$9, $D$9, 100%, $F$9) + CHOOSE(CONTROL!$C$27, 0.0021, 0)</f>
        <v>22.4177</v>
      </c>
      <c r="E33" s="17">
        <f>22.279 * CHOOSE(CONTROL!$C$9, $D$9, 100%, $F$9) + CHOOSE(CONTROL!$C$27, 0.0021, 0)</f>
        <v>22.281099999999999</v>
      </c>
      <c r="F33" s="17">
        <f>22.279 * CHOOSE(CONTROL!$C$9, $D$9, 100%, $F$9) + CHOOSE(CONTROL!$C$27, 0.0021, 0)</f>
        <v>22.281099999999999</v>
      </c>
      <c r="G33" s="17">
        <f>22.5503 * CHOOSE(CONTROL!$C$9, $D$9, 100%, $F$9) + CHOOSE(CONTROL!$C$27, 0.0021, 0)</f>
        <v>22.552399999999999</v>
      </c>
      <c r="H33" s="17">
        <f>22.4156 * CHOOSE(CONTROL!$C$9, $D$9, 100%, $F$9) + CHOOSE(CONTROL!$C$27, 0.0021, 0)</f>
        <v>22.4177</v>
      </c>
      <c r="I33" s="17">
        <f>22.4156 * CHOOSE(CONTROL!$C$9, $D$9, 100%, $F$9) + CHOOSE(CONTROL!$C$27, 0.0021, 0)</f>
        <v>22.4177</v>
      </c>
      <c r="J33" s="17">
        <f>22.0554 * CHOOSE(CONTROL!$C$9, $D$9, 100%, $F$9) + CHOOSE(CONTROL!$C$27, 0.0021, 0)</f>
        <v>22.057499999999997</v>
      </c>
      <c r="K33" s="17">
        <f>22.4156 * CHOOSE(CONTROL!$C$9, $D$9, 100%, $F$9) + CHOOSE(CONTROL!$C$27, 0.0021, 0)</f>
        <v>22.4177</v>
      </c>
      <c r="L33" s="17"/>
      <c r="M33" s="34"/>
      <c r="N33" s="34"/>
      <c r="O33" s="34"/>
      <c r="P33" s="34"/>
      <c r="Q33" s="34"/>
    </row>
    <row r="34" spans="1:17" ht="15" x14ac:dyDescent="0.2">
      <c r="A34" s="16">
        <v>41944</v>
      </c>
      <c r="B34" s="17">
        <f>22.8262 * CHOOSE(CONTROL!$C$9, $D$9, 100%, $F$9) + CHOOSE(CONTROL!$C$27, 0.0021, 0)</f>
        <v>22.828299999999999</v>
      </c>
      <c r="C34" s="17">
        <f>22.394 * CHOOSE(CONTROL!$C$9, $D$9, 100%, $F$9) + CHOOSE(CONTROL!$C$27, 0.0021, 0)</f>
        <v>22.396099999999997</v>
      </c>
      <c r="D34" s="17">
        <f>22.394 * CHOOSE(CONTROL!$C$9, $D$9, 100%, $F$9) + CHOOSE(CONTROL!$C$27, 0.0021, 0)</f>
        <v>22.396099999999997</v>
      </c>
      <c r="E34" s="17">
        <f>22.2573 * CHOOSE(CONTROL!$C$9, $D$9, 100%, $F$9) + CHOOSE(CONTROL!$C$27, 0.0021, 0)</f>
        <v>22.259399999999999</v>
      </c>
      <c r="F34" s="17">
        <f>22.2573 * CHOOSE(CONTROL!$C$9, $D$9, 100%, $F$9) + CHOOSE(CONTROL!$C$27, 0.0021, 0)</f>
        <v>22.259399999999999</v>
      </c>
      <c r="G34" s="17">
        <f>22.5287 * CHOOSE(CONTROL!$C$9, $D$9, 100%, $F$9) + CHOOSE(CONTROL!$C$27, 0.0021, 0)</f>
        <v>22.530799999999999</v>
      </c>
      <c r="H34" s="17">
        <f>22.394 * CHOOSE(CONTROL!$C$9, $D$9, 100%, $F$9) + CHOOSE(CONTROL!$C$27, 0.0021, 0)</f>
        <v>22.396099999999997</v>
      </c>
      <c r="I34" s="17">
        <f>22.394 * CHOOSE(CONTROL!$C$9, $D$9, 100%, $F$9) + CHOOSE(CONTROL!$C$27, 0.0021, 0)</f>
        <v>22.396099999999997</v>
      </c>
      <c r="J34" s="17">
        <f>22.0338 * CHOOSE(CONTROL!$C$9, $D$9, 100%, $F$9) + CHOOSE(CONTROL!$C$27, 0.0021, 0)</f>
        <v>22.035899999999998</v>
      </c>
      <c r="K34" s="17">
        <f>22.394 * CHOOSE(CONTROL!$C$9, $D$9, 100%, $F$9) + CHOOSE(CONTROL!$C$27, 0.0021, 0)</f>
        <v>22.396099999999997</v>
      </c>
      <c r="L34" s="17"/>
      <c r="M34" s="34"/>
      <c r="N34" s="34"/>
      <c r="O34" s="34"/>
      <c r="P34" s="34"/>
      <c r="Q34" s="34"/>
    </row>
    <row r="35" spans="1:17" ht="15" x14ac:dyDescent="0.2">
      <c r="A35" s="16">
        <v>41974</v>
      </c>
      <c r="B35" s="17">
        <f>22.8046 * CHOOSE(CONTROL!$C$9, $D$9, 100%, $F$9) + CHOOSE(CONTROL!$C$27, 0.0021, 0)</f>
        <v>22.806699999999999</v>
      </c>
      <c r="C35" s="17">
        <f>22.3724 * CHOOSE(CONTROL!$C$9, $D$9, 100%, $F$9) + CHOOSE(CONTROL!$C$27, 0.0021, 0)</f>
        <v>22.374499999999998</v>
      </c>
      <c r="D35" s="17">
        <f>22.3724 * CHOOSE(CONTROL!$C$9, $D$9, 100%, $F$9) + CHOOSE(CONTROL!$C$27, 0.0021, 0)</f>
        <v>22.374499999999998</v>
      </c>
      <c r="E35" s="17">
        <f>22.2357 * CHOOSE(CONTROL!$C$9, $D$9, 100%, $F$9) + CHOOSE(CONTROL!$C$27, 0.0021, 0)</f>
        <v>22.2378</v>
      </c>
      <c r="F35" s="17">
        <f>22.2357 * CHOOSE(CONTROL!$C$9, $D$9, 100%, $F$9) + CHOOSE(CONTROL!$C$27, 0.0021, 0)</f>
        <v>22.2378</v>
      </c>
      <c r="G35" s="17">
        <f>22.5071 * CHOOSE(CONTROL!$C$9, $D$9, 100%, $F$9) + CHOOSE(CONTROL!$C$27, 0.0021, 0)</f>
        <v>22.5092</v>
      </c>
      <c r="H35" s="17">
        <f>22.3724 * CHOOSE(CONTROL!$C$9, $D$9, 100%, $F$9) + CHOOSE(CONTROL!$C$27, 0.0021, 0)</f>
        <v>22.374499999999998</v>
      </c>
      <c r="I35" s="17">
        <f>22.3724 * CHOOSE(CONTROL!$C$9, $D$9, 100%, $F$9) + CHOOSE(CONTROL!$C$27, 0.0021, 0)</f>
        <v>22.374499999999998</v>
      </c>
      <c r="J35" s="17">
        <f>22.0122 * CHOOSE(CONTROL!$C$9, $D$9, 100%, $F$9) + CHOOSE(CONTROL!$C$27, 0.0021, 0)</f>
        <v>22.014299999999999</v>
      </c>
      <c r="K35" s="17">
        <f>22.3724 * CHOOSE(CONTROL!$C$9, $D$9, 100%, $F$9) + CHOOSE(CONTROL!$C$27, 0.0021, 0)</f>
        <v>22.374499999999998</v>
      </c>
      <c r="L35" s="17"/>
      <c r="M35" s="34"/>
      <c r="N35" s="34"/>
      <c r="O35" s="34"/>
      <c r="P35" s="34"/>
      <c r="Q35" s="34"/>
    </row>
    <row r="36" spans="1:17" ht="15" x14ac:dyDescent="0.2">
      <c r="A36" s="16">
        <v>42005</v>
      </c>
      <c r="B36" s="17">
        <f>22.7938 * CHOOSE(CONTROL!$C$9, $D$9, 100%, $F$9) + CHOOSE(CONTROL!$C$27, 0.0021, 0)</f>
        <v>22.7959</v>
      </c>
      <c r="C36" s="17">
        <f>22.3616 * CHOOSE(CONTROL!$C$9, $D$9, 100%, $F$9) + CHOOSE(CONTROL!$C$27, 0.0021, 0)</f>
        <v>22.363699999999998</v>
      </c>
      <c r="D36" s="17">
        <f>22.3616 * CHOOSE(CONTROL!$C$9, $D$9, 100%, $F$9) + CHOOSE(CONTROL!$C$27, 0.0021, 0)</f>
        <v>22.363699999999998</v>
      </c>
      <c r="E36" s="17">
        <f>22.2249 * CHOOSE(CONTROL!$C$9, $D$9, 100%, $F$9) + CHOOSE(CONTROL!$C$27, 0.0021, 0)</f>
        <v>22.227</v>
      </c>
      <c r="F36" s="17">
        <f>22.2249 * CHOOSE(CONTROL!$C$9, $D$9, 100%, $F$9) + CHOOSE(CONTROL!$C$27, 0.0021, 0)</f>
        <v>22.227</v>
      </c>
      <c r="G36" s="17">
        <f>22.4963 * CHOOSE(CONTROL!$C$9, $D$9, 100%, $F$9) + CHOOSE(CONTROL!$C$27, 0.0021, 0)</f>
        <v>22.4984</v>
      </c>
      <c r="H36" s="17">
        <f>22.3616 * CHOOSE(CONTROL!$C$9, $D$9, 100%, $F$9) + CHOOSE(CONTROL!$C$27, 0.0021, 0)</f>
        <v>22.363699999999998</v>
      </c>
      <c r="I36" s="17">
        <f>22.3616 * CHOOSE(CONTROL!$C$9, $D$9, 100%, $F$9) + CHOOSE(CONTROL!$C$27, 0.0021, 0)</f>
        <v>22.363699999999998</v>
      </c>
      <c r="J36" s="17">
        <f>22.3616 * CHOOSE(CONTROL!$C$9, $D$9, 100%, $F$9) + CHOOSE(CONTROL!$C$27, 0.0021, 0)</f>
        <v>22.363699999999998</v>
      </c>
      <c r="K36" s="17">
        <f>22.3616 * CHOOSE(CONTROL!$C$9, $D$9, 100%, $F$9) + CHOOSE(CONTROL!$C$27, 0.0021, 0)</f>
        <v>22.363699999999998</v>
      </c>
      <c r="L36" s="17"/>
      <c r="M36" s="34"/>
      <c r="N36" s="34"/>
      <c r="O36" s="34"/>
      <c r="P36" s="34"/>
      <c r="Q36" s="34"/>
    </row>
    <row r="37" spans="1:17" ht="15" x14ac:dyDescent="0.2">
      <c r="A37" s="16">
        <v>42036</v>
      </c>
      <c r="B37" s="17">
        <f>22.7326 * CHOOSE(CONTROL!$C$9, $D$9, 100%, $F$9) + CHOOSE(CONTROL!$C$27, 0.0021, 0)</f>
        <v>22.7347</v>
      </c>
      <c r="C37" s="17">
        <f>22.3003 * CHOOSE(CONTROL!$C$9, $D$9, 100%, $F$9) + CHOOSE(CONTROL!$C$27, 0.0021, 0)</f>
        <v>22.302399999999999</v>
      </c>
      <c r="D37" s="17">
        <f>22.3003 * CHOOSE(CONTROL!$C$9, $D$9, 100%, $F$9) + CHOOSE(CONTROL!$C$27, 0.0021, 0)</f>
        <v>22.302399999999999</v>
      </c>
      <c r="E37" s="17">
        <f>22.1637 * CHOOSE(CONTROL!$C$9, $D$9, 100%, $F$9) + CHOOSE(CONTROL!$C$27, 0.0021, 0)</f>
        <v>22.165799999999997</v>
      </c>
      <c r="F37" s="17">
        <f>22.1637 * CHOOSE(CONTROL!$C$9, $D$9, 100%, $F$9) + CHOOSE(CONTROL!$C$27, 0.0021, 0)</f>
        <v>22.165799999999997</v>
      </c>
      <c r="G37" s="17">
        <f>22.4351 * CHOOSE(CONTROL!$C$9, $D$9, 100%, $F$9) + CHOOSE(CONTROL!$C$27, 0.0021, 0)</f>
        <v>22.437199999999997</v>
      </c>
      <c r="H37" s="17">
        <f>22.3003 * CHOOSE(CONTROL!$C$9, $D$9, 100%, $F$9) + CHOOSE(CONTROL!$C$27, 0.0021, 0)</f>
        <v>22.302399999999999</v>
      </c>
      <c r="I37" s="17">
        <f>22.3003 * CHOOSE(CONTROL!$C$9, $D$9, 100%, $F$9) + CHOOSE(CONTROL!$C$27, 0.0021, 0)</f>
        <v>22.302399999999999</v>
      </c>
      <c r="J37" s="17">
        <f>22.3003 * CHOOSE(CONTROL!$C$9, $D$9, 100%, $F$9) + CHOOSE(CONTROL!$C$27, 0.0021, 0)</f>
        <v>22.302399999999999</v>
      </c>
      <c r="K37" s="17">
        <f>22.3003 * CHOOSE(CONTROL!$C$9, $D$9, 100%, $F$9) + CHOOSE(CONTROL!$C$27, 0.0021, 0)</f>
        <v>22.302399999999999</v>
      </c>
      <c r="L37" s="17"/>
      <c r="M37" s="34"/>
      <c r="N37" s="34"/>
      <c r="O37" s="34"/>
      <c r="P37" s="34"/>
      <c r="Q37" s="34"/>
    </row>
    <row r="38" spans="1:17" ht="15" x14ac:dyDescent="0.2">
      <c r="A38" s="16">
        <v>42064</v>
      </c>
      <c r="B38" s="17">
        <f>22.6389 * CHOOSE(CONTROL!$C$9, $D$9, 100%, $F$9) + CHOOSE(CONTROL!$C$27, 0.0021, 0)</f>
        <v>22.640999999999998</v>
      </c>
      <c r="C38" s="17">
        <f>22.2067 * CHOOSE(CONTROL!$C$9, $D$9, 100%, $F$9) + CHOOSE(CONTROL!$C$27, 0.0021, 0)</f>
        <v>22.2088</v>
      </c>
      <c r="D38" s="17">
        <f>22.2067 * CHOOSE(CONTROL!$C$9, $D$9, 100%, $F$9) + CHOOSE(CONTROL!$C$27, 0.0021, 0)</f>
        <v>22.2088</v>
      </c>
      <c r="E38" s="17">
        <f>22.07 * CHOOSE(CONTROL!$C$9, $D$9, 100%, $F$9) + CHOOSE(CONTROL!$C$27, 0.0021, 0)</f>
        <v>22.072099999999999</v>
      </c>
      <c r="F38" s="17">
        <f>22.07 * CHOOSE(CONTROL!$C$9, $D$9, 100%, $F$9) + CHOOSE(CONTROL!$C$27, 0.0021, 0)</f>
        <v>22.072099999999999</v>
      </c>
      <c r="G38" s="17">
        <f>22.3414 * CHOOSE(CONTROL!$C$9, $D$9, 100%, $F$9) + CHOOSE(CONTROL!$C$27, 0.0021, 0)</f>
        <v>22.343499999999999</v>
      </c>
      <c r="H38" s="17">
        <f>22.2067 * CHOOSE(CONTROL!$C$9, $D$9, 100%, $F$9) + CHOOSE(CONTROL!$C$27, 0.0021, 0)</f>
        <v>22.2088</v>
      </c>
      <c r="I38" s="17">
        <f>22.2067 * CHOOSE(CONTROL!$C$9, $D$9, 100%, $F$9) + CHOOSE(CONTROL!$C$27, 0.0021, 0)</f>
        <v>22.2088</v>
      </c>
      <c r="J38" s="17">
        <f>22.2067 * CHOOSE(CONTROL!$C$9, $D$9, 100%, $F$9) + CHOOSE(CONTROL!$C$27, 0.0021, 0)</f>
        <v>22.2088</v>
      </c>
      <c r="K38" s="17">
        <f>22.2067 * CHOOSE(CONTROL!$C$9, $D$9, 100%, $F$9) + CHOOSE(CONTROL!$C$27, 0.0021, 0)</f>
        <v>22.2088</v>
      </c>
      <c r="L38" s="17"/>
      <c r="M38" s="34"/>
      <c r="N38" s="34"/>
      <c r="O38" s="34"/>
      <c r="P38" s="34"/>
      <c r="Q38" s="34"/>
    </row>
    <row r="39" spans="1:17" ht="15" x14ac:dyDescent="0.2">
      <c r="A39" s="16">
        <v>42095</v>
      </c>
      <c r="B39" s="17">
        <f>22.4588 * CHOOSE(CONTROL!$C$9, $D$9, 100%, $F$9) + CHOOSE(CONTROL!$C$27, 0.0021, 0)</f>
        <v>22.460899999999999</v>
      </c>
      <c r="C39" s="17">
        <f>22.0266 * CHOOSE(CONTROL!$C$9, $D$9, 100%, $F$9) + CHOOSE(CONTROL!$C$27, 0.0021, 0)</f>
        <v>22.028699999999997</v>
      </c>
      <c r="D39" s="17">
        <f>22.0266 * CHOOSE(CONTROL!$C$9, $D$9, 100%, $F$9) + CHOOSE(CONTROL!$C$27, 0.0021, 0)</f>
        <v>22.028699999999997</v>
      </c>
      <c r="E39" s="17">
        <f>21.8899 * CHOOSE(CONTROL!$C$9, $D$9, 100%, $F$9) + CHOOSE(CONTROL!$C$27, 0.0021, 0)</f>
        <v>21.891999999999999</v>
      </c>
      <c r="F39" s="17">
        <f>21.8899 * CHOOSE(CONTROL!$C$9, $D$9, 100%, $F$9) + CHOOSE(CONTROL!$C$27, 0.0021, 0)</f>
        <v>21.891999999999999</v>
      </c>
      <c r="G39" s="17">
        <f>22.1613 * CHOOSE(CONTROL!$C$9, $D$9, 100%, $F$9) + CHOOSE(CONTROL!$C$27, 0.0021, 0)</f>
        <v>22.163399999999999</v>
      </c>
      <c r="H39" s="17">
        <f>22.0266 * CHOOSE(CONTROL!$C$9, $D$9, 100%, $F$9) + CHOOSE(CONTROL!$C$27, 0.0021, 0)</f>
        <v>22.028699999999997</v>
      </c>
      <c r="I39" s="17">
        <f>22.0266 * CHOOSE(CONTROL!$C$9, $D$9, 100%, $F$9) + CHOOSE(CONTROL!$C$27, 0.0021, 0)</f>
        <v>22.028699999999997</v>
      </c>
      <c r="J39" s="17">
        <f>22.0266 * CHOOSE(CONTROL!$C$9, $D$9, 100%, $F$9) + CHOOSE(CONTROL!$C$27, 0.0021, 0)</f>
        <v>22.028699999999997</v>
      </c>
      <c r="K39" s="17">
        <f>22.0266 * CHOOSE(CONTROL!$C$9, $D$9, 100%, $F$9) + CHOOSE(CONTROL!$C$27, 0.0021, 0)</f>
        <v>22.028699999999997</v>
      </c>
      <c r="L39" s="17"/>
      <c r="M39" s="34"/>
      <c r="N39" s="34"/>
      <c r="O39" s="34"/>
      <c r="P39" s="34"/>
      <c r="Q39" s="34"/>
    </row>
    <row r="40" spans="1:17" ht="15" x14ac:dyDescent="0.2">
      <c r="A40" s="16">
        <v>42125</v>
      </c>
      <c r="B40" s="17">
        <f>22.3364 * CHOOSE(CONTROL!$C$9, $D$9, 100%, $F$9) + CHOOSE(CONTROL!$C$27, 0.0021, 0)</f>
        <v>22.3385</v>
      </c>
      <c r="C40" s="17">
        <f>21.9041 * CHOOSE(CONTROL!$C$9, $D$9, 100%, $F$9) + CHOOSE(CONTROL!$C$27, 0.0021, 0)</f>
        <v>21.906199999999998</v>
      </c>
      <c r="D40" s="17">
        <f>21.9041 * CHOOSE(CONTROL!$C$9, $D$9, 100%, $F$9) + CHOOSE(CONTROL!$C$27, 0.0021, 0)</f>
        <v>21.906199999999998</v>
      </c>
      <c r="E40" s="17">
        <f>21.7675 * CHOOSE(CONTROL!$C$9, $D$9, 100%, $F$9) + CHOOSE(CONTROL!$C$27, 0.0021, 0)</f>
        <v>21.769599999999997</v>
      </c>
      <c r="F40" s="17">
        <f>21.7675 * CHOOSE(CONTROL!$C$9, $D$9, 100%, $F$9) + CHOOSE(CONTROL!$C$27, 0.0021, 0)</f>
        <v>21.769599999999997</v>
      </c>
      <c r="G40" s="17">
        <f>22.0388 * CHOOSE(CONTROL!$C$9, $D$9, 100%, $F$9) + CHOOSE(CONTROL!$C$27, 0.0021, 0)</f>
        <v>22.040899999999997</v>
      </c>
      <c r="H40" s="17">
        <f>21.9041 * CHOOSE(CONTROL!$C$9, $D$9, 100%, $F$9) + CHOOSE(CONTROL!$C$27, 0.0021, 0)</f>
        <v>21.906199999999998</v>
      </c>
      <c r="I40" s="17">
        <f>21.9041 * CHOOSE(CONTROL!$C$9, $D$9, 100%, $F$9) + CHOOSE(CONTROL!$C$27, 0.0021, 0)</f>
        <v>21.906199999999998</v>
      </c>
      <c r="J40" s="17">
        <f>21.9041 * CHOOSE(CONTROL!$C$9, $D$9, 100%, $F$9) + CHOOSE(CONTROL!$C$27, 0.0021, 0)</f>
        <v>21.906199999999998</v>
      </c>
      <c r="K40" s="17">
        <f>21.9041 * CHOOSE(CONTROL!$C$9, $D$9, 100%, $F$9) + CHOOSE(CONTROL!$C$27, 0.0021, 0)</f>
        <v>21.906199999999998</v>
      </c>
      <c r="L40" s="17"/>
      <c r="M40" s="34"/>
      <c r="N40" s="34"/>
      <c r="O40" s="34"/>
      <c r="P40" s="34"/>
      <c r="Q40" s="34"/>
    </row>
    <row r="41" spans="1:17" ht="15" x14ac:dyDescent="0.2">
      <c r="A41" s="16">
        <v>42156</v>
      </c>
      <c r="B41" s="17">
        <f>22.2211 * CHOOSE(CONTROL!$C$9, $D$9, 100%, $F$9) + CHOOSE(CONTROL!$C$27, 0.0021, 0)</f>
        <v>22.223199999999999</v>
      </c>
      <c r="C41" s="17">
        <f>21.7889 * CHOOSE(CONTROL!$C$9, $D$9, 100%, $F$9) + CHOOSE(CONTROL!$C$27, 0.0021, 0)</f>
        <v>21.791</v>
      </c>
      <c r="D41" s="17">
        <f>21.7889 * CHOOSE(CONTROL!$C$9, $D$9, 100%, $F$9) + CHOOSE(CONTROL!$C$27, 0.0021, 0)</f>
        <v>21.791</v>
      </c>
      <c r="E41" s="17">
        <f>21.6522 * CHOOSE(CONTROL!$C$9, $D$9, 100%, $F$9) + CHOOSE(CONTROL!$C$27, 0.0021, 0)</f>
        <v>21.654299999999999</v>
      </c>
      <c r="F41" s="17">
        <f>21.6522 * CHOOSE(CONTROL!$C$9, $D$9, 100%, $F$9) + CHOOSE(CONTROL!$C$27, 0.0021, 0)</f>
        <v>21.654299999999999</v>
      </c>
      <c r="G41" s="17">
        <f>21.9236 * CHOOSE(CONTROL!$C$9, $D$9, 100%, $F$9) + CHOOSE(CONTROL!$C$27, 0.0021, 0)</f>
        <v>21.925699999999999</v>
      </c>
      <c r="H41" s="17">
        <f>21.7889 * CHOOSE(CONTROL!$C$9, $D$9, 100%, $F$9) + CHOOSE(CONTROL!$C$27, 0.0021, 0)</f>
        <v>21.791</v>
      </c>
      <c r="I41" s="17">
        <f>21.7889 * CHOOSE(CONTROL!$C$9, $D$9, 100%, $F$9) + CHOOSE(CONTROL!$C$27, 0.0021, 0)</f>
        <v>21.791</v>
      </c>
      <c r="J41" s="17">
        <f>21.7889 * CHOOSE(CONTROL!$C$9, $D$9, 100%, $F$9) + CHOOSE(CONTROL!$C$27, 0.0021, 0)</f>
        <v>21.791</v>
      </c>
      <c r="K41" s="17">
        <f>21.7889 * CHOOSE(CONTROL!$C$9, $D$9, 100%, $F$9) + CHOOSE(CONTROL!$C$27, 0.0021, 0)</f>
        <v>21.791</v>
      </c>
      <c r="L41" s="17"/>
      <c r="M41" s="34"/>
      <c r="N41" s="34"/>
      <c r="O41" s="34"/>
      <c r="P41" s="34"/>
      <c r="Q41" s="34"/>
    </row>
    <row r="42" spans="1:17" ht="15" x14ac:dyDescent="0.2">
      <c r="A42" s="16">
        <v>42186</v>
      </c>
      <c r="B42" s="17">
        <f>22.1851 * CHOOSE(CONTROL!$C$9, $D$9, 100%, $F$9) + CHOOSE(CONTROL!$C$27, 0.0021, 0)</f>
        <v>22.187199999999997</v>
      </c>
      <c r="C42" s="17">
        <f>21.7528 * CHOOSE(CONTROL!$C$9, $D$9, 100%, $F$9) + CHOOSE(CONTROL!$C$27, 0.0021, 0)</f>
        <v>21.754899999999999</v>
      </c>
      <c r="D42" s="17">
        <f>21.7528 * CHOOSE(CONTROL!$C$9, $D$9, 100%, $F$9) + CHOOSE(CONTROL!$C$27, 0.0021, 0)</f>
        <v>21.754899999999999</v>
      </c>
      <c r="E42" s="17">
        <f>21.6162 * CHOOSE(CONTROL!$C$9, $D$9, 100%, $F$9) + CHOOSE(CONTROL!$C$27, 0.0021, 0)</f>
        <v>21.618299999999998</v>
      </c>
      <c r="F42" s="17">
        <f>21.6162 * CHOOSE(CONTROL!$C$9, $D$9, 100%, $F$9) + CHOOSE(CONTROL!$C$27, 0.0021, 0)</f>
        <v>21.618299999999998</v>
      </c>
      <c r="G42" s="17">
        <f>21.8875 * CHOOSE(CONTROL!$C$9, $D$9, 100%, $F$9) + CHOOSE(CONTROL!$C$27, 0.0021, 0)</f>
        <v>21.889599999999998</v>
      </c>
      <c r="H42" s="17">
        <f>21.7528 * CHOOSE(CONTROL!$C$9, $D$9, 100%, $F$9) + CHOOSE(CONTROL!$C$27, 0.0021, 0)</f>
        <v>21.754899999999999</v>
      </c>
      <c r="I42" s="17">
        <f>21.7528 * CHOOSE(CONTROL!$C$9, $D$9, 100%, $F$9) + CHOOSE(CONTROL!$C$27, 0.0021, 0)</f>
        <v>21.754899999999999</v>
      </c>
      <c r="J42" s="17">
        <f>21.7528 * CHOOSE(CONTROL!$C$9, $D$9, 100%, $F$9) + CHOOSE(CONTROL!$C$27, 0.0021, 0)</f>
        <v>21.754899999999999</v>
      </c>
      <c r="K42" s="17">
        <f>21.7528 * CHOOSE(CONTROL!$C$9, $D$9, 100%, $F$9) + CHOOSE(CONTROL!$C$27, 0.0021, 0)</f>
        <v>21.754899999999999</v>
      </c>
      <c r="L42" s="17"/>
      <c r="M42" s="34"/>
      <c r="N42" s="34"/>
      <c r="O42" s="34"/>
      <c r="P42" s="34"/>
      <c r="Q42" s="34"/>
    </row>
    <row r="43" spans="1:17" ht="15" x14ac:dyDescent="0.2">
      <c r="A43" s="16">
        <v>42217</v>
      </c>
      <c r="B43" s="17">
        <f>22.1599 * CHOOSE(CONTROL!$C$9, $D$9, 100%, $F$9) + CHOOSE(CONTROL!$C$27, 0.0021, 0)</f>
        <v>22.161999999999999</v>
      </c>
      <c r="C43" s="17">
        <f>21.7276 * CHOOSE(CONTROL!$C$9, $D$9, 100%, $F$9) + CHOOSE(CONTROL!$C$27, 0.0021, 0)</f>
        <v>21.729699999999998</v>
      </c>
      <c r="D43" s="17">
        <f>21.7276 * CHOOSE(CONTROL!$C$9, $D$9, 100%, $F$9) + CHOOSE(CONTROL!$C$27, 0.0021, 0)</f>
        <v>21.729699999999998</v>
      </c>
      <c r="E43" s="17">
        <f>21.591 * CHOOSE(CONTROL!$C$9, $D$9, 100%, $F$9) + CHOOSE(CONTROL!$C$27, 0.0021, 0)</f>
        <v>21.5931</v>
      </c>
      <c r="F43" s="17">
        <f>21.591 * CHOOSE(CONTROL!$C$9, $D$9, 100%, $F$9) + CHOOSE(CONTROL!$C$27, 0.0021, 0)</f>
        <v>21.5931</v>
      </c>
      <c r="G43" s="17">
        <f>21.8623 * CHOOSE(CONTROL!$C$9, $D$9, 100%, $F$9) + CHOOSE(CONTROL!$C$27, 0.0021, 0)</f>
        <v>21.8644</v>
      </c>
      <c r="H43" s="17">
        <f>21.7276 * CHOOSE(CONTROL!$C$9, $D$9, 100%, $F$9) + CHOOSE(CONTROL!$C$27, 0.0021, 0)</f>
        <v>21.729699999999998</v>
      </c>
      <c r="I43" s="17">
        <f>21.7276 * CHOOSE(CONTROL!$C$9, $D$9, 100%, $F$9) + CHOOSE(CONTROL!$C$27, 0.0021, 0)</f>
        <v>21.729699999999998</v>
      </c>
      <c r="J43" s="17">
        <f>21.7276 * CHOOSE(CONTROL!$C$9, $D$9, 100%, $F$9) + CHOOSE(CONTROL!$C$27, 0.0021, 0)</f>
        <v>21.729699999999998</v>
      </c>
      <c r="K43" s="17">
        <f>21.7276 * CHOOSE(CONTROL!$C$9, $D$9, 100%, $F$9) + CHOOSE(CONTROL!$C$27, 0.0021, 0)</f>
        <v>21.729699999999998</v>
      </c>
      <c r="L43" s="17"/>
      <c r="M43" s="34"/>
      <c r="N43" s="34"/>
      <c r="O43" s="34"/>
      <c r="P43" s="34"/>
      <c r="Q43" s="34"/>
    </row>
    <row r="44" spans="1:17" ht="15" x14ac:dyDescent="0.2">
      <c r="A44" s="16">
        <v>42248</v>
      </c>
      <c r="B44" s="17">
        <f>22.1383 * CHOOSE(CONTROL!$C$9, $D$9, 100%, $F$9) + CHOOSE(CONTROL!$C$27, 0.0021, 0)</f>
        <v>22.1404</v>
      </c>
      <c r="C44" s="17">
        <f>21.706 * CHOOSE(CONTROL!$C$9, $D$9, 100%, $F$9) + CHOOSE(CONTROL!$C$27, 0.0021, 0)</f>
        <v>21.708099999999998</v>
      </c>
      <c r="D44" s="17">
        <f>21.706 * CHOOSE(CONTROL!$C$9, $D$9, 100%, $F$9) + CHOOSE(CONTROL!$C$27, 0.0021, 0)</f>
        <v>21.708099999999998</v>
      </c>
      <c r="E44" s="17">
        <f>21.5693 * CHOOSE(CONTROL!$C$9, $D$9, 100%, $F$9) + CHOOSE(CONTROL!$C$27, 0.0021, 0)</f>
        <v>21.571399999999997</v>
      </c>
      <c r="F44" s="17">
        <f>21.5693 * CHOOSE(CONTROL!$C$9, $D$9, 100%, $F$9) + CHOOSE(CONTROL!$C$27, 0.0021, 0)</f>
        <v>21.571399999999997</v>
      </c>
      <c r="G44" s="17">
        <f>21.8407 * CHOOSE(CONTROL!$C$9, $D$9, 100%, $F$9) + CHOOSE(CONTROL!$C$27, 0.0021, 0)</f>
        <v>21.842799999999997</v>
      </c>
      <c r="H44" s="17">
        <f>21.706 * CHOOSE(CONTROL!$C$9, $D$9, 100%, $F$9) + CHOOSE(CONTROL!$C$27, 0.0021, 0)</f>
        <v>21.708099999999998</v>
      </c>
      <c r="I44" s="17">
        <f>21.706 * CHOOSE(CONTROL!$C$9, $D$9, 100%, $F$9) + CHOOSE(CONTROL!$C$27, 0.0021, 0)</f>
        <v>21.708099999999998</v>
      </c>
      <c r="J44" s="17">
        <f>21.706 * CHOOSE(CONTROL!$C$9, $D$9, 100%, $F$9) + CHOOSE(CONTROL!$C$27, 0.0021, 0)</f>
        <v>21.708099999999998</v>
      </c>
      <c r="K44" s="17">
        <f>21.706 * CHOOSE(CONTROL!$C$9, $D$9, 100%, $F$9) + CHOOSE(CONTROL!$C$27, 0.0021, 0)</f>
        <v>21.708099999999998</v>
      </c>
      <c r="L44" s="17"/>
      <c r="M44" s="34"/>
      <c r="N44" s="34"/>
      <c r="O44" s="34"/>
      <c r="P44" s="34"/>
      <c r="Q44" s="34"/>
    </row>
    <row r="45" spans="1:17" ht="15" x14ac:dyDescent="0.2">
      <c r="A45" s="16">
        <v>42278</v>
      </c>
      <c r="B45" s="17">
        <f>22.1166 * CHOOSE(CONTROL!$C$9, $D$9, 100%, $F$9) + CHOOSE(CONTROL!$C$27, 0.0021, 0)</f>
        <v>22.118699999999997</v>
      </c>
      <c r="C45" s="17">
        <f>21.6844 * CHOOSE(CONTROL!$C$9, $D$9, 100%, $F$9) + CHOOSE(CONTROL!$C$27, 0.0021, 0)</f>
        <v>21.686499999999999</v>
      </c>
      <c r="D45" s="17">
        <f>21.6844 * CHOOSE(CONTROL!$C$9, $D$9, 100%, $F$9) + CHOOSE(CONTROL!$C$27, 0.0021, 0)</f>
        <v>21.686499999999999</v>
      </c>
      <c r="E45" s="17">
        <f>21.5477 * CHOOSE(CONTROL!$C$9, $D$9, 100%, $F$9) + CHOOSE(CONTROL!$C$27, 0.0021, 0)</f>
        <v>21.549799999999998</v>
      </c>
      <c r="F45" s="17">
        <f>21.5477 * CHOOSE(CONTROL!$C$9, $D$9, 100%, $F$9) + CHOOSE(CONTROL!$C$27, 0.0021, 0)</f>
        <v>21.549799999999998</v>
      </c>
      <c r="G45" s="17">
        <f>21.8191 * CHOOSE(CONTROL!$C$9, $D$9, 100%, $F$9) + CHOOSE(CONTROL!$C$27, 0.0021, 0)</f>
        <v>21.821199999999997</v>
      </c>
      <c r="H45" s="17">
        <f>21.6844 * CHOOSE(CONTROL!$C$9, $D$9, 100%, $F$9) + CHOOSE(CONTROL!$C$27, 0.0021, 0)</f>
        <v>21.686499999999999</v>
      </c>
      <c r="I45" s="17">
        <f>21.6844 * CHOOSE(CONTROL!$C$9, $D$9, 100%, $F$9) + CHOOSE(CONTROL!$C$27, 0.0021, 0)</f>
        <v>21.686499999999999</v>
      </c>
      <c r="J45" s="17">
        <f>21.6844 * CHOOSE(CONTROL!$C$9, $D$9, 100%, $F$9) + CHOOSE(CONTROL!$C$27, 0.0021, 0)</f>
        <v>21.686499999999999</v>
      </c>
      <c r="K45" s="17">
        <f>21.6844 * CHOOSE(CONTROL!$C$9, $D$9, 100%, $F$9) + CHOOSE(CONTROL!$C$27, 0.0021, 0)</f>
        <v>21.686499999999999</v>
      </c>
      <c r="L45" s="17"/>
      <c r="M45" s="34"/>
      <c r="N45" s="34"/>
      <c r="O45" s="34"/>
      <c r="P45" s="34"/>
      <c r="Q45" s="34"/>
    </row>
    <row r="46" spans="1:17" ht="15" x14ac:dyDescent="0.2">
      <c r="A46" s="16">
        <v>42309</v>
      </c>
      <c r="B46" s="17">
        <f>22.0986 * CHOOSE(CONTROL!$C$9, $D$9, 100%, $F$9) + CHOOSE(CONTROL!$C$27, 0.0021, 0)</f>
        <v>22.1007</v>
      </c>
      <c r="C46" s="17">
        <f>21.6664 * CHOOSE(CONTROL!$C$9, $D$9, 100%, $F$9) + CHOOSE(CONTROL!$C$27, 0.0021, 0)</f>
        <v>21.668499999999998</v>
      </c>
      <c r="D46" s="17">
        <f>21.6664 * CHOOSE(CONTROL!$C$9, $D$9, 100%, $F$9) + CHOOSE(CONTROL!$C$27, 0.0021, 0)</f>
        <v>21.668499999999998</v>
      </c>
      <c r="E46" s="17">
        <f>21.5297 * CHOOSE(CONTROL!$C$9, $D$9, 100%, $F$9) + CHOOSE(CONTROL!$C$27, 0.0021, 0)</f>
        <v>21.531799999999997</v>
      </c>
      <c r="F46" s="17">
        <f>21.5297 * CHOOSE(CONTROL!$C$9, $D$9, 100%, $F$9) + CHOOSE(CONTROL!$C$27, 0.0021, 0)</f>
        <v>21.531799999999997</v>
      </c>
      <c r="G46" s="17">
        <f>21.8011 * CHOOSE(CONTROL!$C$9, $D$9, 100%, $F$9) + CHOOSE(CONTROL!$C$27, 0.0021, 0)</f>
        <v>21.8032</v>
      </c>
      <c r="H46" s="17">
        <f>21.6664 * CHOOSE(CONTROL!$C$9, $D$9, 100%, $F$9) + CHOOSE(CONTROL!$C$27, 0.0021, 0)</f>
        <v>21.668499999999998</v>
      </c>
      <c r="I46" s="17">
        <f>21.6664 * CHOOSE(CONTROL!$C$9, $D$9, 100%, $F$9) + CHOOSE(CONTROL!$C$27, 0.0021, 0)</f>
        <v>21.668499999999998</v>
      </c>
      <c r="J46" s="17">
        <f>21.6664 * CHOOSE(CONTROL!$C$9, $D$9, 100%, $F$9) + CHOOSE(CONTROL!$C$27, 0.0021, 0)</f>
        <v>21.668499999999998</v>
      </c>
      <c r="K46" s="17">
        <f>21.6664 * CHOOSE(CONTROL!$C$9, $D$9, 100%, $F$9) + CHOOSE(CONTROL!$C$27, 0.0021, 0)</f>
        <v>21.668499999999998</v>
      </c>
      <c r="L46" s="17"/>
      <c r="M46" s="34"/>
      <c r="N46" s="34"/>
      <c r="O46" s="34"/>
      <c r="P46" s="34"/>
      <c r="Q46" s="34"/>
    </row>
    <row r="47" spans="1:17" ht="15" x14ac:dyDescent="0.2">
      <c r="A47" s="16">
        <v>42339</v>
      </c>
      <c r="B47" s="17">
        <f>22.0806 * CHOOSE(CONTROL!$C$9, $D$9, 100%, $F$9) + CHOOSE(CONTROL!$C$27, 0.0021, 0)</f>
        <v>22.082699999999999</v>
      </c>
      <c r="C47" s="17">
        <f>21.6484 * CHOOSE(CONTROL!$C$9, $D$9, 100%, $F$9) + CHOOSE(CONTROL!$C$27, 0.0021, 0)</f>
        <v>21.650499999999997</v>
      </c>
      <c r="D47" s="17">
        <f>21.6484 * CHOOSE(CONTROL!$C$9, $D$9, 100%, $F$9) + CHOOSE(CONTROL!$C$27, 0.0021, 0)</f>
        <v>21.650499999999997</v>
      </c>
      <c r="E47" s="17">
        <f>21.5117 * CHOOSE(CONTROL!$C$9, $D$9, 100%, $F$9) + CHOOSE(CONTROL!$C$27, 0.0021, 0)</f>
        <v>21.5138</v>
      </c>
      <c r="F47" s="17">
        <f>21.5117 * CHOOSE(CONTROL!$C$9, $D$9, 100%, $F$9) + CHOOSE(CONTROL!$C$27, 0.0021, 0)</f>
        <v>21.5138</v>
      </c>
      <c r="G47" s="17">
        <f>21.7831 * CHOOSE(CONTROL!$C$9, $D$9, 100%, $F$9) + CHOOSE(CONTROL!$C$27, 0.0021, 0)</f>
        <v>21.7852</v>
      </c>
      <c r="H47" s="17">
        <f>21.6484 * CHOOSE(CONTROL!$C$9, $D$9, 100%, $F$9) + CHOOSE(CONTROL!$C$27, 0.0021, 0)</f>
        <v>21.650499999999997</v>
      </c>
      <c r="I47" s="17">
        <f>21.6484 * CHOOSE(CONTROL!$C$9, $D$9, 100%, $F$9) + CHOOSE(CONTROL!$C$27, 0.0021, 0)</f>
        <v>21.650499999999997</v>
      </c>
      <c r="J47" s="17">
        <f>21.6484 * CHOOSE(CONTROL!$C$9, $D$9, 100%, $F$9) + CHOOSE(CONTROL!$C$27, 0.0021, 0)</f>
        <v>21.650499999999997</v>
      </c>
      <c r="K47" s="17">
        <f>21.6484 * CHOOSE(CONTROL!$C$9, $D$9, 100%, $F$9) + CHOOSE(CONTROL!$C$27, 0.0021, 0)</f>
        <v>21.650499999999997</v>
      </c>
      <c r="L47" s="17"/>
      <c r="M47" s="34"/>
      <c r="N47" s="34"/>
      <c r="O47" s="34"/>
      <c r="P47" s="34"/>
      <c r="Q47" s="34"/>
    </row>
    <row r="48" spans="1:17" ht="15" x14ac:dyDescent="0.2">
      <c r="A48" s="16">
        <v>42370</v>
      </c>
      <c r="B48" s="17">
        <f>22.902 * CHOOSE(CONTROL!$C$9, $D$9, 100%, $F$9) + CHOOSE(CONTROL!$C$27, 0.0021, 0)</f>
        <v>22.9041</v>
      </c>
      <c r="C48" s="17">
        <f>22.4697 * CHOOSE(CONTROL!$C$9, $D$9, 100%, $F$9) + CHOOSE(CONTROL!$C$27, 0.0021, 0)</f>
        <v>22.471799999999998</v>
      </c>
      <c r="D48" s="17">
        <f>22.4697 * CHOOSE(CONTROL!$C$9, $D$9, 100%, $F$9) + CHOOSE(CONTROL!$C$27, 0.0021, 0)</f>
        <v>22.471799999999998</v>
      </c>
      <c r="E48" s="17">
        <f>22.3331 * CHOOSE(CONTROL!$C$9, $D$9, 100%, $F$9) + CHOOSE(CONTROL!$C$27, 0.0021, 0)</f>
        <v>22.3352</v>
      </c>
      <c r="F48" s="17">
        <f>22.3331 * CHOOSE(CONTROL!$C$9, $D$9, 100%, $F$9) + CHOOSE(CONTROL!$C$27, 0.0021, 0)</f>
        <v>22.3352</v>
      </c>
      <c r="G48" s="17">
        <f>22.6044 * CHOOSE(CONTROL!$C$9, $D$9, 100%, $F$9) + CHOOSE(CONTROL!$C$27, 0.0021, 0)</f>
        <v>22.606499999999997</v>
      </c>
      <c r="H48" s="17">
        <f>22.4697 * CHOOSE(CONTROL!$C$9, $D$9, 100%, $F$9) + CHOOSE(CONTROL!$C$27, 0.0021, 0)</f>
        <v>22.471799999999998</v>
      </c>
      <c r="I48" s="17">
        <f>22.4697 * CHOOSE(CONTROL!$C$9, $D$9, 100%, $F$9) + CHOOSE(CONTROL!$C$27, 0.0021, 0)</f>
        <v>22.471799999999998</v>
      </c>
      <c r="J48" s="17">
        <f>22.4697 * CHOOSE(CONTROL!$C$9, $D$9, 100%, $F$9) + CHOOSE(CONTROL!$C$27, 0.0021, 0)</f>
        <v>22.471799999999998</v>
      </c>
      <c r="K48" s="17">
        <f>22.4697 * CHOOSE(CONTROL!$C$9, $D$9, 100%, $F$9) + CHOOSE(CONTROL!$C$27, 0.0021, 0)</f>
        <v>22.471799999999998</v>
      </c>
      <c r="L48" s="17"/>
    </row>
    <row r="49" spans="1:12" ht="15" x14ac:dyDescent="0.2">
      <c r="A49" s="16">
        <v>42401</v>
      </c>
      <c r="B49" s="17">
        <f>22.3603 * CHOOSE(CONTROL!$C$9, $D$9, 100%, $F$9) + CHOOSE(CONTROL!$C$27, 0.0021, 0)</f>
        <v>22.362399999999997</v>
      </c>
      <c r="C49" s="17">
        <f>21.928 * CHOOSE(CONTROL!$C$9, $D$9, 100%, $F$9) + CHOOSE(CONTROL!$C$27, 0.0021, 0)</f>
        <v>21.930099999999999</v>
      </c>
      <c r="D49" s="17">
        <f>21.928 * CHOOSE(CONTROL!$C$9, $D$9, 100%, $F$9) + CHOOSE(CONTROL!$C$27, 0.0021, 0)</f>
        <v>21.930099999999999</v>
      </c>
      <c r="E49" s="17">
        <f>21.7914 * CHOOSE(CONTROL!$C$9, $D$9, 100%, $F$9) + CHOOSE(CONTROL!$C$27, 0.0021, 0)</f>
        <v>21.793499999999998</v>
      </c>
      <c r="F49" s="17">
        <f>21.7914 * CHOOSE(CONTROL!$C$9, $D$9, 100%, $F$9) + CHOOSE(CONTROL!$C$27, 0.0021, 0)</f>
        <v>21.793499999999998</v>
      </c>
      <c r="G49" s="17">
        <f>22.0627 * CHOOSE(CONTROL!$C$9, $D$9, 100%, $F$9) + CHOOSE(CONTROL!$C$27, 0.0021, 0)</f>
        <v>22.064799999999998</v>
      </c>
      <c r="H49" s="17">
        <f>21.928 * CHOOSE(CONTROL!$C$9, $D$9, 100%, $F$9) + CHOOSE(CONTROL!$C$27, 0.0021, 0)</f>
        <v>21.930099999999999</v>
      </c>
      <c r="I49" s="17">
        <f>21.928 * CHOOSE(CONTROL!$C$9, $D$9, 100%, $F$9) + CHOOSE(CONTROL!$C$27, 0.0021, 0)</f>
        <v>21.930099999999999</v>
      </c>
      <c r="J49" s="17">
        <f>21.928 * CHOOSE(CONTROL!$C$9, $D$9, 100%, $F$9) + CHOOSE(CONTROL!$C$27, 0.0021, 0)</f>
        <v>21.930099999999999</v>
      </c>
      <c r="K49" s="17">
        <f>21.928 * CHOOSE(CONTROL!$C$9, $D$9, 100%, $F$9) + CHOOSE(CONTROL!$C$27, 0.0021, 0)</f>
        <v>21.930099999999999</v>
      </c>
      <c r="L49" s="17"/>
    </row>
    <row r="50" spans="1:12" ht="15" x14ac:dyDescent="0.2">
      <c r="A50" s="16">
        <v>42430</v>
      </c>
      <c r="B50" s="17">
        <f>22.16 * CHOOSE(CONTROL!$C$9, $D$9, 100%, $F$9) + CHOOSE(CONTROL!$C$27, 0.0021, 0)</f>
        <v>22.162099999999999</v>
      </c>
      <c r="C50" s="17">
        <f>21.7277 * CHOOSE(CONTROL!$C$9, $D$9, 100%, $F$9) + CHOOSE(CONTROL!$C$27, 0.0021, 0)</f>
        <v>21.729799999999997</v>
      </c>
      <c r="D50" s="17">
        <f>21.7277 * CHOOSE(CONTROL!$C$9, $D$9, 100%, $F$9) + CHOOSE(CONTROL!$C$27, 0.0021, 0)</f>
        <v>21.729799999999997</v>
      </c>
      <c r="E50" s="17">
        <f>21.5911 * CHOOSE(CONTROL!$C$9, $D$9, 100%, $F$9) + CHOOSE(CONTROL!$C$27, 0.0021, 0)</f>
        <v>21.5932</v>
      </c>
      <c r="F50" s="17">
        <f>21.5911 * CHOOSE(CONTROL!$C$9, $D$9, 100%, $F$9) + CHOOSE(CONTROL!$C$27, 0.0021, 0)</f>
        <v>21.5932</v>
      </c>
      <c r="G50" s="17">
        <f>21.8624 * CHOOSE(CONTROL!$C$9, $D$9, 100%, $F$9) + CHOOSE(CONTROL!$C$27, 0.0021, 0)</f>
        <v>21.8645</v>
      </c>
      <c r="H50" s="17">
        <f>21.7277 * CHOOSE(CONTROL!$C$9, $D$9, 100%, $F$9) + CHOOSE(CONTROL!$C$27, 0.0021, 0)</f>
        <v>21.729799999999997</v>
      </c>
      <c r="I50" s="17">
        <f>21.7277 * CHOOSE(CONTROL!$C$9, $D$9, 100%, $F$9) + CHOOSE(CONTROL!$C$27, 0.0021, 0)</f>
        <v>21.729799999999997</v>
      </c>
      <c r="J50" s="17">
        <f>21.7277 * CHOOSE(CONTROL!$C$9, $D$9, 100%, $F$9) + CHOOSE(CONTROL!$C$27, 0.0021, 0)</f>
        <v>21.729799999999997</v>
      </c>
      <c r="K50" s="17">
        <f>21.7277 * CHOOSE(CONTROL!$C$9, $D$9, 100%, $F$9) + CHOOSE(CONTROL!$C$27, 0.0021, 0)</f>
        <v>21.729799999999997</v>
      </c>
      <c r="L50" s="17"/>
    </row>
    <row r="51" spans="1:12" ht="15" x14ac:dyDescent="0.2">
      <c r="A51" s="16">
        <v>42461</v>
      </c>
      <c r="B51" s="17">
        <f>21.9118 * CHOOSE(CONTROL!$C$9, $D$9, 100%, $F$9) + CHOOSE(CONTROL!$C$27, 0.0021, 0)</f>
        <v>21.913899999999998</v>
      </c>
      <c r="C51" s="17">
        <f>21.4795 * CHOOSE(CONTROL!$C$9, $D$9, 100%, $F$9) + CHOOSE(CONTROL!$C$27, 0.0021, 0)</f>
        <v>21.4816</v>
      </c>
      <c r="D51" s="17">
        <f>21.4795 * CHOOSE(CONTROL!$C$9, $D$9, 100%, $F$9) + CHOOSE(CONTROL!$C$27, 0.0021, 0)</f>
        <v>21.4816</v>
      </c>
      <c r="E51" s="17">
        <f>21.3429 * CHOOSE(CONTROL!$C$9, $D$9, 100%, $F$9) + CHOOSE(CONTROL!$C$27, 0.0021, 0)</f>
        <v>21.344999999999999</v>
      </c>
      <c r="F51" s="17">
        <f>21.3429 * CHOOSE(CONTROL!$C$9, $D$9, 100%, $F$9) + CHOOSE(CONTROL!$C$27, 0.0021, 0)</f>
        <v>21.344999999999999</v>
      </c>
      <c r="G51" s="17">
        <f>21.6142 * CHOOSE(CONTROL!$C$9, $D$9, 100%, $F$9) + CHOOSE(CONTROL!$C$27, 0.0021, 0)</f>
        <v>21.616299999999999</v>
      </c>
      <c r="H51" s="17">
        <f>21.4795 * CHOOSE(CONTROL!$C$9, $D$9, 100%, $F$9) + CHOOSE(CONTROL!$C$27, 0.0021, 0)</f>
        <v>21.4816</v>
      </c>
      <c r="I51" s="17">
        <f>21.4795 * CHOOSE(CONTROL!$C$9, $D$9, 100%, $F$9) + CHOOSE(CONTROL!$C$27, 0.0021, 0)</f>
        <v>21.4816</v>
      </c>
      <c r="J51" s="17">
        <f>21.4795 * CHOOSE(CONTROL!$C$9, $D$9, 100%, $F$9) + CHOOSE(CONTROL!$C$27, 0.0021, 0)</f>
        <v>21.4816</v>
      </c>
      <c r="K51" s="17">
        <f>21.4795 * CHOOSE(CONTROL!$C$9, $D$9, 100%, $F$9) + CHOOSE(CONTROL!$C$27, 0.0021, 0)</f>
        <v>21.4816</v>
      </c>
      <c r="L51" s="17"/>
    </row>
    <row r="52" spans="1:12" ht="15" x14ac:dyDescent="0.2">
      <c r="A52" s="16">
        <v>42491</v>
      </c>
      <c r="B52" s="17">
        <f>22.3651 * CHOOSE(CONTROL!$C$9, $D$9, 100%, $F$9) + CHOOSE(CONTROL!$C$27, 0.0021, 0)</f>
        <v>22.3672</v>
      </c>
      <c r="C52" s="17">
        <f>21.9328 * CHOOSE(CONTROL!$C$9, $D$9, 100%, $F$9) + CHOOSE(CONTROL!$C$27, 0.0021, 0)</f>
        <v>21.934899999999999</v>
      </c>
      <c r="D52" s="17">
        <f>21.9328 * CHOOSE(CONTROL!$C$9, $D$9, 100%, $F$9) + CHOOSE(CONTROL!$C$27, 0.0021, 0)</f>
        <v>21.934899999999999</v>
      </c>
      <c r="E52" s="17">
        <f>21.7961 * CHOOSE(CONTROL!$C$9, $D$9, 100%, $F$9) + CHOOSE(CONTROL!$C$27, 0.0021, 0)</f>
        <v>21.798199999999998</v>
      </c>
      <c r="F52" s="17">
        <f>21.7961 * CHOOSE(CONTROL!$C$9, $D$9, 100%, $F$9) + CHOOSE(CONTROL!$C$27, 0.0021, 0)</f>
        <v>21.798199999999998</v>
      </c>
      <c r="G52" s="17">
        <f>22.0675 * CHOOSE(CONTROL!$C$9, $D$9, 100%, $F$9) + CHOOSE(CONTROL!$C$27, 0.0021, 0)</f>
        <v>22.069599999999998</v>
      </c>
      <c r="H52" s="17">
        <f>21.9328 * CHOOSE(CONTROL!$C$9, $D$9, 100%, $F$9) + CHOOSE(CONTROL!$C$27, 0.0021, 0)</f>
        <v>21.934899999999999</v>
      </c>
      <c r="I52" s="17">
        <f>21.9328 * CHOOSE(CONTROL!$C$9, $D$9, 100%, $F$9) + CHOOSE(CONTROL!$C$27, 0.0021, 0)</f>
        <v>21.934899999999999</v>
      </c>
      <c r="J52" s="17">
        <f>21.9328 * CHOOSE(CONTROL!$C$9, $D$9, 100%, $F$9) + CHOOSE(CONTROL!$C$27, 0.0021, 0)</f>
        <v>21.934899999999999</v>
      </c>
      <c r="K52" s="17">
        <f>21.9328 * CHOOSE(CONTROL!$C$9, $D$9, 100%, $F$9) + CHOOSE(CONTROL!$C$27, 0.0021, 0)</f>
        <v>21.934899999999999</v>
      </c>
      <c r="L52" s="17"/>
    </row>
    <row r="53" spans="1:12" ht="15" x14ac:dyDescent="0.2">
      <c r="A53" s="16">
        <v>42522</v>
      </c>
      <c r="B53" s="17">
        <f>22.6542 * CHOOSE(CONTROL!$C$9, $D$9, 100%, $F$9) + CHOOSE(CONTROL!$C$27, 0.0021, 0)</f>
        <v>22.656299999999998</v>
      </c>
      <c r="C53" s="17">
        <f>22.222 * CHOOSE(CONTROL!$C$9, $D$9, 100%, $F$9) + CHOOSE(CONTROL!$C$27, 0.0021, 0)</f>
        <v>22.2241</v>
      </c>
      <c r="D53" s="17">
        <f>22.222 * CHOOSE(CONTROL!$C$9, $D$9, 100%, $F$9) + CHOOSE(CONTROL!$C$27, 0.0021, 0)</f>
        <v>22.2241</v>
      </c>
      <c r="E53" s="17">
        <f>22.0853 * CHOOSE(CONTROL!$C$9, $D$9, 100%, $F$9) + CHOOSE(CONTROL!$C$27, 0.0021, 0)</f>
        <v>22.087399999999999</v>
      </c>
      <c r="F53" s="17">
        <f>22.0853 * CHOOSE(CONTROL!$C$9, $D$9, 100%, $F$9) + CHOOSE(CONTROL!$C$27, 0.0021, 0)</f>
        <v>22.087399999999999</v>
      </c>
      <c r="G53" s="17">
        <f>22.3567 * CHOOSE(CONTROL!$C$9, $D$9, 100%, $F$9) + CHOOSE(CONTROL!$C$27, 0.0021, 0)</f>
        <v>22.358799999999999</v>
      </c>
      <c r="H53" s="17">
        <f>22.222 * CHOOSE(CONTROL!$C$9, $D$9, 100%, $F$9) + CHOOSE(CONTROL!$C$27, 0.0021, 0)</f>
        <v>22.2241</v>
      </c>
      <c r="I53" s="17">
        <f>22.222 * CHOOSE(CONTROL!$C$9, $D$9, 100%, $F$9) + CHOOSE(CONTROL!$C$27, 0.0021, 0)</f>
        <v>22.2241</v>
      </c>
      <c r="J53" s="17">
        <f>22.222 * CHOOSE(CONTROL!$C$9, $D$9, 100%, $F$9) + CHOOSE(CONTROL!$C$27, 0.0021, 0)</f>
        <v>22.2241</v>
      </c>
      <c r="K53" s="17">
        <f>22.222 * CHOOSE(CONTROL!$C$9, $D$9, 100%, $F$9) + CHOOSE(CONTROL!$C$27, 0.0021, 0)</f>
        <v>22.2241</v>
      </c>
      <c r="L53" s="17"/>
    </row>
    <row r="54" spans="1:12" ht="15" x14ac:dyDescent="0.2">
      <c r="A54" s="16">
        <v>42552</v>
      </c>
      <c r="B54" s="17">
        <f>23.1058 * CHOOSE(CONTROL!$C$9, $D$9, 100%, $F$9) + CHOOSE(CONTROL!$C$27, 0.0021, 0)</f>
        <v>23.107899999999997</v>
      </c>
      <c r="C54" s="17">
        <f>22.6735 * CHOOSE(CONTROL!$C$9, $D$9, 100%, $F$9) + CHOOSE(CONTROL!$C$27, 0.0021, 0)</f>
        <v>22.675599999999999</v>
      </c>
      <c r="D54" s="17">
        <f>22.6735 * CHOOSE(CONTROL!$C$9, $D$9, 100%, $F$9) + CHOOSE(CONTROL!$C$27, 0.0021, 0)</f>
        <v>22.675599999999999</v>
      </c>
      <c r="E54" s="17">
        <f>22.5369 * CHOOSE(CONTROL!$C$9, $D$9, 100%, $F$9) + CHOOSE(CONTROL!$C$27, 0.0021, 0)</f>
        <v>22.538999999999998</v>
      </c>
      <c r="F54" s="17">
        <f>22.5369 * CHOOSE(CONTROL!$C$9, $D$9, 100%, $F$9) + CHOOSE(CONTROL!$C$27, 0.0021, 0)</f>
        <v>22.538999999999998</v>
      </c>
      <c r="G54" s="17">
        <f>22.8082 * CHOOSE(CONTROL!$C$9, $D$9, 100%, $F$9) + CHOOSE(CONTROL!$C$27, 0.0021, 0)</f>
        <v>22.810299999999998</v>
      </c>
      <c r="H54" s="17">
        <f>22.6735 * CHOOSE(CONTROL!$C$9, $D$9, 100%, $F$9) + CHOOSE(CONTROL!$C$27, 0.0021, 0)</f>
        <v>22.675599999999999</v>
      </c>
      <c r="I54" s="17">
        <f>22.6735 * CHOOSE(CONTROL!$C$9, $D$9, 100%, $F$9) + CHOOSE(CONTROL!$C$27, 0.0021, 0)</f>
        <v>22.675599999999999</v>
      </c>
      <c r="J54" s="17">
        <f>22.6735 * CHOOSE(CONTROL!$C$9, $D$9, 100%, $F$9) + CHOOSE(CONTROL!$C$27, 0.0021, 0)</f>
        <v>22.675599999999999</v>
      </c>
      <c r="K54" s="17">
        <f>22.6735 * CHOOSE(CONTROL!$C$9, $D$9, 100%, $F$9) + CHOOSE(CONTROL!$C$27, 0.0021, 0)</f>
        <v>22.675599999999999</v>
      </c>
      <c r="L54" s="17"/>
    </row>
    <row r="55" spans="1:12" ht="15" x14ac:dyDescent="0.2">
      <c r="A55" s="16">
        <v>42583</v>
      </c>
      <c r="B55" s="17">
        <f>23.2739 * CHOOSE(CONTROL!$C$9, $D$9, 100%, $F$9) + CHOOSE(CONTROL!$C$27, 0.0021, 0)</f>
        <v>23.276</v>
      </c>
      <c r="C55" s="17">
        <f>22.8417 * CHOOSE(CONTROL!$C$9, $D$9, 100%, $F$9) + CHOOSE(CONTROL!$C$27, 0.0021, 0)</f>
        <v>22.843799999999998</v>
      </c>
      <c r="D55" s="17">
        <f>22.8417 * CHOOSE(CONTROL!$C$9, $D$9, 100%, $F$9) + CHOOSE(CONTROL!$C$27, 0.0021, 0)</f>
        <v>22.843799999999998</v>
      </c>
      <c r="E55" s="17">
        <f>22.705 * CHOOSE(CONTROL!$C$9, $D$9, 100%, $F$9) + CHOOSE(CONTROL!$C$27, 0.0021, 0)</f>
        <v>22.707099999999997</v>
      </c>
      <c r="F55" s="17">
        <f>22.705 * CHOOSE(CONTROL!$C$9, $D$9, 100%, $F$9) + CHOOSE(CONTROL!$C$27, 0.0021, 0)</f>
        <v>22.707099999999997</v>
      </c>
      <c r="G55" s="17">
        <f>22.9764 * CHOOSE(CONTROL!$C$9, $D$9, 100%, $F$9) + CHOOSE(CONTROL!$C$27, 0.0021, 0)</f>
        <v>22.9785</v>
      </c>
      <c r="H55" s="17">
        <f>22.8417 * CHOOSE(CONTROL!$C$9, $D$9, 100%, $F$9) + CHOOSE(CONTROL!$C$27, 0.0021, 0)</f>
        <v>22.843799999999998</v>
      </c>
      <c r="I55" s="17">
        <f>22.8417 * CHOOSE(CONTROL!$C$9, $D$9, 100%, $F$9) + CHOOSE(CONTROL!$C$27, 0.0021, 0)</f>
        <v>22.843799999999998</v>
      </c>
      <c r="J55" s="17">
        <f>22.8417 * CHOOSE(CONTROL!$C$9, $D$9, 100%, $F$9) + CHOOSE(CONTROL!$C$27, 0.0021, 0)</f>
        <v>22.843799999999998</v>
      </c>
      <c r="K55" s="17">
        <f>22.8417 * CHOOSE(CONTROL!$C$9, $D$9, 100%, $F$9) + CHOOSE(CONTROL!$C$27, 0.0021, 0)</f>
        <v>22.843799999999998</v>
      </c>
      <c r="L55" s="17"/>
    </row>
    <row r="56" spans="1:12" ht="15" x14ac:dyDescent="0.2">
      <c r="A56" s="16">
        <v>42614</v>
      </c>
      <c r="B56" s="17">
        <f>23.7447 * CHOOSE(CONTROL!$C$9, $D$9, 100%, $F$9) + CHOOSE(CONTROL!$C$27, 0.0021, 0)</f>
        <v>23.7468</v>
      </c>
      <c r="C56" s="17">
        <f>23.3124 * CHOOSE(CONTROL!$C$9, $D$9, 100%, $F$9) + CHOOSE(CONTROL!$C$27, 0.0021, 0)</f>
        <v>23.314499999999999</v>
      </c>
      <c r="D56" s="17">
        <f>23.3124 * CHOOSE(CONTROL!$C$9, $D$9, 100%, $F$9) + CHOOSE(CONTROL!$C$27, 0.0021, 0)</f>
        <v>23.314499999999999</v>
      </c>
      <c r="E56" s="17">
        <f>23.1758 * CHOOSE(CONTROL!$C$9, $D$9, 100%, $F$9) + CHOOSE(CONTROL!$C$27, 0.0021, 0)</f>
        <v>23.177899999999998</v>
      </c>
      <c r="F56" s="17">
        <f>23.1758 * CHOOSE(CONTROL!$C$9, $D$9, 100%, $F$9) + CHOOSE(CONTROL!$C$27, 0.0021, 0)</f>
        <v>23.177899999999998</v>
      </c>
      <c r="G56" s="17">
        <f>23.4471 * CHOOSE(CONTROL!$C$9, $D$9, 100%, $F$9) + CHOOSE(CONTROL!$C$27, 0.0021, 0)</f>
        <v>23.449199999999998</v>
      </c>
      <c r="H56" s="17">
        <f>23.3124 * CHOOSE(CONTROL!$C$9, $D$9, 100%, $F$9) + CHOOSE(CONTROL!$C$27, 0.0021, 0)</f>
        <v>23.314499999999999</v>
      </c>
      <c r="I56" s="17">
        <f>23.3124 * CHOOSE(CONTROL!$C$9, $D$9, 100%, $F$9) + CHOOSE(CONTROL!$C$27, 0.0021, 0)</f>
        <v>23.314499999999999</v>
      </c>
      <c r="J56" s="17">
        <f>23.3124 * CHOOSE(CONTROL!$C$9, $D$9, 100%, $F$9) + CHOOSE(CONTROL!$C$27, 0.0021, 0)</f>
        <v>23.314499999999999</v>
      </c>
      <c r="K56" s="17">
        <f>23.3124 * CHOOSE(CONTROL!$C$9, $D$9, 100%, $F$9) + CHOOSE(CONTROL!$C$27, 0.0021, 0)</f>
        <v>23.314499999999999</v>
      </c>
      <c r="L56" s="17"/>
    </row>
    <row r="57" spans="1:12" ht="15" x14ac:dyDescent="0.2">
      <c r="A57" s="16">
        <v>42644</v>
      </c>
      <c r="B57" s="17">
        <f>24.3312 * CHOOSE(CONTROL!$C$9, $D$9, 100%, $F$9) + CHOOSE(CONTROL!$C$27, 0.0021, 0)</f>
        <v>24.333299999999998</v>
      </c>
      <c r="C57" s="17">
        <f>23.8989 * CHOOSE(CONTROL!$C$9, $D$9, 100%, $F$9) + CHOOSE(CONTROL!$C$27, 0.0021, 0)</f>
        <v>23.901</v>
      </c>
      <c r="D57" s="17">
        <f>23.8989 * CHOOSE(CONTROL!$C$9, $D$9, 100%, $F$9) + CHOOSE(CONTROL!$C$27, 0.0021, 0)</f>
        <v>23.901</v>
      </c>
      <c r="E57" s="17">
        <f>23.7623 * CHOOSE(CONTROL!$C$9, $D$9, 100%, $F$9) + CHOOSE(CONTROL!$C$27, 0.0021, 0)</f>
        <v>23.764399999999998</v>
      </c>
      <c r="F57" s="17">
        <f>23.7623 * CHOOSE(CONTROL!$C$9, $D$9, 100%, $F$9) + CHOOSE(CONTROL!$C$27, 0.0021, 0)</f>
        <v>23.764399999999998</v>
      </c>
      <c r="G57" s="17">
        <f>24.0336 * CHOOSE(CONTROL!$C$9, $D$9, 100%, $F$9) + CHOOSE(CONTROL!$C$27, 0.0021, 0)</f>
        <v>24.035699999999999</v>
      </c>
      <c r="H57" s="17">
        <f>23.8989 * CHOOSE(CONTROL!$C$9, $D$9, 100%, $F$9) + CHOOSE(CONTROL!$C$27, 0.0021, 0)</f>
        <v>23.901</v>
      </c>
      <c r="I57" s="17">
        <f>23.8989 * CHOOSE(CONTROL!$C$9, $D$9, 100%, $F$9) + CHOOSE(CONTROL!$C$27, 0.0021, 0)</f>
        <v>23.901</v>
      </c>
      <c r="J57" s="17">
        <f>23.8989 * CHOOSE(CONTROL!$C$9, $D$9, 100%, $F$9) + CHOOSE(CONTROL!$C$27, 0.0021, 0)</f>
        <v>23.901</v>
      </c>
      <c r="K57" s="17">
        <f>23.8989 * CHOOSE(CONTROL!$C$9, $D$9, 100%, $F$9) + CHOOSE(CONTROL!$C$27, 0.0021, 0)</f>
        <v>23.901</v>
      </c>
      <c r="L57" s="17"/>
    </row>
    <row r="58" spans="1:12" ht="15" x14ac:dyDescent="0.2">
      <c r="A58" s="16">
        <v>42675</v>
      </c>
      <c r="B58" s="17">
        <f>24.4276 * CHOOSE(CONTROL!$C$9, $D$9, 100%, $F$9) + CHOOSE(CONTROL!$C$27, 0.0021, 0)</f>
        <v>24.4297</v>
      </c>
      <c r="C58" s="17">
        <f>23.9953 * CHOOSE(CONTROL!$C$9, $D$9, 100%, $F$9) + CHOOSE(CONTROL!$C$27, 0.0021, 0)</f>
        <v>23.997399999999999</v>
      </c>
      <c r="D58" s="17">
        <f>23.9953 * CHOOSE(CONTROL!$C$9, $D$9, 100%, $F$9) + CHOOSE(CONTROL!$C$27, 0.0021, 0)</f>
        <v>23.997399999999999</v>
      </c>
      <c r="E58" s="17">
        <f>23.8587 * CHOOSE(CONTROL!$C$9, $D$9, 100%, $F$9) + CHOOSE(CONTROL!$C$27, 0.0021, 0)</f>
        <v>23.860799999999998</v>
      </c>
      <c r="F58" s="17">
        <f>23.8587 * CHOOSE(CONTROL!$C$9, $D$9, 100%, $F$9) + CHOOSE(CONTROL!$C$27, 0.0021, 0)</f>
        <v>23.860799999999998</v>
      </c>
      <c r="G58" s="17">
        <f>24.13 * CHOOSE(CONTROL!$C$9, $D$9, 100%, $F$9) + CHOOSE(CONTROL!$C$27, 0.0021, 0)</f>
        <v>24.132099999999998</v>
      </c>
      <c r="H58" s="17">
        <f>23.9953 * CHOOSE(CONTROL!$C$9, $D$9, 100%, $F$9) + CHOOSE(CONTROL!$C$27, 0.0021, 0)</f>
        <v>23.997399999999999</v>
      </c>
      <c r="I58" s="17">
        <f>23.9953 * CHOOSE(CONTROL!$C$9, $D$9, 100%, $F$9) + CHOOSE(CONTROL!$C$27, 0.0021, 0)</f>
        <v>23.997399999999999</v>
      </c>
      <c r="J58" s="17">
        <f>23.9953 * CHOOSE(CONTROL!$C$9, $D$9, 100%, $F$9) + CHOOSE(CONTROL!$C$27, 0.0021, 0)</f>
        <v>23.997399999999999</v>
      </c>
      <c r="K58" s="17">
        <f>23.9953 * CHOOSE(CONTROL!$C$9, $D$9, 100%, $F$9) + CHOOSE(CONTROL!$C$27, 0.0021, 0)</f>
        <v>23.997399999999999</v>
      </c>
      <c r="L58" s="17"/>
    </row>
    <row r="59" spans="1:12" ht="15" x14ac:dyDescent="0.2">
      <c r="A59" s="16">
        <v>42705</v>
      </c>
      <c r="B59" s="17">
        <f>24.0383 * CHOOSE(CONTROL!$C$9, $D$9, 100%, $F$9) + CHOOSE(CONTROL!$C$27, 0.0021, 0)</f>
        <v>24.040399999999998</v>
      </c>
      <c r="C59" s="17">
        <f>23.606 * CHOOSE(CONTROL!$C$9, $D$9, 100%, $F$9) + CHOOSE(CONTROL!$C$27, 0.0021, 0)</f>
        <v>23.6081</v>
      </c>
      <c r="D59" s="17">
        <f>23.606 * CHOOSE(CONTROL!$C$9, $D$9, 100%, $F$9) + CHOOSE(CONTROL!$C$27, 0.0021, 0)</f>
        <v>23.6081</v>
      </c>
      <c r="E59" s="17">
        <f>23.4694 * CHOOSE(CONTROL!$C$9, $D$9, 100%, $F$9) + CHOOSE(CONTROL!$C$27, 0.0021, 0)</f>
        <v>23.471499999999999</v>
      </c>
      <c r="F59" s="17">
        <f>23.4694 * CHOOSE(CONTROL!$C$9, $D$9, 100%, $F$9) + CHOOSE(CONTROL!$C$27, 0.0021, 0)</f>
        <v>23.471499999999999</v>
      </c>
      <c r="G59" s="17">
        <f>23.7407 * CHOOSE(CONTROL!$C$9, $D$9, 100%, $F$9) + CHOOSE(CONTROL!$C$27, 0.0021, 0)</f>
        <v>23.742799999999999</v>
      </c>
      <c r="H59" s="17">
        <f>23.606 * CHOOSE(CONTROL!$C$9, $D$9, 100%, $F$9) + CHOOSE(CONTROL!$C$27, 0.0021, 0)</f>
        <v>23.6081</v>
      </c>
      <c r="I59" s="17">
        <f>23.606 * CHOOSE(CONTROL!$C$9, $D$9, 100%, $F$9) + CHOOSE(CONTROL!$C$27, 0.0021, 0)</f>
        <v>23.6081</v>
      </c>
      <c r="J59" s="17">
        <f>23.606 * CHOOSE(CONTROL!$C$9, $D$9, 100%, $F$9) + CHOOSE(CONTROL!$C$27, 0.0021, 0)</f>
        <v>23.6081</v>
      </c>
      <c r="K59" s="17">
        <f>23.606 * CHOOSE(CONTROL!$C$9, $D$9, 100%, $F$9) + CHOOSE(CONTROL!$C$27, 0.0021, 0)</f>
        <v>23.6081</v>
      </c>
      <c r="L59" s="17"/>
    </row>
    <row r="60" spans="1:12" ht="15" x14ac:dyDescent="0.2">
      <c r="A60" s="16">
        <v>42736</v>
      </c>
      <c r="B60" s="17">
        <f>23.4006 * CHOOSE(CONTROL!$C$9, $D$9, 100%, $F$9) + CHOOSE(CONTROL!$C$27, 0.0021, 0)</f>
        <v>23.402699999999999</v>
      </c>
      <c r="C60" s="17">
        <f>22.9683 * CHOOSE(CONTROL!$C$9, $D$9, 100%, $F$9) + CHOOSE(CONTROL!$C$27, 0.0021, 0)</f>
        <v>22.970399999999998</v>
      </c>
      <c r="D60" s="17">
        <f>22.9683 * CHOOSE(CONTROL!$C$9, $D$9, 100%, $F$9) + CHOOSE(CONTROL!$C$27, 0.0021, 0)</f>
        <v>22.970399999999998</v>
      </c>
      <c r="E60" s="17">
        <f>22.8317 * CHOOSE(CONTROL!$C$9, $D$9, 100%, $F$9) + CHOOSE(CONTROL!$C$27, 0.0021, 0)</f>
        <v>22.8338</v>
      </c>
      <c r="F60" s="17">
        <f>22.8317 * CHOOSE(CONTROL!$C$9, $D$9, 100%, $F$9) + CHOOSE(CONTROL!$C$27, 0.0021, 0)</f>
        <v>22.8338</v>
      </c>
      <c r="G60" s="17">
        <f>23.1031 * CHOOSE(CONTROL!$C$9, $D$9, 100%, $F$9) + CHOOSE(CONTROL!$C$27, 0.0021, 0)</f>
        <v>23.1052</v>
      </c>
      <c r="H60" s="17">
        <f>22.9683 * CHOOSE(CONTROL!$C$9, $D$9, 100%, $F$9) + CHOOSE(CONTROL!$C$27, 0.0021, 0)</f>
        <v>22.970399999999998</v>
      </c>
      <c r="I60" s="17">
        <f>22.9683 * CHOOSE(CONTROL!$C$9, $D$9, 100%, $F$9) + CHOOSE(CONTROL!$C$27, 0.0021, 0)</f>
        <v>22.970399999999998</v>
      </c>
      <c r="J60" s="17">
        <f>22.9683 * CHOOSE(CONTROL!$C$9, $D$9, 100%, $F$9) + CHOOSE(CONTROL!$C$27, 0.0021, 0)</f>
        <v>22.970399999999998</v>
      </c>
      <c r="K60" s="17">
        <f>22.9683 * CHOOSE(CONTROL!$C$9, $D$9, 100%, $F$9) + CHOOSE(CONTROL!$C$27, 0.0021, 0)</f>
        <v>22.970399999999998</v>
      </c>
      <c r="L60" s="17"/>
    </row>
    <row r="61" spans="1:12" ht="15" x14ac:dyDescent="0.2">
      <c r="A61" s="16">
        <v>42767</v>
      </c>
      <c r="B61" s="17">
        <f>22.8458 * CHOOSE(CONTROL!$C$9, $D$9, 100%, $F$9) + CHOOSE(CONTROL!$C$27, 0.0021, 0)</f>
        <v>22.847899999999999</v>
      </c>
      <c r="C61" s="17">
        <f>22.4135 * CHOOSE(CONTROL!$C$9, $D$9, 100%, $F$9) + CHOOSE(CONTROL!$C$27, 0.0021, 0)</f>
        <v>22.415599999999998</v>
      </c>
      <c r="D61" s="17">
        <f>22.4135 * CHOOSE(CONTROL!$C$9, $D$9, 100%, $F$9) + CHOOSE(CONTROL!$C$27, 0.0021, 0)</f>
        <v>22.415599999999998</v>
      </c>
      <c r="E61" s="17">
        <f>22.2769 * CHOOSE(CONTROL!$C$9, $D$9, 100%, $F$9) + CHOOSE(CONTROL!$C$27, 0.0021, 0)</f>
        <v>22.279</v>
      </c>
      <c r="F61" s="17">
        <f>22.2769 * CHOOSE(CONTROL!$C$9, $D$9, 100%, $F$9) + CHOOSE(CONTROL!$C$27, 0.0021, 0)</f>
        <v>22.279</v>
      </c>
      <c r="G61" s="17">
        <f>22.5483 * CHOOSE(CONTROL!$C$9, $D$9, 100%, $F$9) + CHOOSE(CONTROL!$C$27, 0.0021, 0)</f>
        <v>22.5504</v>
      </c>
      <c r="H61" s="17">
        <f>22.4135 * CHOOSE(CONTROL!$C$9, $D$9, 100%, $F$9) + CHOOSE(CONTROL!$C$27, 0.0021, 0)</f>
        <v>22.415599999999998</v>
      </c>
      <c r="I61" s="17">
        <f>22.4135 * CHOOSE(CONTROL!$C$9, $D$9, 100%, $F$9) + CHOOSE(CONTROL!$C$27, 0.0021, 0)</f>
        <v>22.415599999999998</v>
      </c>
      <c r="J61" s="17">
        <f>22.4135 * CHOOSE(CONTROL!$C$9, $D$9, 100%, $F$9) + CHOOSE(CONTROL!$C$27, 0.0021, 0)</f>
        <v>22.415599999999998</v>
      </c>
      <c r="K61" s="17">
        <f>22.4135 * CHOOSE(CONTROL!$C$9, $D$9, 100%, $F$9) + CHOOSE(CONTROL!$C$27, 0.0021, 0)</f>
        <v>22.415599999999998</v>
      </c>
      <c r="L61" s="17"/>
    </row>
    <row r="62" spans="1:12" ht="15" x14ac:dyDescent="0.2">
      <c r="A62" s="16">
        <v>42795</v>
      </c>
      <c r="B62" s="17">
        <f>22.6406 * CHOOSE(CONTROL!$C$9, $D$9, 100%, $F$9) + CHOOSE(CONTROL!$C$27, 0.0021, 0)</f>
        <v>22.642699999999998</v>
      </c>
      <c r="C62" s="17">
        <f>22.2084 * CHOOSE(CONTROL!$C$9, $D$9, 100%, $F$9) + CHOOSE(CONTROL!$C$27, 0.0021, 0)</f>
        <v>22.2105</v>
      </c>
      <c r="D62" s="17">
        <f>22.2084 * CHOOSE(CONTROL!$C$9, $D$9, 100%, $F$9) + CHOOSE(CONTROL!$C$27, 0.0021, 0)</f>
        <v>22.2105</v>
      </c>
      <c r="E62" s="17">
        <f>22.0717 * CHOOSE(CONTROL!$C$9, $D$9, 100%, $F$9) + CHOOSE(CONTROL!$C$27, 0.0021, 0)</f>
        <v>22.073799999999999</v>
      </c>
      <c r="F62" s="17">
        <f>22.0717 * CHOOSE(CONTROL!$C$9, $D$9, 100%, $F$9) + CHOOSE(CONTROL!$C$27, 0.0021, 0)</f>
        <v>22.073799999999999</v>
      </c>
      <c r="G62" s="17">
        <f>22.3431 * CHOOSE(CONTROL!$C$9, $D$9, 100%, $F$9) + CHOOSE(CONTROL!$C$27, 0.0021, 0)</f>
        <v>22.345199999999998</v>
      </c>
      <c r="H62" s="17">
        <f>22.2084 * CHOOSE(CONTROL!$C$9, $D$9, 100%, $F$9) + CHOOSE(CONTROL!$C$27, 0.0021, 0)</f>
        <v>22.2105</v>
      </c>
      <c r="I62" s="17">
        <f>22.2084 * CHOOSE(CONTROL!$C$9, $D$9, 100%, $F$9) + CHOOSE(CONTROL!$C$27, 0.0021, 0)</f>
        <v>22.2105</v>
      </c>
      <c r="J62" s="17">
        <f>22.2084 * CHOOSE(CONTROL!$C$9, $D$9, 100%, $F$9) + CHOOSE(CONTROL!$C$27, 0.0021, 0)</f>
        <v>22.2105</v>
      </c>
      <c r="K62" s="17">
        <f>22.2084 * CHOOSE(CONTROL!$C$9, $D$9, 100%, $F$9) + CHOOSE(CONTROL!$C$27, 0.0021, 0)</f>
        <v>22.2105</v>
      </c>
      <c r="L62" s="17"/>
    </row>
    <row r="63" spans="1:12" ht="15" x14ac:dyDescent="0.2">
      <c r="A63" s="16">
        <v>42826</v>
      </c>
      <c r="B63" s="17">
        <f>22.3865 * CHOOSE(CONTROL!$C$9, $D$9, 100%, $F$9) + CHOOSE(CONTROL!$C$27, 0.0021, 0)</f>
        <v>22.3886</v>
      </c>
      <c r="C63" s="17">
        <f>21.9542 * CHOOSE(CONTROL!$C$9, $D$9, 100%, $F$9) + CHOOSE(CONTROL!$C$27, 0.0021, 0)</f>
        <v>21.956299999999999</v>
      </c>
      <c r="D63" s="17">
        <f>21.9542 * CHOOSE(CONTROL!$C$9, $D$9, 100%, $F$9) + CHOOSE(CONTROL!$C$27, 0.0021, 0)</f>
        <v>21.956299999999999</v>
      </c>
      <c r="E63" s="17">
        <f>21.8176 * CHOOSE(CONTROL!$C$9, $D$9, 100%, $F$9) + CHOOSE(CONTROL!$C$27, 0.0021, 0)</f>
        <v>21.819699999999997</v>
      </c>
      <c r="F63" s="17">
        <f>21.8176 * CHOOSE(CONTROL!$C$9, $D$9, 100%, $F$9) + CHOOSE(CONTROL!$C$27, 0.0021, 0)</f>
        <v>21.819699999999997</v>
      </c>
      <c r="G63" s="17">
        <f>22.0889 * CHOOSE(CONTROL!$C$9, $D$9, 100%, $F$9) + CHOOSE(CONTROL!$C$27, 0.0021, 0)</f>
        <v>22.090999999999998</v>
      </c>
      <c r="H63" s="17">
        <f>21.9542 * CHOOSE(CONTROL!$C$9, $D$9, 100%, $F$9) + CHOOSE(CONTROL!$C$27, 0.0021, 0)</f>
        <v>21.956299999999999</v>
      </c>
      <c r="I63" s="17">
        <f>21.9542 * CHOOSE(CONTROL!$C$9, $D$9, 100%, $F$9) + CHOOSE(CONTROL!$C$27, 0.0021, 0)</f>
        <v>21.956299999999999</v>
      </c>
      <c r="J63" s="17">
        <f>21.9542 * CHOOSE(CONTROL!$C$9, $D$9, 100%, $F$9) + CHOOSE(CONTROL!$C$27, 0.0021, 0)</f>
        <v>21.956299999999999</v>
      </c>
      <c r="K63" s="17">
        <f>21.9542 * CHOOSE(CONTROL!$C$9, $D$9, 100%, $F$9) + CHOOSE(CONTROL!$C$27, 0.0021, 0)</f>
        <v>21.956299999999999</v>
      </c>
      <c r="L63" s="17"/>
    </row>
    <row r="64" spans="1:12" ht="15" x14ac:dyDescent="0.2">
      <c r="A64" s="16">
        <v>42856</v>
      </c>
      <c r="B64" s="17">
        <f>22.8507 * CHOOSE(CONTROL!$C$9, $D$9, 100%, $F$9) + CHOOSE(CONTROL!$C$27, 0.0021, 0)</f>
        <v>22.852799999999998</v>
      </c>
      <c r="C64" s="17">
        <f>22.4185 * CHOOSE(CONTROL!$C$9, $D$9, 100%, $F$9) + CHOOSE(CONTROL!$C$27, 0.0021, 0)</f>
        <v>22.4206</v>
      </c>
      <c r="D64" s="17">
        <f>22.4185 * CHOOSE(CONTROL!$C$9, $D$9, 100%, $F$9) + CHOOSE(CONTROL!$C$27, 0.0021, 0)</f>
        <v>22.4206</v>
      </c>
      <c r="E64" s="17">
        <f>22.2818 * CHOOSE(CONTROL!$C$9, $D$9, 100%, $F$9) + CHOOSE(CONTROL!$C$27, 0.0021, 0)</f>
        <v>22.283899999999999</v>
      </c>
      <c r="F64" s="17">
        <f>22.2818 * CHOOSE(CONTROL!$C$9, $D$9, 100%, $F$9) + CHOOSE(CONTROL!$C$27, 0.0021, 0)</f>
        <v>22.283899999999999</v>
      </c>
      <c r="G64" s="17">
        <f>22.5532 * CHOOSE(CONTROL!$C$9, $D$9, 100%, $F$9) + CHOOSE(CONTROL!$C$27, 0.0021, 0)</f>
        <v>22.555299999999999</v>
      </c>
      <c r="H64" s="17">
        <f>22.4185 * CHOOSE(CONTROL!$C$9, $D$9, 100%, $F$9) + CHOOSE(CONTROL!$C$27, 0.0021, 0)</f>
        <v>22.4206</v>
      </c>
      <c r="I64" s="17">
        <f>22.4185 * CHOOSE(CONTROL!$C$9, $D$9, 100%, $F$9) + CHOOSE(CONTROL!$C$27, 0.0021, 0)</f>
        <v>22.4206</v>
      </c>
      <c r="J64" s="17">
        <f>22.4185 * CHOOSE(CONTROL!$C$9, $D$9, 100%, $F$9) + CHOOSE(CONTROL!$C$27, 0.0021, 0)</f>
        <v>22.4206</v>
      </c>
      <c r="K64" s="17">
        <f>22.4185 * CHOOSE(CONTROL!$C$9, $D$9, 100%, $F$9) + CHOOSE(CONTROL!$C$27, 0.0021, 0)</f>
        <v>22.4206</v>
      </c>
      <c r="L64" s="17"/>
    </row>
    <row r="65" spans="1:12" ht="15" x14ac:dyDescent="0.2">
      <c r="A65" s="16">
        <v>42887</v>
      </c>
      <c r="B65" s="17">
        <f>23.1468 * CHOOSE(CONTROL!$C$9, $D$9, 100%, $F$9) + CHOOSE(CONTROL!$C$27, 0.0021, 0)</f>
        <v>23.148899999999998</v>
      </c>
      <c r="C65" s="17">
        <f>22.7146 * CHOOSE(CONTROL!$C$9, $D$9, 100%, $F$9) + CHOOSE(CONTROL!$C$27, 0.0021, 0)</f>
        <v>22.716699999999999</v>
      </c>
      <c r="D65" s="17">
        <f>22.7146 * CHOOSE(CONTROL!$C$9, $D$9, 100%, $F$9) + CHOOSE(CONTROL!$C$27, 0.0021, 0)</f>
        <v>22.716699999999999</v>
      </c>
      <c r="E65" s="17">
        <f>22.5779 * CHOOSE(CONTROL!$C$9, $D$9, 100%, $F$9) + CHOOSE(CONTROL!$C$27, 0.0021, 0)</f>
        <v>22.58</v>
      </c>
      <c r="F65" s="17">
        <f>22.5779 * CHOOSE(CONTROL!$C$9, $D$9, 100%, $F$9) + CHOOSE(CONTROL!$C$27, 0.0021, 0)</f>
        <v>22.58</v>
      </c>
      <c r="G65" s="17">
        <f>22.8493 * CHOOSE(CONTROL!$C$9, $D$9, 100%, $F$9) + CHOOSE(CONTROL!$C$27, 0.0021, 0)</f>
        <v>22.851399999999998</v>
      </c>
      <c r="H65" s="17">
        <f>22.7146 * CHOOSE(CONTROL!$C$9, $D$9, 100%, $F$9) + CHOOSE(CONTROL!$C$27, 0.0021, 0)</f>
        <v>22.716699999999999</v>
      </c>
      <c r="I65" s="17">
        <f>22.7146 * CHOOSE(CONTROL!$C$9, $D$9, 100%, $F$9) + CHOOSE(CONTROL!$C$27, 0.0021, 0)</f>
        <v>22.716699999999999</v>
      </c>
      <c r="J65" s="17">
        <f>22.7146 * CHOOSE(CONTROL!$C$9, $D$9, 100%, $F$9) + CHOOSE(CONTROL!$C$27, 0.0021, 0)</f>
        <v>22.716699999999999</v>
      </c>
      <c r="K65" s="17">
        <f>22.7146 * CHOOSE(CONTROL!$C$9, $D$9, 100%, $F$9) + CHOOSE(CONTROL!$C$27, 0.0021, 0)</f>
        <v>22.716699999999999</v>
      </c>
      <c r="L65" s="17"/>
    </row>
    <row r="66" spans="1:12" ht="15" x14ac:dyDescent="0.2">
      <c r="A66" s="16">
        <v>42917</v>
      </c>
      <c r="B66" s="17">
        <f>23.6093 * CHOOSE(CONTROL!$C$9, $D$9, 100%, $F$9) + CHOOSE(CONTROL!$C$27, 0.0021, 0)</f>
        <v>23.6114</v>
      </c>
      <c r="C66" s="17">
        <f>23.1771 * CHOOSE(CONTROL!$C$9, $D$9, 100%, $F$9) + CHOOSE(CONTROL!$C$27, 0.0021, 0)</f>
        <v>23.179199999999998</v>
      </c>
      <c r="D66" s="17">
        <f>23.1771 * CHOOSE(CONTROL!$C$9, $D$9, 100%, $F$9) + CHOOSE(CONTROL!$C$27, 0.0021, 0)</f>
        <v>23.179199999999998</v>
      </c>
      <c r="E66" s="17">
        <f>23.0404 * CHOOSE(CONTROL!$C$9, $D$9, 100%, $F$9) + CHOOSE(CONTROL!$C$27, 0.0021, 0)</f>
        <v>23.0425</v>
      </c>
      <c r="F66" s="17">
        <f>23.0404 * CHOOSE(CONTROL!$C$9, $D$9, 100%, $F$9) + CHOOSE(CONTROL!$C$27, 0.0021, 0)</f>
        <v>23.0425</v>
      </c>
      <c r="G66" s="17">
        <f>23.3118 * CHOOSE(CONTROL!$C$9, $D$9, 100%, $F$9) + CHOOSE(CONTROL!$C$27, 0.0021, 0)</f>
        <v>23.3139</v>
      </c>
      <c r="H66" s="17">
        <f>23.1771 * CHOOSE(CONTROL!$C$9, $D$9, 100%, $F$9) + CHOOSE(CONTROL!$C$27, 0.0021, 0)</f>
        <v>23.179199999999998</v>
      </c>
      <c r="I66" s="17">
        <f>23.1771 * CHOOSE(CONTROL!$C$9, $D$9, 100%, $F$9) + CHOOSE(CONTROL!$C$27, 0.0021, 0)</f>
        <v>23.179199999999998</v>
      </c>
      <c r="J66" s="17">
        <f>23.1771 * CHOOSE(CONTROL!$C$9, $D$9, 100%, $F$9) + CHOOSE(CONTROL!$C$27, 0.0021, 0)</f>
        <v>23.179199999999998</v>
      </c>
      <c r="K66" s="17">
        <f>23.1771 * CHOOSE(CONTROL!$C$9, $D$9, 100%, $F$9) + CHOOSE(CONTROL!$C$27, 0.0021, 0)</f>
        <v>23.179199999999998</v>
      </c>
      <c r="L66" s="17"/>
    </row>
    <row r="67" spans="1:12" ht="15" x14ac:dyDescent="0.2">
      <c r="A67" s="16">
        <v>42948</v>
      </c>
      <c r="B67" s="17">
        <f>23.7816 * CHOOSE(CONTROL!$C$9, $D$9, 100%, $F$9) + CHOOSE(CONTROL!$C$27, 0.0021, 0)</f>
        <v>23.7837</v>
      </c>
      <c r="C67" s="17">
        <f>23.3493 * CHOOSE(CONTROL!$C$9, $D$9, 100%, $F$9) + CHOOSE(CONTROL!$C$27, 0.0021, 0)</f>
        <v>23.351399999999998</v>
      </c>
      <c r="D67" s="17">
        <f>23.3493 * CHOOSE(CONTROL!$C$9, $D$9, 100%, $F$9) + CHOOSE(CONTROL!$C$27, 0.0021, 0)</f>
        <v>23.351399999999998</v>
      </c>
      <c r="E67" s="17">
        <f>23.2127 * CHOOSE(CONTROL!$C$9, $D$9, 100%, $F$9) + CHOOSE(CONTROL!$C$27, 0.0021, 0)</f>
        <v>23.2148</v>
      </c>
      <c r="F67" s="17">
        <f>23.2127 * CHOOSE(CONTROL!$C$9, $D$9, 100%, $F$9) + CHOOSE(CONTROL!$C$27, 0.0021, 0)</f>
        <v>23.2148</v>
      </c>
      <c r="G67" s="17">
        <f>23.484 * CHOOSE(CONTROL!$C$9, $D$9, 100%, $F$9) + CHOOSE(CONTROL!$C$27, 0.0021, 0)</f>
        <v>23.4861</v>
      </c>
      <c r="H67" s="17">
        <f>23.3493 * CHOOSE(CONTROL!$C$9, $D$9, 100%, $F$9) + CHOOSE(CONTROL!$C$27, 0.0021, 0)</f>
        <v>23.351399999999998</v>
      </c>
      <c r="I67" s="17">
        <f>23.3493 * CHOOSE(CONTROL!$C$9, $D$9, 100%, $F$9) + CHOOSE(CONTROL!$C$27, 0.0021, 0)</f>
        <v>23.351399999999998</v>
      </c>
      <c r="J67" s="17">
        <f>23.3493 * CHOOSE(CONTROL!$C$9, $D$9, 100%, $F$9) + CHOOSE(CONTROL!$C$27, 0.0021, 0)</f>
        <v>23.351399999999998</v>
      </c>
      <c r="K67" s="17">
        <f>23.3493 * CHOOSE(CONTROL!$C$9, $D$9, 100%, $F$9) + CHOOSE(CONTROL!$C$27, 0.0021, 0)</f>
        <v>23.351399999999998</v>
      </c>
      <c r="L67" s="17"/>
    </row>
    <row r="68" spans="1:12" ht="15" x14ac:dyDescent="0.2">
      <c r="A68" s="16">
        <v>42979</v>
      </c>
      <c r="B68" s="17">
        <f>24.2637 * CHOOSE(CONTROL!$C$9, $D$9, 100%, $F$9) + CHOOSE(CONTROL!$C$27, 0.0021, 0)</f>
        <v>24.265799999999999</v>
      </c>
      <c r="C68" s="17">
        <f>23.8315 * CHOOSE(CONTROL!$C$9, $D$9, 100%, $F$9) + CHOOSE(CONTROL!$C$27, 0.0021, 0)</f>
        <v>23.833599999999997</v>
      </c>
      <c r="D68" s="17">
        <f>23.8315 * CHOOSE(CONTROL!$C$9, $D$9, 100%, $F$9) + CHOOSE(CONTROL!$C$27, 0.0021, 0)</f>
        <v>23.833599999999997</v>
      </c>
      <c r="E68" s="17">
        <f>23.6948 * CHOOSE(CONTROL!$C$9, $D$9, 100%, $F$9) + CHOOSE(CONTROL!$C$27, 0.0021, 0)</f>
        <v>23.696899999999999</v>
      </c>
      <c r="F68" s="17">
        <f>23.6948 * CHOOSE(CONTROL!$C$9, $D$9, 100%, $F$9) + CHOOSE(CONTROL!$C$27, 0.0021, 0)</f>
        <v>23.696899999999999</v>
      </c>
      <c r="G68" s="17">
        <f>23.9662 * CHOOSE(CONTROL!$C$9, $D$9, 100%, $F$9) + CHOOSE(CONTROL!$C$27, 0.0021, 0)</f>
        <v>23.968299999999999</v>
      </c>
      <c r="H68" s="17">
        <f>23.8315 * CHOOSE(CONTROL!$C$9, $D$9, 100%, $F$9) + CHOOSE(CONTROL!$C$27, 0.0021, 0)</f>
        <v>23.833599999999997</v>
      </c>
      <c r="I68" s="17">
        <f>23.8315 * CHOOSE(CONTROL!$C$9, $D$9, 100%, $F$9) + CHOOSE(CONTROL!$C$27, 0.0021, 0)</f>
        <v>23.833599999999997</v>
      </c>
      <c r="J68" s="17">
        <f>23.8315 * CHOOSE(CONTROL!$C$9, $D$9, 100%, $F$9) + CHOOSE(CONTROL!$C$27, 0.0021, 0)</f>
        <v>23.833599999999997</v>
      </c>
      <c r="K68" s="17">
        <f>23.8315 * CHOOSE(CONTROL!$C$9, $D$9, 100%, $F$9) + CHOOSE(CONTROL!$C$27, 0.0021, 0)</f>
        <v>23.833599999999997</v>
      </c>
      <c r="L68" s="17"/>
    </row>
    <row r="69" spans="1:12" ht="15" x14ac:dyDescent="0.2">
      <c r="A69" s="16">
        <v>43009</v>
      </c>
      <c r="B69" s="17">
        <f>24.8644 * CHOOSE(CONTROL!$C$9, $D$9, 100%, $F$9) + CHOOSE(CONTROL!$C$27, 0.0021, 0)</f>
        <v>24.866499999999998</v>
      </c>
      <c r="C69" s="17">
        <f>24.4321 * CHOOSE(CONTROL!$C$9, $D$9, 100%, $F$9) + CHOOSE(CONTROL!$C$27, 0.0021, 0)</f>
        <v>24.434199999999997</v>
      </c>
      <c r="D69" s="17">
        <f>24.4321 * CHOOSE(CONTROL!$C$9, $D$9, 100%, $F$9) + CHOOSE(CONTROL!$C$27, 0.0021, 0)</f>
        <v>24.434199999999997</v>
      </c>
      <c r="E69" s="17">
        <f>24.2955 * CHOOSE(CONTROL!$C$9, $D$9, 100%, $F$9) + CHOOSE(CONTROL!$C$27, 0.0021, 0)</f>
        <v>24.297599999999999</v>
      </c>
      <c r="F69" s="17">
        <f>24.2955 * CHOOSE(CONTROL!$C$9, $D$9, 100%, $F$9) + CHOOSE(CONTROL!$C$27, 0.0021, 0)</f>
        <v>24.297599999999999</v>
      </c>
      <c r="G69" s="17">
        <f>24.5669 * CHOOSE(CONTROL!$C$9, $D$9, 100%, $F$9) + CHOOSE(CONTROL!$C$27, 0.0021, 0)</f>
        <v>24.568999999999999</v>
      </c>
      <c r="H69" s="17">
        <f>24.4321 * CHOOSE(CONTROL!$C$9, $D$9, 100%, $F$9) + CHOOSE(CONTROL!$C$27, 0.0021, 0)</f>
        <v>24.434199999999997</v>
      </c>
      <c r="I69" s="17">
        <f>24.4321 * CHOOSE(CONTROL!$C$9, $D$9, 100%, $F$9) + CHOOSE(CONTROL!$C$27, 0.0021, 0)</f>
        <v>24.434199999999997</v>
      </c>
      <c r="J69" s="17">
        <f>24.4321 * CHOOSE(CONTROL!$C$9, $D$9, 100%, $F$9) + CHOOSE(CONTROL!$C$27, 0.0021, 0)</f>
        <v>24.434199999999997</v>
      </c>
      <c r="K69" s="17">
        <f>24.4321 * CHOOSE(CONTROL!$C$9, $D$9, 100%, $F$9) + CHOOSE(CONTROL!$C$27, 0.0021, 0)</f>
        <v>24.434199999999997</v>
      </c>
      <c r="L69" s="17"/>
    </row>
    <row r="70" spans="1:12" ht="15" x14ac:dyDescent="0.2">
      <c r="A70" s="16">
        <v>43040</v>
      </c>
      <c r="B70" s="17">
        <f>24.9631 * CHOOSE(CONTROL!$C$9, $D$9, 100%, $F$9) + CHOOSE(CONTROL!$C$27, 0.0021, 0)</f>
        <v>24.965199999999999</v>
      </c>
      <c r="C70" s="17">
        <f>24.5309 * CHOOSE(CONTROL!$C$9, $D$9, 100%, $F$9) + CHOOSE(CONTROL!$C$27, 0.0021, 0)</f>
        <v>24.532999999999998</v>
      </c>
      <c r="D70" s="17">
        <f>24.5309 * CHOOSE(CONTROL!$C$9, $D$9, 100%, $F$9) + CHOOSE(CONTROL!$C$27, 0.0021, 0)</f>
        <v>24.532999999999998</v>
      </c>
      <c r="E70" s="17">
        <f>24.3942 * CHOOSE(CONTROL!$C$9, $D$9, 100%, $F$9) + CHOOSE(CONTROL!$C$27, 0.0021, 0)</f>
        <v>24.3963</v>
      </c>
      <c r="F70" s="17">
        <f>24.3942 * CHOOSE(CONTROL!$C$9, $D$9, 100%, $F$9) + CHOOSE(CONTROL!$C$27, 0.0021, 0)</f>
        <v>24.3963</v>
      </c>
      <c r="G70" s="17">
        <f>24.6656 * CHOOSE(CONTROL!$C$9, $D$9, 100%, $F$9) + CHOOSE(CONTROL!$C$27, 0.0021, 0)</f>
        <v>24.6677</v>
      </c>
      <c r="H70" s="17">
        <f>24.5309 * CHOOSE(CONTROL!$C$9, $D$9, 100%, $F$9) + CHOOSE(CONTROL!$C$27, 0.0021, 0)</f>
        <v>24.532999999999998</v>
      </c>
      <c r="I70" s="17">
        <f>24.5309 * CHOOSE(CONTROL!$C$9, $D$9, 100%, $F$9) + CHOOSE(CONTROL!$C$27, 0.0021, 0)</f>
        <v>24.532999999999998</v>
      </c>
      <c r="J70" s="17">
        <f>24.5309 * CHOOSE(CONTROL!$C$9, $D$9, 100%, $F$9) + CHOOSE(CONTROL!$C$27, 0.0021, 0)</f>
        <v>24.532999999999998</v>
      </c>
      <c r="K70" s="17">
        <f>24.5309 * CHOOSE(CONTROL!$C$9, $D$9, 100%, $F$9) + CHOOSE(CONTROL!$C$27, 0.0021, 0)</f>
        <v>24.532999999999998</v>
      </c>
      <c r="L70" s="17"/>
    </row>
    <row r="71" spans="1:12" ht="15" x14ac:dyDescent="0.2">
      <c r="A71" s="16">
        <v>43070</v>
      </c>
      <c r="B71" s="17">
        <f>24.5644 * CHOOSE(CONTROL!$C$9, $D$9, 100%, $F$9) + CHOOSE(CONTROL!$C$27, 0.0021, 0)</f>
        <v>24.566499999999998</v>
      </c>
      <c r="C71" s="17">
        <f>24.1321 * CHOOSE(CONTROL!$C$9, $D$9, 100%, $F$9) + CHOOSE(CONTROL!$C$27, 0.0021, 0)</f>
        <v>24.1342</v>
      </c>
      <c r="D71" s="17">
        <f>24.1321 * CHOOSE(CONTROL!$C$9, $D$9, 100%, $F$9) + CHOOSE(CONTROL!$C$27, 0.0021, 0)</f>
        <v>24.1342</v>
      </c>
      <c r="E71" s="17">
        <f>23.9955 * CHOOSE(CONTROL!$C$9, $D$9, 100%, $F$9) + CHOOSE(CONTROL!$C$27, 0.0021, 0)</f>
        <v>23.997599999999998</v>
      </c>
      <c r="F71" s="17">
        <f>23.9955 * CHOOSE(CONTROL!$C$9, $D$9, 100%, $F$9) + CHOOSE(CONTROL!$C$27, 0.0021, 0)</f>
        <v>23.997599999999998</v>
      </c>
      <c r="G71" s="17">
        <f>24.2669 * CHOOSE(CONTROL!$C$9, $D$9, 100%, $F$9) + CHOOSE(CONTROL!$C$27, 0.0021, 0)</f>
        <v>24.268999999999998</v>
      </c>
      <c r="H71" s="17">
        <f>24.1321 * CHOOSE(CONTROL!$C$9, $D$9, 100%, $F$9) + CHOOSE(CONTROL!$C$27, 0.0021, 0)</f>
        <v>24.1342</v>
      </c>
      <c r="I71" s="17">
        <f>24.1321 * CHOOSE(CONTROL!$C$9, $D$9, 100%, $F$9) + CHOOSE(CONTROL!$C$27, 0.0021, 0)</f>
        <v>24.1342</v>
      </c>
      <c r="J71" s="17">
        <f>24.1321 * CHOOSE(CONTROL!$C$9, $D$9, 100%, $F$9) + CHOOSE(CONTROL!$C$27, 0.0021, 0)</f>
        <v>24.1342</v>
      </c>
      <c r="K71" s="17">
        <f>24.1321 * CHOOSE(CONTROL!$C$9, $D$9, 100%, $F$9) + CHOOSE(CONTROL!$C$27, 0.0021, 0)</f>
        <v>24.1342</v>
      </c>
      <c r="L71" s="17"/>
    </row>
    <row r="72" spans="1:12" ht="15" x14ac:dyDescent="0.2">
      <c r="A72" s="16">
        <v>43101</v>
      </c>
      <c r="B72" s="17">
        <f>25.0696 * CHOOSE(CONTROL!$C$9, $D$9, 100%, $F$9) + CHOOSE(CONTROL!$C$27, 0.0021, 0)</f>
        <v>25.0717</v>
      </c>
      <c r="C72" s="17">
        <f>24.6373 * CHOOSE(CONTROL!$C$9, $D$9, 100%, $F$9) + CHOOSE(CONTROL!$C$27, 0.0021, 0)</f>
        <v>24.639399999999998</v>
      </c>
      <c r="D72" s="17">
        <f>24.6373 * CHOOSE(CONTROL!$C$9, $D$9, 100%, $F$9) + CHOOSE(CONTROL!$C$27, 0.0021, 0)</f>
        <v>24.639399999999998</v>
      </c>
      <c r="E72" s="17">
        <f>24.5007 * CHOOSE(CONTROL!$C$9, $D$9, 100%, $F$9) + CHOOSE(CONTROL!$C$27, 0.0021, 0)</f>
        <v>24.502799999999997</v>
      </c>
      <c r="F72" s="17">
        <f>24.5007 * CHOOSE(CONTROL!$C$9, $D$9, 100%, $F$9) + CHOOSE(CONTROL!$C$27, 0.0021, 0)</f>
        <v>24.502799999999997</v>
      </c>
      <c r="G72" s="17">
        <f>24.772 * CHOOSE(CONTROL!$C$9, $D$9, 100%, $F$9) + CHOOSE(CONTROL!$C$27, 0.0021, 0)</f>
        <v>24.774099999999997</v>
      </c>
      <c r="H72" s="17">
        <f>24.6373 * CHOOSE(CONTROL!$C$9, $D$9, 100%, $F$9) + CHOOSE(CONTROL!$C$27, 0.0021, 0)</f>
        <v>24.639399999999998</v>
      </c>
      <c r="I72" s="17">
        <f>24.6373 * CHOOSE(CONTROL!$C$9, $D$9, 100%, $F$9) + CHOOSE(CONTROL!$C$27, 0.0021, 0)</f>
        <v>24.639399999999998</v>
      </c>
      <c r="J72" s="17">
        <f>24.6373 * CHOOSE(CONTROL!$C$9, $D$9, 100%, $F$9) + CHOOSE(CONTROL!$C$27, 0.0021, 0)</f>
        <v>24.639399999999998</v>
      </c>
      <c r="K72" s="17">
        <f>24.6373 * CHOOSE(CONTROL!$C$9, $D$9, 100%, $F$9) + CHOOSE(CONTROL!$C$27, 0.0021, 0)</f>
        <v>24.639399999999998</v>
      </c>
      <c r="L72" s="17"/>
    </row>
    <row r="73" spans="1:12" ht="15" x14ac:dyDescent="0.2">
      <c r="A73" s="16">
        <v>43132</v>
      </c>
      <c r="B73" s="17">
        <f>24.4709 * CHOOSE(CONTROL!$C$9, $D$9, 100%, $F$9) + CHOOSE(CONTROL!$C$27, 0.0021, 0)</f>
        <v>24.472999999999999</v>
      </c>
      <c r="C73" s="17">
        <f>24.0387 * CHOOSE(CONTROL!$C$9, $D$9, 100%, $F$9) + CHOOSE(CONTROL!$C$27, 0.0021, 0)</f>
        <v>24.040799999999997</v>
      </c>
      <c r="D73" s="17">
        <f>24.0387 * CHOOSE(CONTROL!$C$9, $D$9, 100%, $F$9) + CHOOSE(CONTROL!$C$27, 0.0021, 0)</f>
        <v>24.040799999999997</v>
      </c>
      <c r="E73" s="17">
        <f>23.902 * CHOOSE(CONTROL!$C$9, $D$9, 100%, $F$9) + CHOOSE(CONTROL!$C$27, 0.0021, 0)</f>
        <v>23.9041</v>
      </c>
      <c r="F73" s="17">
        <f>23.902 * CHOOSE(CONTROL!$C$9, $D$9, 100%, $F$9) + CHOOSE(CONTROL!$C$27, 0.0021, 0)</f>
        <v>23.9041</v>
      </c>
      <c r="G73" s="17">
        <f>24.1734 * CHOOSE(CONTROL!$C$9, $D$9, 100%, $F$9) + CHOOSE(CONTROL!$C$27, 0.0021, 0)</f>
        <v>24.1755</v>
      </c>
      <c r="H73" s="17">
        <f>24.0387 * CHOOSE(CONTROL!$C$9, $D$9, 100%, $F$9) + CHOOSE(CONTROL!$C$27, 0.0021, 0)</f>
        <v>24.040799999999997</v>
      </c>
      <c r="I73" s="17">
        <f>24.0387 * CHOOSE(CONTROL!$C$9, $D$9, 100%, $F$9) + CHOOSE(CONTROL!$C$27, 0.0021, 0)</f>
        <v>24.040799999999997</v>
      </c>
      <c r="J73" s="17">
        <f>24.0387 * CHOOSE(CONTROL!$C$9, $D$9, 100%, $F$9) + CHOOSE(CONTROL!$C$27, 0.0021, 0)</f>
        <v>24.040799999999997</v>
      </c>
      <c r="K73" s="17">
        <f>24.0387 * CHOOSE(CONTROL!$C$9, $D$9, 100%, $F$9) + CHOOSE(CONTROL!$C$27, 0.0021, 0)</f>
        <v>24.040799999999997</v>
      </c>
      <c r="L73" s="17"/>
    </row>
    <row r="74" spans="1:12" ht="15" x14ac:dyDescent="0.2">
      <c r="A74" s="16">
        <v>43160</v>
      </c>
      <c r="B74" s="17">
        <f>24.2495 * CHOOSE(CONTROL!$C$9, $D$9, 100%, $F$9) + CHOOSE(CONTROL!$C$27, 0.0021, 0)</f>
        <v>24.2516</v>
      </c>
      <c r="C74" s="17">
        <f>23.8173 * CHOOSE(CONTROL!$C$9, $D$9, 100%, $F$9) + CHOOSE(CONTROL!$C$27, 0.0021, 0)</f>
        <v>23.819399999999998</v>
      </c>
      <c r="D74" s="17">
        <f>23.8173 * CHOOSE(CONTROL!$C$9, $D$9, 100%, $F$9) + CHOOSE(CONTROL!$C$27, 0.0021, 0)</f>
        <v>23.819399999999998</v>
      </c>
      <c r="E74" s="17">
        <f>23.6806 * CHOOSE(CONTROL!$C$9, $D$9, 100%, $F$9) + CHOOSE(CONTROL!$C$27, 0.0021, 0)</f>
        <v>23.682699999999997</v>
      </c>
      <c r="F74" s="17">
        <f>23.6806 * CHOOSE(CONTROL!$C$9, $D$9, 100%, $F$9) + CHOOSE(CONTROL!$C$27, 0.0021, 0)</f>
        <v>23.682699999999997</v>
      </c>
      <c r="G74" s="17">
        <f>23.952 * CHOOSE(CONTROL!$C$9, $D$9, 100%, $F$9) + CHOOSE(CONTROL!$C$27, 0.0021, 0)</f>
        <v>23.9541</v>
      </c>
      <c r="H74" s="17">
        <f>23.8173 * CHOOSE(CONTROL!$C$9, $D$9, 100%, $F$9) + CHOOSE(CONTROL!$C$27, 0.0021, 0)</f>
        <v>23.819399999999998</v>
      </c>
      <c r="I74" s="17">
        <f>23.8173 * CHOOSE(CONTROL!$C$9, $D$9, 100%, $F$9) + CHOOSE(CONTROL!$C$27, 0.0021, 0)</f>
        <v>23.819399999999998</v>
      </c>
      <c r="J74" s="17">
        <f>23.8173 * CHOOSE(CONTROL!$C$9, $D$9, 100%, $F$9) + CHOOSE(CONTROL!$C$27, 0.0021, 0)</f>
        <v>23.819399999999998</v>
      </c>
      <c r="K74" s="17">
        <f>23.8173 * CHOOSE(CONTROL!$C$9, $D$9, 100%, $F$9) + CHOOSE(CONTROL!$C$27, 0.0021, 0)</f>
        <v>23.819399999999998</v>
      </c>
      <c r="L74" s="17"/>
    </row>
    <row r="75" spans="1:12" ht="15" x14ac:dyDescent="0.2">
      <c r="A75" s="16">
        <v>43191</v>
      </c>
      <c r="B75" s="17">
        <f>23.9753 * CHOOSE(CONTROL!$C$9, $D$9, 100%, $F$9) + CHOOSE(CONTROL!$C$27, 0.0021, 0)</f>
        <v>23.977399999999999</v>
      </c>
      <c r="C75" s="17">
        <f>23.543 * CHOOSE(CONTROL!$C$9, $D$9, 100%, $F$9) + CHOOSE(CONTROL!$C$27, 0.0021, 0)</f>
        <v>23.545099999999998</v>
      </c>
      <c r="D75" s="17">
        <f>23.543 * CHOOSE(CONTROL!$C$9, $D$9, 100%, $F$9) + CHOOSE(CONTROL!$C$27, 0.0021, 0)</f>
        <v>23.545099999999998</v>
      </c>
      <c r="E75" s="17">
        <f>23.4063 * CHOOSE(CONTROL!$C$9, $D$9, 100%, $F$9) + CHOOSE(CONTROL!$C$27, 0.0021, 0)</f>
        <v>23.4084</v>
      </c>
      <c r="F75" s="17">
        <f>23.4063 * CHOOSE(CONTROL!$C$9, $D$9, 100%, $F$9) + CHOOSE(CONTROL!$C$27, 0.0021, 0)</f>
        <v>23.4084</v>
      </c>
      <c r="G75" s="17">
        <f>23.6777 * CHOOSE(CONTROL!$C$9, $D$9, 100%, $F$9) + CHOOSE(CONTROL!$C$27, 0.0021, 0)</f>
        <v>23.6798</v>
      </c>
      <c r="H75" s="17">
        <f>23.543 * CHOOSE(CONTROL!$C$9, $D$9, 100%, $F$9) + CHOOSE(CONTROL!$C$27, 0.0021, 0)</f>
        <v>23.545099999999998</v>
      </c>
      <c r="I75" s="17">
        <f>23.543 * CHOOSE(CONTROL!$C$9, $D$9, 100%, $F$9) + CHOOSE(CONTROL!$C$27, 0.0021, 0)</f>
        <v>23.545099999999998</v>
      </c>
      <c r="J75" s="17">
        <f>23.543 * CHOOSE(CONTROL!$C$9, $D$9, 100%, $F$9) + CHOOSE(CONTROL!$C$27, 0.0021, 0)</f>
        <v>23.545099999999998</v>
      </c>
      <c r="K75" s="17">
        <f>23.543 * CHOOSE(CONTROL!$C$9, $D$9, 100%, $F$9) + CHOOSE(CONTROL!$C$27, 0.0021, 0)</f>
        <v>23.545099999999998</v>
      </c>
      <c r="L75" s="17"/>
    </row>
    <row r="76" spans="1:12" ht="15" x14ac:dyDescent="0.2">
      <c r="A76" s="16">
        <v>43221</v>
      </c>
      <c r="B76" s="17">
        <f>24.4762 * CHOOSE(CONTROL!$C$9, $D$9, 100%, $F$9) + CHOOSE(CONTROL!$C$27, 0.0021, 0)</f>
        <v>24.478299999999997</v>
      </c>
      <c r="C76" s="17">
        <f>24.044 * CHOOSE(CONTROL!$C$9, $D$9, 100%, $F$9) + CHOOSE(CONTROL!$C$27, 0.0021, 0)</f>
        <v>24.046099999999999</v>
      </c>
      <c r="D76" s="17">
        <f>24.044 * CHOOSE(CONTROL!$C$9, $D$9, 100%, $F$9) + CHOOSE(CONTROL!$C$27, 0.0021, 0)</f>
        <v>24.046099999999999</v>
      </c>
      <c r="E76" s="17">
        <f>23.9073 * CHOOSE(CONTROL!$C$9, $D$9, 100%, $F$9) + CHOOSE(CONTROL!$C$27, 0.0021, 0)</f>
        <v>23.909399999999998</v>
      </c>
      <c r="F76" s="17">
        <f>23.9073 * CHOOSE(CONTROL!$C$9, $D$9, 100%, $F$9) + CHOOSE(CONTROL!$C$27, 0.0021, 0)</f>
        <v>23.909399999999998</v>
      </c>
      <c r="G76" s="17">
        <f>24.1787 * CHOOSE(CONTROL!$C$9, $D$9, 100%, $F$9) + CHOOSE(CONTROL!$C$27, 0.0021, 0)</f>
        <v>24.180799999999998</v>
      </c>
      <c r="H76" s="17">
        <f>24.044 * CHOOSE(CONTROL!$C$9, $D$9, 100%, $F$9) + CHOOSE(CONTROL!$C$27, 0.0021, 0)</f>
        <v>24.046099999999999</v>
      </c>
      <c r="I76" s="17">
        <f>24.044 * CHOOSE(CONTROL!$C$9, $D$9, 100%, $F$9) + CHOOSE(CONTROL!$C$27, 0.0021, 0)</f>
        <v>24.046099999999999</v>
      </c>
      <c r="J76" s="17">
        <f>24.044 * CHOOSE(CONTROL!$C$9, $D$9, 100%, $F$9) + CHOOSE(CONTROL!$C$27, 0.0021, 0)</f>
        <v>24.046099999999999</v>
      </c>
      <c r="K76" s="17">
        <f>24.044 * CHOOSE(CONTROL!$C$9, $D$9, 100%, $F$9) + CHOOSE(CONTROL!$C$27, 0.0021, 0)</f>
        <v>24.046099999999999</v>
      </c>
      <c r="L76" s="17"/>
    </row>
    <row r="77" spans="1:12" ht="15" x14ac:dyDescent="0.2">
      <c r="A77" s="16">
        <v>43252</v>
      </c>
      <c r="B77" s="17">
        <f>24.7958 * CHOOSE(CONTROL!$C$9, $D$9, 100%, $F$9) + CHOOSE(CONTROL!$C$27, 0.0021, 0)</f>
        <v>24.797899999999998</v>
      </c>
      <c r="C77" s="17">
        <f>24.3635 * CHOOSE(CONTROL!$C$9, $D$9, 100%, $F$9) + CHOOSE(CONTROL!$C$27, 0.0021, 0)</f>
        <v>24.365599999999997</v>
      </c>
      <c r="D77" s="17">
        <f>24.3635 * CHOOSE(CONTROL!$C$9, $D$9, 100%, $F$9) + CHOOSE(CONTROL!$C$27, 0.0021, 0)</f>
        <v>24.365599999999997</v>
      </c>
      <c r="E77" s="17">
        <f>24.2269 * CHOOSE(CONTROL!$C$9, $D$9, 100%, $F$9) + CHOOSE(CONTROL!$C$27, 0.0021, 0)</f>
        <v>24.228999999999999</v>
      </c>
      <c r="F77" s="17">
        <f>24.2269 * CHOOSE(CONTROL!$C$9, $D$9, 100%, $F$9) + CHOOSE(CONTROL!$C$27, 0.0021, 0)</f>
        <v>24.228999999999999</v>
      </c>
      <c r="G77" s="17">
        <f>24.4982 * CHOOSE(CONTROL!$C$9, $D$9, 100%, $F$9) + CHOOSE(CONTROL!$C$27, 0.0021, 0)</f>
        <v>24.500299999999999</v>
      </c>
      <c r="H77" s="17">
        <f>24.3635 * CHOOSE(CONTROL!$C$9, $D$9, 100%, $F$9) + CHOOSE(CONTROL!$C$27, 0.0021, 0)</f>
        <v>24.365599999999997</v>
      </c>
      <c r="I77" s="17">
        <f>24.3635 * CHOOSE(CONTROL!$C$9, $D$9, 100%, $F$9) + CHOOSE(CONTROL!$C$27, 0.0021, 0)</f>
        <v>24.365599999999997</v>
      </c>
      <c r="J77" s="17">
        <f>24.3635 * CHOOSE(CONTROL!$C$9, $D$9, 100%, $F$9) + CHOOSE(CONTROL!$C$27, 0.0021, 0)</f>
        <v>24.365599999999997</v>
      </c>
      <c r="K77" s="17">
        <f>24.3635 * CHOOSE(CONTROL!$C$9, $D$9, 100%, $F$9) + CHOOSE(CONTROL!$C$27, 0.0021, 0)</f>
        <v>24.365599999999997</v>
      </c>
      <c r="L77" s="17"/>
    </row>
    <row r="78" spans="1:12" ht="15" x14ac:dyDescent="0.2">
      <c r="A78" s="16">
        <v>43282</v>
      </c>
      <c r="B78" s="17">
        <f>25.2948 * CHOOSE(CONTROL!$C$9, $D$9, 100%, $F$9) + CHOOSE(CONTROL!$C$27, 0.0021, 0)</f>
        <v>25.296899999999997</v>
      </c>
      <c r="C78" s="17">
        <f>24.8626 * CHOOSE(CONTROL!$C$9, $D$9, 100%, $F$9) + CHOOSE(CONTROL!$C$27, 0.0021, 0)</f>
        <v>24.864699999999999</v>
      </c>
      <c r="D78" s="17">
        <f>24.8626 * CHOOSE(CONTROL!$C$9, $D$9, 100%, $F$9) + CHOOSE(CONTROL!$C$27, 0.0021, 0)</f>
        <v>24.864699999999999</v>
      </c>
      <c r="E78" s="17">
        <f>24.7259 * CHOOSE(CONTROL!$C$9, $D$9, 100%, $F$9) + CHOOSE(CONTROL!$C$27, 0.0021, 0)</f>
        <v>24.727999999999998</v>
      </c>
      <c r="F78" s="17">
        <f>24.7259 * CHOOSE(CONTROL!$C$9, $D$9, 100%, $F$9) + CHOOSE(CONTROL!$C$27, 0.0021, 0)</f>
        <v>24.727999999999998</v>
      </c>
      <c r="G78" s="17">
        <f>24.9973 * CHOOSE(CONTROL!$C$9, $D$9, 100%, $F$9) + CHOOSE(CONTROL!$C$27, 0.0021, 0)</f>
        <v>24.999399999999998</v>
      </c>
      <c r="H78" s="17">
        <f>24.8626 * CHOOSE(CONTROL!$C$9, $D$9, 100%, $F$9) + CHOOSE(CONTROL!$C$27, 0.0021, 0)</f>
        <v>24.864699999999999</v>
      </c>
      <c r="I78" s="17">
        <f>24.8626 * CHOOSE(CONTROL!$C$9, $D$9, 100%, $F$9) + CHOOSE(CONTROL!$C$27, 0.0021, 0)</f>
        <v>24.864699999999999</v>
      </c>
      <c r="J78" s="17">
        <f>24.8626 * CHOOSE(CONTROL!$C$9, $D$9, 100%, $F$9) + CHOOSE(CONTROL!$C$27, 0.0021, 0)</f>
        <v>24.864699999999999</v>
      </c>
      <c r="K78" s="17">
        <f>24.8626 * CHOOSE(CONTROL!$C$9, $D$9, 100%, $F$9) + CHOOSE(CONTROL!$C$27, 0.0021, 0)</f>
        <v>24.864699999999999</v>
      </c>
      <c r="L78" s="17"/>
    </row>
    <row r="79" spans="1:12" ht="15" x14ac:dyDescent="0.2">
      <c r="A79" s="16">
        <v>43313</v>
      </c>
      <c r="B79" s="17">
        <f>25.4807 * CHOOSE(CONTROL!$C$9, $D$9, 100%, $F$9) + CHOOSE(CONTROL!$C$27, 0.0021, 0)</f>
        <v>25.482799999999997</v>
      </c>
      <c r="C79" s="17">
        <f>25.0484 * CHOOSE(CONTROL!$C$9, $D$9, 100%, $F$9) + CHOOSE(CONTROL!$C$27, 0.0021, 0)</f>
        <v>25.0505</v>
      </c>
      <c r="D79" s="17">
        <f>25.0484 * CHOOSE(CONTROL!$C$9, $D$9, 100%, $F$9) + CHOOSE(CONTROL!$C$27, 0.0021, 0)</f>
        <v>25.0505</v>
      </c>
      <c r="E79" s="17">
        <f>24.9118 * CHOOSE(CONTROL!$C$9, $D$9, 100%, $F$9) + CHOOSE(CONTROL!$C$27, 0.0021, 0)</f>
        <v>24.913899999999998</v>
      </c>
      <c r="F79" s="17">
        <f>24.9118 * CHOOSE(CONTROL!$C$9, $D$9, 100%, $F$9) + CHOOSE(CONTROL!$C$27, 0.0021, 0)</f>
        <v>24.913899999999998</v>
      </c>
      <c r="G79" s="17">
        <f>25.1831 * CHOOSE(CONTROL!$C$9, $D$9, 100%, $F$9) + CHOOSE(CONTROL!$C$27, 0.0021, 0)</f>
        <v>25.185199999999998</v>
      </c>
      <c r="H79" s="17">
        <f>25.0484 * CHOOSE(CONTROL!$C$9, $D$9, 100%, $F$9) + CHOOSE(CONTROL!$C$27, 0.0021, 0)</f>
        <v>25.0505</v>
      </c>
      <c r="I79" s="17">
        <f>25.0484 * CHOOSE(CONTROL!$C$9, $D$9, 100%, $F$9) + CHOOSE(CONTROL!$C$27, 0.0021, 0)</f>
        <v>25.0505</v>
      </c>
      <c r="J79" s="17">
        <f>25.0484 * CHOOSE(CONTROL!$C$9, $D$9, 100%, $F$9) + CHOOSE(CONTROL!$C$27, 0.0021, 0)</f>
        <v>25.0505</v>
      </c>
      <c r="K79" s="17">
        <f>25.0484 * CHOOSE(CONTROL!$C$9, $D$9, 100%, $F$9) + CHOOSE(CONTROL!$C$27, 0.0021, 0)</f>
        <v>25.0505</v>
      </c>
      <c r="L79" s="17"/>
    </row>
    <row r="80" spans="1:12" ht="15" x14ac:dyDescent="0.2">
      <c r="A80" s="16">
        <v>43344</v>
      </c>
      <c r="B80" s="17">
        <f>26.0009 * CHOOSE(CONTROL!$C$9, $D$9, 100%, $F$9) + CHOOSE(CONTROL!$C$27, 0.0021, 0)</f>
        <v>26.003</v>
      </c>
      <c r="C80" s="17">
        <f>25.5687 * CHOOSE(CONTROL!$C$9, $D$9, 100%, $F$9) + CHOOSE(CONTROL!$C$27, 0.0021, 0)</f>
        <v>25.570799999999998</v>
      </c>
      <c r="D80" s="17">
        <f>25.5687 * CHOOSE(CONTROL!$C$9, $D$9, 100%, $F$9) + CHOOSE(CONTROL!$C$27, 0.0021, 0)</f>
        <v>25.570799999999998</v>
      </c>
      <c r="E80" s="17">
        <f>25.432 * CHOOSE(CONTROL!$C$9, $D$9, 100%, $F$9) + CHOOSE(CONTROL!$C$27, 0.0021, 0)</f>
        <v>25.434099999999997</v>
      </c>
      <c r="F80" s="17">
        <f>25.432 * CHOOSE(CONTROL!$C$9, $D$9, 100%, $F$9) + CHOOSE(CONTROL!$C$27, 0.0021, 0)</f>
        <v>25.434099999999997</v>
      </c>
      <c r="G80" s="17">
        <f>25.7034 * CHOOSE(CONTROL!$C$9, $D$9, 100%, $F$9) + CHOOSE(CONTROL!$C$27, 0.0021, 0)</f>
        <v>25.705499999999997</v>
      </c>
      <c r="H80" s="17">
        <f>25.5687 * CHOOSE(CONTROL!$C$9, $D$9, 100%, $F$9) + CHOOSE(CONTROL!$C$27, 0.0021, 0)</f>
        <v>25.570799999999998</v>
      </c>
      <c r="I80" s="17">
        <f>25.5687 * CHOOSE(CONTROL!$C$9, $D$9, 100%, $F$9) + CHOOSE(CONTROL!$C$27, 0.0021, 0)</f>
        <v>25.570799999999998</v>
      </c>
      <c r="J80" s="17">
        <f>25.5687 * CHOOSE(CONTROL!$C$9, $D$9, 100%, $F$9) + CHOOSE(CONTROL!$C$27, 0.0021, 0)</f>
        <v>25.570799999999998</v>
      </c>
      <c r="K80" s="17">
        <f>25.5687 * CHOOSE(CONTROL!$C$9, $D$9, 100%, $F$9) + CHOOSE(CONTROL!$C$27, 0.0021, 0)</f>
        <v>25.570799999999998</v>
      </c>
      <c r="L80" s="17"/>
    </row>
    <row r="81" spans="1:12" ht="15" x14ac:dyDescent="0.2">
      <c r="A81" s="16">
        <v>43374</v>
      </c>
      <c r="B81" s="17">
        <f>26.6491 * CHOOSE(CONTROL!$C$9, $D$9, 100%, $F$9) + CHOOSE(CONTROL!$C$27, 0.0021, 0)</f>
        <v>26.651199999999999</v>
      </c>
      <c r="C81" s="17">
        <f>26.2169 * CHOOSE(CONTROL!$C$9, $D$9, 100%, $F$9) + CHOOSE(CONTROL!$C$27, 0.0021, 0)</f>
        <v>26.218999999999998</v>
      </c>
      <c r="D81" s="17">
        <f>26.2169 * CHOOSE(CONTROL!$C$9, $D$9, 100%, $F$9) + CHOOSE(CONTROL!$C$27, 0.0021, 0)</f>
        <v>26.218999999999998</v>
      </c>
      <c r="E81" s="17">
        <f>26.0802 * CHOOSE(CONTROL!$C$9, $D$9, 100%, $F$9) + CHOOSE(CONTROL!$C$27, 0.0021, 0)</f>
        <v>26.0823</v>
      </c>
      <c r="F81" s="17">
        <f>26.0802 * CHOOSE(CONTROL!$C$9, $D$9, 100%, $F$9) + CHOOSE(CONTROL!$C$27, 0.0021, 0)</f>
        <v>26.0823</v>
      </c>
      <c r="G81" s="17">
        <f>26.3516 * CHOOSE(CONTROL!$C$9, $D$9, 100%, $F$9) + CHOOSE(CONTROL!$C$27, 0.0021, 0)</f>
        <v>26.3537</v>
      </c>
      <c r="H81" s="17">
        <f>26.2169 * CHOOSE(CONTROL!$C$9, $D$9, 100%, $F$9) + CHOOSE(CONTROL!$C$27, 0.0021, 0)</f>
        <v>26.218999999999998</v>
      </c>
      <c r="I81" s="17">
        <f>26.2169 * CHOOSE(CONTROL!$C$9, $D$9, 100%, $F$9) + CHOOSE(CONTROL!$C$27, 0.0021, 0)</f>
        <v>26.218999999999998</v>
      </c>
      <c r="J81" s="17">
        <f>26.2169 * CHOOSE(CONTROL!$C$9, $D$9, 100%, $F$9) + CHOOSE(CONTROL!$C$27, 0.0021, 0)</f>
        <v>26.218999999999998</v>
      </c>
      <c r="K81" s="17">
        <f>26.2169 * CHOOSE(CONTROL!$C$9, $D$9, 100%, $F$9) + CHOOSE(CONTROL!$C$27, 0.0021, 0)</f>
        <v>26.218999999999998</v>
      </c>
      <c r="L81" s="17"/>
    </row>
    <row r="82" spans="1:12" ht="15" x14ac:dyDescent="0.2">
      <c r="A82" s="16">
        <v>43405</v>
      </c>
      <c r="B82" s="17">
        <f>26.7557 * CHOOSE(CONTROL!$C$9, $D$9, 100%, $F$9) + CHOOSE(CONTROL!$C$27, 0.0021, 0)</f>
        <v>26.7578</v>
      </c>
      <c r="C82" s="17">
        <f>26.3234 * CHOOSE(CONTROL!$C$9, $D$9, 100%, $F$9) + CHOOSE(CONTROL!$C$27, 0.0021, 0)</f>
        <v>26.325499999999998</v>
      </c>
      <c r="D82" s="17">
        <f>26.3234 * CHOOSE(CONTROL!$C$9, $D$9, 100%, $F$9) + CHOOSE(CONTROL!$C$27, 0.0021, 0)</f>
        <v>26.325499999999998</v>
      </c>
      <c r="E82" s="17">
        <f>26.1868 * CHOOSE(CONTROL!$C$9, $D$9, 100%, $F$9) + CHOOSE(CONTROL!$C$27, 0.0021, 0)</f>
        <v>26.1889</v>
      </c>
      <c r="F82" s="17">
        <f>26.1868 * CHOOSE(CONTROL!$C$9, $D$9, 100%, $F$9) + CHOOSE(CONTROL!$C$27, 0.0021, 0)</f>
        <v>26.1889</v>
      </c>
      <c r="G82" s="17">
        <f>26.4581 * CHOOSE(CONTROL!$C$9, $D$9, 100%, $F$9) + CHOOSE(CONTROL!$C$27, 0.0021, 0)</f>
        <v>26.4602</v>
      </c>
      <c r="H82" s="17">
        <f>26.3234 * CHOOSE(CONTROL!$C$9, $D$9, 100%, $F$9) + CHOOSE(CONTROL!$C$27, 0.0021, 0)</f>
        <v>26.325499999999998</v>
      </c>
      <c r="I82" s="17">
        <f>26.3234 * CHOOSE(CONTROL!$C$9, $D$9, 100%, $F$9) + CHOOSE(CONTROL!$C$27, 0.0021, 0)</f>
        <v>26.325499999999998</v>
      </c>
      <c r="J82" s="17">
        <f>26.3234 * CHOOSE(CONTROL!$C$9, $D$9, 100%, $F$9) + CHOOSE(CONTROL!$C$27, 0.0021, 0)</f>
        <v>26.325499999999998</v>
      </c>
      <c r="K82" s="17">
        <f>26.3234 * CHOOSE(CONTROL!$C$9, $D$9, 100%, $F$9) + CHOOSE(CONTROL!$C$27, 0.0021, 0)</f>
        <v>26.325499999999998</v>
      </c>
      <c r="L82" s="17"/>
    </row>
    <row r="83" spans="1:12" ht="15" x14ac:dyDescent="0.2">
      <c r="A83" s="16">
        <v>43435</v>
      </c>
      <c r="B83" s="17">
        <f>26.3254 * CHOOSE(CONTROL!$C$9, $D$9, 100%, $F$9) + CHOOSE(CONTROL!$C$27, 0.0021, 0)</f>
        <v>26.327499999999997</v>
      </c>
      <c r="C83" s="17">
        <f>25.8931 * CHOOSE(CONTROL!$C$9, $D$9, 100%, $F$9) + CHOOSE(CONTROL!$C$27, 0.0021, 0)</f>
        <v>25.895199999999999</v>
      </c>
      <c r="D83" s="17">
        <f>25.8931 * CHOOSE(CONTROL!$C$9, $D$9, 100%, $F$9) + CHOOSE(CONTROL!$C$27, 0.0021, 0)</f>
        <v>25.895199999999999</v>
      </c>
      <c r="E83" s="17">
        <f>25.7565 * CHOOSE(CONTROL!$C$9, $D$9, 100%, $F$9) + CHOOSE(CONTROL!$C$27, 0.0021, 0)</f>
        <v>25.758599999999998</v>
      </c>
      <c r="F83" s="17">
        <f>25.7565 * CHOOSE(CONTROL!$C$9, $D$9, 100%, $F$9) + CHOOSE(CONTROL!$C$27, 0.0021, 0)</f>
        <v>25.758599999999998</v>
      </c>
      <c r="G83" s="17">
        <f>26.0279 * CHOOSE(CONTROL!$C$9, $D$9, 100%, $F$9) + CHOOSE(CONTROL!$C$27, 0.0021, 0)</f>
        <v>26.029999999999998</v>
      </c>
      <c r="H83" s="17">
        <f>25.8931 * CHOOSE(CONTROL!$C$9, $D$9, 100%, $F$9) + CHOOSE(CONTROL!$C$27, 0.0021, 0)</f>
        <v>25.895199999999999</v>
      </c>
      <c r="I83" s="17">
        <f>25.8931 * CHOOSE(CONTROL!$C$9, $D$9, 100%, $F$9) + CHOOSE(CONTROL!$C$27, 0.0021, 0)</f>
        <v>25.895199999999999</v>
      </c>
      <c r="J83" s="17">
        <f>25.8931 * CHOOSE(CONTROL!$C$9, $D$9, 100%, $F$9) + CHOOSE(CONTROL!$C$27, 0.0021, 0)</f>
        <v>25.895199999999999</v>
      </c>
      <c r="K83" s="17">
        <f>25.8931 * CHOOSE(CONTROL!$C$9, $D$9, 100%, $F$9) + CHOOSE(CONTROL!$C$27, 0.0021, 0)</f>
        <v>25.895199999999999</v>
      </c>
      <c r="L83" s="17"/>
    </row>
    <row r="84" spans="1:12" ht="15" x14ac:dyDescent="0.2">
      <c r="A84" s="16">
        <v>43466</v>
      </c>
      <c r="B84" s="17">
        <f>25.7021 * CHOOSE(CONTROL!$C$9, $D$9, 100%, $F$9) + CHOOSE(CONTROL!$C$27, 0.0021, 0)</f>
        <v>25.7042</v>
      </c>
      <c r="C84" s="17">
        <f>25.2698 * CHOOSE(CONTROL!$C$9, $D$9, 100%, $F$9) + CHOOSE(CONTROL!$C$27, 0.0021, 0)</f>
        <v>25.271899999999999</v>
      </c>
      <c r="D84" s="17">
        <f>25.2698 * CHOOSE(CONTROL!$C$9, $D$9, 100%, $F$9) + CHOOSE(CONTROL!$C$27, 0.0021, 0)</f>
        <v>25.271899999999999</v>
      </c>
      <c r="E84" s="17">
        <f>25.1332 * CHOOSE(CONTROL!$C$9, $D$9, 100%, $F$9) + CHOOSE(CONTROL!$C$27, 0.0021, 0)</f>
        <v>25.135299999999997</v>
      </c>
      <c r="F84" s="17">
        <f>25.1332 * CHOOSE(CONTROL!$C$9, $D$9, 100%, $F$9) + CHOOSE(CONTROL!$C$27, 0.0021, 0)</f>
        <v>25.135299999999997</v>
      </c>
      <c r="G84" s="17">
        <f>25.4046 * CHOOSE(CONTROL!$C$9, $D$9, 100%, $F$9) + CHOOSE(CONTROL!$C$27, 0.0021, 0)</f>
        <v>25.406699999999997</v>
      </c>
      <c r="H84" s="17">
        <f>25.2698 * CHOOSE(CONTROL!$C$9, $D$9, 100%, $F$9) + CHOOSE(CONTROL!$C$27, 0.0021, 0)</f>
        <v>25.271899999999999</v>
      </c>
      <c r="I84" s="17">
        <f>25.2698 * CHOOSE(CONTROL!$C$9, $D$9, 100%, $F$9) + CHOOSE(CONTROL!$C$27, 0.0021, 0)</f>
        <v>25.271899999999999</v>
      </c>
      <c r="J84" s="17">
        <f>25.2698 * CHOOSE(CONTROL!$C$9, $D$9, 100%, $F$9) + CHOOSE(CONTROL!$C$27, 0.0021, 0)</f>
        <v>25.271899999999999</v>
      </c>
      <c r="K84" s="17">
        <f>25.2698 * CHOOSE(CONTROL!$C$9, $D$9, 100%, $F$9) + CHOOSE(CONTROL!$C$27, 0.0021, 0)</f>
        <v>25.271899999999999</v>
      </c>
      <c r="L84" s="17"/>
    </row>
    <row r="85" spans="1:12" ht="15" x14ac:dyDescent="0.2">
      <c r="A85" s="16">
        <v>43497</v>
      </c>
      <c r="B85" s="17">
        <f>25.0868 * CHOOSE(CONTROL!$C$9, $D$9, 100%, $F$9) + CHOOSE(CONTROL!$C$27, 0.0021, 0)</f>
        <v>25.088899999999999</v>
      </c>
      <c r="C85" s="17">
        <f>24.6546 * CHOOSE(CONTROL!$C$9, $D$9, 100%, $F$9) + CHOOSE(CONTROL!$C$27, 0.0021, 0)</f>
        <v>24.656699999999997</v>
      </c>
      <c r="D85" s="17">
        <f>24.6546 * CHOOSE(CONTROL!$C$9, $D$9, 100%, $F$9) + CHOOSE(CONTROL!$C$27, 0.0021, 0)</f>
        <v>24.656699999999997</v>
      </c>
      <c r="E85" s="17">
        <f>24.5179 * CHOOSE(CONTROL!$C$9, $D$9, 100%, $F$9) + CHOOSE(CONTROL!$C$27, 0.0021, 0)</f>
        <v>24.52</v>
      </c>
      <c r="F85" s="17">
        <f>24.5179 * CHOOSE(CONTROL!$C$9, $D$9, 100%, $F$9) + CHOOSE(CONTROL!$C$27, 0.0021, 0)</f>
        <v>24.52</v>
      </c>
      <c r="G85" s="17">
        <f>24.7893 * CHOOSE(CONTROL!$C$9, $D$9, 100%, $F$9) + CHOOSE(CONTROL!$C$27, 0.0021, 0)</f>
        <v>24.791399999999999</v>
      </c>
      <c r="H85" s="17">
        <f>24.6546 * CHOOSE(CONTROL!$C$9, $D$9, 100%, $F$9) + CHOOSE(CONTROL!$C$27, 0.0021, 0)</f>
        <v>24.656699999999997</v>
      </c>
      <c r="I85" s="17">
        <f>24.6546 * CHOOSE(CONTROL!$C$9, $D$9, 100%, $F$9) + CHOOSE(CONTROL!$C$27, 0.0021, 0)</f>
        <v>24.656699999999997</v>
      </c>
      <c r="J85" s="17">
        <f>24.6546 * CHOOSE(CONTROL!$C$9, $D$9, 100%, $F$9) + CHOOSE(CONTROL!$C$27, 0.0021, 0)</f>
        <v>24.656699999999997</v>
      </c>
      <c r="K85" s="17">
        <f>24.6546 * CHOOSE(CONTROL!$C$9, $D$9, 100%, $F$9) + CHOOSE(CONTROL!$C$27, 0.0021, 0)</f>
        <v>24.656699999999997</v>
      </c>
      <c r="L85" s="17"/>
    </row>
    <row r="86" spans="1:12" ht="15" x14ac:dyDescent="0.2">
      <c r="A86" s="16">
        <v>43525</v>
      </c>
      <c r="B86" s="17">
        <f>24.8593 * CHOOSE(CONTROL!$C$9, $D$9, 100%, $F$9) + CHOOSE(CONTROL!$C$27, 0.0021, 0)</f>
        <v>24.8614</v>
      </c>
      <c r="C86" s="17">
        <f>24.427 * CHOOSE(CONTROL!$C$9, $D$9, 100%, $F$9) + CHOOSE(CONTROL!$C$27, 0.0021, 0)</f>
        <v>24.429099999999998</v>
      </c>
      <c r="D86" s="17">
        <f>24.427 * CHOOSE(CONTROL!$C$9, $D$9, 100%, $F$9) + CHOOSE(CONTROL!$C$27, 0.0021, 0)</f>
        <v>24.429099999999998</v>
      </c>
      <c r="E86" s="17">
        <f>24.2904 * CHOOSE(CONTROL!$C$9, $D$9, 100%, $F$9) + CHOOSE(CONTROL!$C$27, 0.0021, 0)</f>
        <v>24.2925</v>
      </c>
      <c r="F86" s="17">
        <f>24.2904 * CHOOSE(CONTROL!$C$9, $D$9, 100%, $F$9) + CHOOSE(CONTROL!$C$27, 0.0021, 0)</f>
        <v>24.2925</v>
      </c>
      <c r="G86" s="17">
        <f>24.5618 * CHOOSE(CONTROL!$C$9, $D$9, 100%, $F$9) + CHOOSE(CONTROL!$C$27, 0.0021, 0)</f>
        <v>24.5639</v>
      </c>
      <c r="H86" s="17">
        <f>24.427 * CHOOSE(CONTROL!$C$9, $D$9, 100%, $F$9) + CHOOSE(CONTROL!$C$27, 0.0021, 0)</f>
        <v>24.429099999999998</v>
      </c>
      <c r="I86" s="17">
        <f>24.427 * CHOOSE(CONTROL!$C$9, $D$9, 100%, $F$9) + CHOOSE(CONTROL!$C$27, 0.0021, 0)</f>
        <v>24.429099999999998</v>
      </c>
      <c r="J86" s="17">
        <f>24.427 * CHOOSE(CONTROL!$C$9, $D$9, 100%, $F$9) + CHOOSE(CONTROL!$C$27, 0.0021, 0)</f>
        <v>24.429099999999998</v>
      </c>
      <c r="K86" s="17">
        <f>24.427 * CHOOSE(CONTROL!$C$9, $D$9, 100%, $F$9) + CHOOSE(CONTROL!$C$27, 0.0021, 0)</f>
        <v>24.429099999999998</v>
      </c>
      <c r="L86" s="17"/>
    </row>
    <row r="87" spans="1:12" ht="15" x14ac:dyDescent="0.2">
      <c r="A87" s="16">
        <v>43556</v>
      </c>
      <c r="B87" s="17">
        <f>24.5774 * CHOOSE(CONTROL!$C$9, $D$9, 100%, $F$9) + CHOOSE(CONTROL!$C$27, 0.0021, 0)</f>
        <v>24.579499999999999</v>
      </c>
      <c r="C87" s="17">
        <f>24.1451 * CHOOSE(CONTROL!$C$9, $D$9, 100%, $F$9) + CHOOSE(CONTROL!$C$27, 0.0021, 0)</f>
        <v>24.147199999999998</v>
      </c>
      <c r="D87" s="17">
        <f>24.1451 * CHOOSE(CONTROL!$C$9, $D$9, 100%, $F$9) + CHOOSE(CONTROL!$C$27, 0.0021, 0)</f>
        <v>24.147199999999998</v>
      </c>
      <c r="E87" s="17">
        <f>24.0085 * CHOOSE(CONTROL!$C$9, $D$9, 100%, $F$9) + CHOOSE(CONTROL!$C$27, 0.0021, 0)</f>
        <v>24.0106</v>
      </c>
      <c r="F87" s="17">
        <f>24.0085 * CHOOSE(CONTROL!$C$9, $D$9, 100%, $F$9) + CHOOSE(CONTROL!$C$27, 0.0021, 0)</f>
        <v>24.0106</v>
      </c>
      <c r="G87" s="17">
        <f>24.2799 * CHOOSE(CONTROL!$C$9, $D$9, 100%, $F$9) + CHOOSE(CONTROL!$C$27, 0.0021, 0)</f>
        <v>24.282</v>
      </c>
      <c r="H87" s="17">
        <f>24.1451 * CHOOSE(CONTROL!$C$9, $D$9, 100%, $F$9) + CHOOSE(CONTROL!$C$27, 0.0021, 0)</f>
        <v>24.147199999999998</v>
      </c>
      <c r="I87" s="17">
        <f>24.1451 * CHOOSE(CONTROL!$C$9, $D$9, 100%, $F$9) + CHOOSE(CONTROL!$C$27, 0.0021, 0)</f>
        <v>24.147199999999998</v>
      </c>
      <c r="J87" s="17">
        <f>24.1451 * CHOOSE(CONTROL!$C$9, $D$9, 100%, $F$9) + CHOOSE(CONTROL!$C$27, 0.0021, 0)</f>
        <v>24.147199999999998</v>
      </c>
      <c r="K87" s="17">
        <f>24.1451 * CHOOSE(CONTROL!$C$9, $D$9, 100%, $F$9) + CHOOSE(CONTROL!$C$27, 0.0021, 0)</f>
        <v>24.147199999999998</v>
      </c>
      <c r="L87" s="17"/>
    </row>
    <row r="88" spans="1:12" ht="15" x14ac:dyDescent="0.2">
      <c r="A88" s="16">
        <v>43586</v>
      </c>
      <c r="B88" s="17">
        <f>25.0922 * CHOOSE(CONTROL!$C$9, $D$9, 100%, $F$9) + CHOOSE(CONTROL!$C$27, 0.0021, 0)</f>
        <v>25.094299999999997</v>
      </c>
      <c r="C88" s="17">
        <f>24.66 * CHOOSE(CONTROL!$C$9, $D$9, 100%, $F$9) + CHOOSE(CONTROL!$C$27, 0.0021, 0)</f>
        <v>24.662099999999999</v>
      </c>
      <c r="D88" s="17">
        <f>24.66 * CHOOSE(CONTROL!$C$9, $D$9, 100%, $F$9) + CHOOSE(CONTROL!$C$27, 0.0021, 0)</f>
        <v>24.662099999999999</v>
      </c>
      <c r="E88" s="17">
        <f>24.5233 * CHOOSE(CONTROL!$C$9, $D$9, 100%, $F$9) + CHOOSE(CONTROL!$C$27, 0.0021, 0)</f>
        <v>24.525399999999998</v>
      </c>
      <c r="F88" s="17">
        <f>24.5233 * CHOOSE(CONTROL!$C$9, $D$9, 100%, $F$9) + CHOOSE(CONTROL!$C$27, 0.0021, 0)</f>
        <v>24.525399999999998</v>
      </c>
      <c r="G88" s="17">
        <f>24.7947 * CHOOSE(CONTROL!$C$9, $D$9, 100%, $F$9) + CHOOSE(CONTROL!$C$27, 0.0021, 0)</f>
        <v>24.796799999999998</v>
      </c>
      <c r="H88" s="17">
        <f>24.66 * CHOOSE(CONTROL!$C$9, $D$9, 100%, $F$9) + CHOOSE(CONTROL!$C$27, 0.0021, 0)</f>
        <v>24.662099999999999</v>
      </c>
      <c r="I88" s="17">
        <f>24.66 * CHOOSE(CONTROL!$C$9, $D$9, 100%, $F$9) + CHOOSE(CONTROL!$C$27, 0.0021, 0)</f>
        <v>24.662099999999999</v>
      </c>
      <c r="J88" s="17">
        <f>24.66 * CHOOSE(CONTROL!$C$9, $D$9, 100%, $F$9) + CHOOSE(CONTROL!$C$27, 0.0021, 0)</f>
        <v>24.662099999999999</v>
      </c>
      <c r="K88" s="17">
        <f>24.66 * CHOOSE(CONTROL!$C$9, $D$9, 100%, $F$9) + CHOOSE(CONTROL!$C$27, 0.0021, 0)</f>
        <v>24.662099999999999</v>
      </c>
      <c r="L88" s="17"/>
    </row>
    <row r="89" spans="1:12" ht="15" x14ac:dyDescent="0.2">
      <c r="A89" s="16">
        <v>43617</v>
      </c>
      <c r="B89" s="17">
        <f>25.4207 * CHOOSE(CONTROL!$C$9, $D$9, 100%, $F$9) + CHOOSE(CONTROL!$C$27, 0.0021, 0)</f>
        <v>25.422799999999999</v>
      </c>
      <c r="C89" s="17">
        <f>24.9884 * CHOOSE(CONTROL!$C$9, $D$9, 100%, $F$9) + CHOOSE(CONTROL!$C$27, 0.0021, 0)</f>
        <v>24.990499999999997</v>
      </c>
      <c r="D89" s="17">
        <f>24.9884 * CHOOSE(CONTROL!$C$9, $D$9, 100%, $F$9) + CHOOSE(CONTROL!$C$27, 0.0021, 0)</f>
        <v>24.990499999999997</v>
      </c>
      <c r="E89" s="17">
        <f>24.8518 * CHOOSE(CONTROL!$C$9, $D$9, 100%, $F$9) + CHOOSE(CONTROL!$C$27, 0.0021, 0)</f>
        <v>24.853899999999999</v>
      </c>
      <c r="F89" s="17">
        <f>24.8518 * CHOOSE(CONTROL!$C$9, $D$9, 100%, $F$9) + CHOOSE(CONTROL!$C$27, 0.0021, 0)</f>
        <v>24.853899999999999</v>
      </c>
      <c r="G89" s="17">
        <f>25.1231 * CHOOSE(CONTROL!$C$9, $D$9, 100%, $F$9) + CHOOSE(CONTROL!$C$27, 0.0021, 0)</f>
        <v>25.1252</v>
      </c>
      <c r="H89" s="17">
        <f>24.9884 * CHOOSE(CONTROL!$C$9, $D$9, 100%, $F$9) + CHOOSE(CONTROL!$C$27, 0.0021, 0)</f>
        <v>24.990499999999997</v>
      </c>
      <c r="I89" s="17">
        <f>24.9884 * CHOOSE(CONTROL!$C$9, $D$9, 100%, $F$9) + CHOOSE(CONTROL!$C$27, 0.0021, 0)</f>
        <v>24.990499999999997</v>
      </c>
      <c r="J89" s="17">
        <f>24.9884 * CHOOSE(CONTROL!$C$9, $D$9, 100%, $F$9) + CHOOSE(CONTROL!$C$27, 0.0021, 0)</f>
        <v>24.990499999999997</v>
      </c>
      <c r="K89" s="17">
        <f>24.9884 * CHOOSE(CONTROL!$C$9, $D$9, 100%, $F$9) + CHOOSE(CONTROL!$C$27, 0.0021, 0)</f>
        <v>24.990499999999997</v>
      </c>
      <c r="L89" s="17"/>
    </row>
    <row r="90" spans="1:12" ht="15" x14ac:dyDescent="0.2">
      <c r="A90" s="16">
        <v>43647</v>
      </c>
      <c r="B90" s="17">
        <f>25.9336 * CHOOSE(CONTROL!$C$9, $D$9, 100%, $F$9) + CHOOSE(CONTROL!$C$27, 0.0021, 0)</f>
        <v>25.935699999999997</v>
      </c>
      <c r="C90" s="17">
        <f>25.5013 * CHOOSE(CONTROL!$C$9, $D$9, 100%, $F$9) + CHOOSE(CONTROL!$C$27, 0.0021, 0)</f>
        <v>25.503399999999999</v>
      </c>
      <c r="D90" s="17">
        <f>25.5013 * CHOOSE(CONTROL!$C$9, $D$9, 100%, $F$9) + CHOOSE(CONTROL!$C$27, 0.0021, 0)</f>
        <v>25.503399999999999</v>
      </c>
      <c r="E90" s="17">
        <f>25.3647 * CHOOSE(CONTROL!$C$9, $D$9, 100%, $F$9) + CHOOSE(CONTROL!$C$27, 0.0021, 0)</f>
        <v>25.366799999999998</v>
      </c>
      <c r="F90" s="17">
        <f>25.3647 * CHOOSE(CONTROL!$C$9, $D$9, 100%, $F$9) + CHOOSE(CONTROL!$C$27, 0.0021, 0)</f>
        <v>25.366799999999998</v>
      </c>
      <c r="G90" s="17">
        <f>25.6361 * CHOOSE(CONTROL!$C$9, $D$9, 100%, $F$9) + CHOOSE(CONTROL!$C$27, 0.0021, 0)</f>
        <v>25.638199999999998</v>
      </c>
      <c r="H90" s="17">
        <f>25.5013 * CHOOSE(CONTROL!$C$9, $D$9, 100%, $F$9) + CHOOSE(CONTROL!$C$27, 0.0021, 0)</f>
        <v>25.503399999999999</v>
      </c>
      <c r="I90" s="17">
        <f>25.5013 * CHOOSE(CONTROL!$C$9, $D$9, 100%, $F$9) + CHOOSE(CONTROL!$C$27, 0.0021, 0)</f>
        <v>25.503399999999999</v>
      </c>
      <c r="J90" s="17">
        <f>25.5013 * CHOOSE(CONTROL!$C$9, $D$9, 100%, $F$9) + CHOOSE(CONTROL!$C$27, 0.0021, 0)</f>
        <v>25.503399999999999</v>
      </c>
      <c r="K90" s="17">
        <f>25.5013 * CHOOSE(CONTROL!$C$9, $D$9, 100%, $F$9) + CHOOSE(CONTROL!$C$27, 0.0021, 0)</f>
        <v>25.503399999999999</v>
      </c>
      <c r="L90" s="17"/>
    </row>
    <row r="91" spans="1:12" ht="15" x14ac:dyDescent="0.2">
      <c r="A91" s="16">
        <v>43678</v>
      </c>
      <c r="B91" s="17">
        <f>26.1246 * CHOOSE(CONTROL!$C$9, $D$9, 100%, $F$9) + CHOOSE(CONTROL!$C$27, 0.0021, 0)</f>
        <v>26.1267</v>
      </c>
      <c r="C91" s="17">
        <f>25.6923 * CHOOSE(CONTROL!$C$9, $D$9, 100%, $F$9) + CHOOSE(CONTROL!$C$27, 0.0021, 0)</f>
        <v>25.694399999999998</v>
      </c>
      <c r="D91" s="17">
        <f>25.6923 * CHOOSE(CONTROL!$C$9, $D$9, 100%, $F$9) + CHOOSE(CONTROL!$C$27, 0.0021, 0)</f>
        <v>25.694399999999998</v>
      </c>
      <c r="E91" s="17">
        <f>25.5557 * CHOOSE(CONTROL!$C$9, $D$9, 100%, $F$9) + CHOOSE(CONTROL!$C$27, 0.0021, 0)</f>
        <v>25.5578</v>
      </c>
      <c r="F91" s="17">
        <f>25.5557 * CHOOSE(CONTROL!$C$9, $D$9, 100%, $F$9) + CHOOSE(CONTROL!$C$27, 0.0021, 0)</f>
        <v>25.5578</v>
      </c>
      <c r="G91" s="17">
        <f>25.8271 * CHOOSE(CONTROL!$C$9, $D$9, 100%, $F$9) + CHOOSE(CONTROL!$C$27, 0.0021, 0)</f>
        <v>25.8292</v>
      </c>
      <c r="H91" s="17">
        <f>25.6923 * CHOOSE(CONTROL!$C$9, $D$9, 100%, $F$9) + CHOOSE(CONTROL!$C$27, 0.0021, 0)</f>
        <v>25.694399999999998</v>
      </c>
      <c r="I91" s="17">
        <f>25.6923 * CHOOSE(CONTROL!$C$9, $D$9, 100%, $F$9) + CHOOSE(CONTROL!$C$27, 0.0021, 0)</f>
        <v>25.694399999999998</v>
      </c>
      <c r="J91" s="17">
        <f>25.6923 * CHOOSE(CONTROL!$C$9, $D$9, 100%, $F$9) + CHOOSE(CONTROL!$C$27, 0.0021, 0)</f>
        <v>25.694399999999998</v>
      </c>
      <c r="K91" s="17">
        <f>25.6923 * CHOOSE(CONTROL!$C$9, $D$9, 100%, $F$9) + CHOOSE(CONTROL!$C$27, 0.0021, 0)</f>
        <v>25.694399999999998</v>
      </c>
      <c r="L91" s="17"/>
    </row>
    <row r="92" spans="1:12" ht="15" x14ac:dyDescent="0.2">
      <c r="A92" s="16">
        <v>43709</v>
      </c>
      <c r="B92" s="17">
        <f>26.6593 * CHOOSE(CONTROL!$C$9, $D$9, 100%, $F$9) + CHOOSE(CONTROL!$C$27, 0.0021, 0)</f>
        <v>26.6614</v>
      </c>
      <c r="C92" s="17">
        <f>26.2271 * CHOOSE(CONTROL!$C$9, $D$9, 100%, $F$9) + CHOOSE(CONTROL!$C$27, 0.0021, 0)</f>
        <v>26.229199999999999</v>
      </c>
      <c r="D92" s="17">
        <f>26.2271 * CHOOSE(CONTROL!$C$9, $D$9, 100%, $F$9) + CHOOSE(CONTROL!$C$27, 0.0021, 0)</f>
        <v>26.229199999999999</v>
      </c>
      <c r="E92" s="17">
        <f>26.0904 * CHOOSE(CONTROL!$C$9, $D$9, 100%, $F$9) + CHOOSE(CONTROL!$C$27, 0.0021, 0)</f>
        <v>26.092499999999998</v>
      </c>
      <c r="F92" s="17">
        <f>26.0904 * CHOOSE(CONTROL!$C$9, $D$9, 100%, $F$9) + CHOOSE(CONTROL!$C$27, 0.0021, 0)</f>
        <v>26.092499999999998</v>
      </c>
      <c r="G92" s="17">
        <f>26.3618 * CHOOSE(CONTROL!$C$9, $D$9, 100%, $F$9) + CHOOSE(CONTROL!$C$27, 0.0021, 0)</f>
        <v>26.363899999999997</v>
      </c>
      <c r="H92" s="17">
        <f>26.2271 * CHOOSE(CONTROL!$C$9, $D$9, 100%, $F$9) + CHOOSE(CONTROL!$C$27, 0.0021, 0)</f>
        <v>26.229199999999999</v>
      </c>
      <c r="I92" s="17">
        <f>26.2271 * CHOOSE(CONTROL!$C$9, $D$9, 100%, $F$9) + CHOOSE(CONTROL!$C$27, 0.0021, 0)</f>
        <v>26.229199999999999</v>
      </c>
      <c r="J92" s="17">
        <f>26.2271 * CHOOSE(CONTROL!$C$9, $D$9, 100%, $F$9) + CHOOSE(CONTROL!$C$27, 0.0021, 0)</f>
        <v>26.229199999999999</v>
      </c>
      <c r="K92" s="17">
        <f>26.2271 * CHOOSE(CONTROL!$C$9, $D$9, 100%, $F$9) + CHOOSE(CONTROL!$C$27, 0.0021, 0)</f>
        <v>26.229199999999999</v>
      </c>
      <c r="L92" s="17"/>
    </row>
    <row r="93" spans="1:12" ht="15" x14ac:dyDescent="0.2">
      <c r="A93" s="16">
        <v>43739</v>
      </c>
      <c r="B93" s="17">
        <f>27.3255 * CHOOSE(CONTROL!$C$9, $D$9, 100%, $F$9) + CHOOSE(CONTROL!$C$27, 0.0021, 0)</f>
        <v>27.3276</v>
      </c>
      <c r="C93" s="17">
        <f>26.8932 * CHOOSE(CONTROL!$C$9, $D$9, 100%, $F$9) + CHOOSE(CONTROL!$C$27, 0.0021, 0)</f>
        <v>26.895299999999999</v>
      </c>
      <c r="D93" s="17">
        <f>26.8932 * CHOOSE(CONTROL!$C$9, $D$9, 100%, $F$9) + CHOOSE(CONTROL!$C$27, 0.0021, 0)</f>
        <v>26.895299999999999</v>
      </c>
      <c r="E93" s="17">
        <f>26.7566 * CHOOSE(CONTROL!$C$9, $D$9, 100%, $F$9) + CHOOSE(CONTROL!$C$27, 0.0021, 0)</f>
        <v>26.758699999999997</v>
      </c>
      <c r="F93" s="17">
        <f>26.7566 * CHOOSE(CONTROL!$C$9, $D$9, 100%, $F$9) + CHOOSE(CONTROL!$C$27, 0.0021, 0)</f>
        <v>26.758699999999997</v>
      </c>
      <c r="G93" s="17">
        <f>27.028 * CHOOSE(CONTROL!$C$9, $D$9, 100%, $F$9) + CHOOSE(CONTROL!$C$27, 0.0021, 0)</f>
        <v>27.030099999999997</v>
      </c>
      <c r="H93" s="17">
        <f>26.8932 * CHOOSE(CONTROL!$C$9, $D$9, 100%, $F$9) + CHOOSE(CONTROL!$C$27, 0.0021, 0)</f>
        <v>26.895299999999999</v>
      </c>
      <c r="I93" s="17">
        <f>26.8932 * CHOOSE(CONTROL!$C$9, $D$9, 100%, $F$9) + CHOOSE(CONTROL!$C$27, 0.0021, 0)</f>
        <v>26.895299999999999</v>
      </c>
      <c r="J93" s="17">
        <f>26.8932 * CHOOSE(CONTROL!$C$9, $D$9, 100%, $F$9) + CHOOSE(CONTROL!$C$27, 0.0021, 0)</f>
        <v>26.895299999999999</v>
      </c>
      <c r="K93" s="17">
        <f>26.8932 * CHOOSE(CONTROL!$C$9, $D$9, 100%, $F$9) + CHOOSE(CONTROL!$C$27, 0.0021, 0)</f>
        <v>26.895299999999999</v>
      </c>
      <c r="L93" s="17"/>
    </row>
    <row r="94" spans="1:12" ht="15" x14ac:dyDescent="0.2">
      <c r="A94" s="16">
        <v>43770</v>
      </c>
      <c r="B94" s="17">
        <f>27.435 * CHOOSE(CONTROL!$C$9, $D$9, 100%, $F$9) + CHOOSE(CONTROL!$C$27, 0.0021, 0)</f>
        <v>27.437099999999997</v>
      </c>
      <c r="C94" s="17">
        <f>27.0028 * CHOOSE(CONTROL!$C$9, $D$9, 100%, $F$9) + CHOOSE(CONTROL!$C$27, 0.0021, 0)</f>
        <v>27.004899999999999</v>
      </c>
      <c r="D94" s="17">
        <f>27.0028 * CHOOSE(CONTROL!$C$9, $D$9, 100%, $F$9) + CHOOSE(CONTROL!$C$27, 0.0021, 0)</f>
        <v>27.004899999999999</v>
      </c>
      <c r="E94" s="17">
        <f>26.8661 * CHOOSE(CONTROL!$C$9, $D$9, 100%, $F$9) + CHOOSE(CONTROL!$C$27, 0.0021, 0)</f>
        <v>26.868199999999998</v>
      </c>
      <c r="F94" s="17">
        <f>26.8661 * CHOOSE(CONTROL!$C$9, $D$9, 100%, $F$9) + CHOOSE(CONTROL!$C$27, 0.0021, 0)</f>
        <v>26.868199999999998</v>
      </c>
      <c r="G94" s="17">
        <f>27.1375 * CHOOSE(CONTROL!$C$9, $D$9, 100%, $F$9) + CHOOSE(CONTROL!$C$27, 0.0021, 0)</f>
        <v>27.139599999999998</v>
      </c>
      <c r="H94" s="17">
        <f>27.0028 * CHOOSE(CONTROL!$C$9, $D$9, 100%, $F$9) + CHOOSE(CONTROL!$C$27, 0.0021, 0)</f>
        <v>27.004899999999999</v>
      </c>
      <c r="I94" s="17">
        <f>27.0028 * CHOOSE(CONTROL!$C$9, $D$9, 100%, $F$9) + CHOOSE(CONTROL!$C$27, 0.0021, 0)</f>
        <v>27.004899999999999</v>
      </c>
      <c r="J94" s="17">
        <f>27.0028 * CHOOSE(CONTROL!$C$9, $D$9, 100%, $F$9) + CHOOSE(CONTROL!$C$27, 0.0021, 0)</f>
        <v>27.004899999999999</v>
      </c>
      <c r="K94" s="17">
        <f>27.0028 * CHOOSE(CONTROL!$C$9, $D$9, 100%, $F$9) + CHOOSE(CONTROL!$C$27, 0.0021, 0)</f>
        <v>27.004899999999999</v>
      </c>
      <c r="L94" s="17"/>
    </row>
    <row r="95" spans="1:12" ht="15" x14ac:dyDescent="0.2">
      <c r="A95" s="16">
        <v>43800</v>
      </c>
      <c r="B95" s="17">
        <f>26.9928 * CHOOSE(CONTROL!$C$9, $D$9, 100%, $F$9) + CHOOSE(CONTROL!$C$27, 0.0021, 0)</f>
        <v>26.994899999999998</v>
      </c>
      <c r="C95" s="17">
        <f>26.5605 * CHOOSE(CONTROL!$C$9, $D$9, 100%, $F$9) + CHOOSE(CONTROL!$C$27, 0.0021, 0)</f>
        <v>26.5626</v>
      </c>
      <c r="D95" s="17">
        <f>26.5605 * CHOOSE(CONTROL!$C$9, $D$9, 100%, $F$9) + CHOOSE(CONTROL!$C$27, 0.0021, 0)</f>
        <v>26.5626</v>
      </c>
      <c r="E95" s="17">
        <f>26.4239 * CHOOSE(CONTROL!$C$9, $D$9, 100%, $F$9) + CHOOSE(CONTROL!$C$27, 0.0021, 0)</f>
        <v>26.425999999999998</v>
      </c>
      <c r="F95" s="17">
        <f>26.4239 * CHOOSE(CONTROL!$C$9, $D$9, 100%, $F$9) + CHOOSE(CONTROL!$C$27, 0.0021, 0)</f>
        <v>26.425999999999998</v>
      </c>
      <c r="G95" s="17">
        <f>26.6953 * CHOOSE(CONTROL!$C$9, $D$9, 100%, $F$9) + CHOOSE(CONTROL!$C$27, 0.0021, 0)</f>
        <v>26.697399999999998</v>
      </c>
      <c r="H95" s="17">
        <f>26.5605 * CHOOSE(CONTROL!$C$9, $D$9, 100%, $F$9) + CHOOSE(CONTROL!$C$27, 0.0021, 0)</f>
        <v>26.5626</v>
      </c>
      <c r="I95" s="17">
        <f>26.5605 * CHOOSE(CONTROL!$C$9, $D$9, 100%, $F$9) + CHOOSE(CONTROL!$C$27, 0.0021, 0)</f>
        <v>26.5626</v>
      </c>
      <c r="J95" s="17">
        <f>26.5605 * CHOOSE(CONTROL!$C$9, $D$9, 100%, $F$9) + CHOOSE(CONTROL!$C$27, 0.0021, 0)</f>
        <v>26.5626</v>
      </c>
      <c r="K95" s="17">
        <f>26.5605 * CHOOSE(CONTROL!$C$9, $D$9, 100%, $F$9) + CHOOSE(CONTROL!$C$27, 0.0021, 0)</f>
        <v>26.5626</v>
      </c>
      <c r="L95" s="17"/>
    </row>
    <row r="96" spans="1:12" ht="15" x14ac:dyDescent="0.2">
      <c r="A96" s="16">
        <v>43831</v>
      </c>
      <c r="B96" s="17">
        <f>26.4839 * CHOOSE(CONTROL!$C$9, $D$9, 100%, $F$9) + CHOOSE(CONTROL!$C$27, 0.0021, 0)</f>
        <v>26.485999999999997</v>
      </c>
      <c r="C96" s="17">
        <f>26.0517 * CHOOSE(CONTROL!$C$9, $D$9, 100%, $F$9) + CHOOSE(CONTROL!$C$27, 0.0021, 0)</f>
        <v>26.053799999999999</v>
      </c>
      <c r="D96" s="17">
        <f>26.0517 * CHOOSE(CONTROL!$C$9, $D$9, 100%, $F$9) + CHOOSE(CONTROL!$C$27, 0.0021, 0)</f>
        <v>26.053799999999999</v>
      </c>
      <c r="E96" s="17">
        <f>25.915 * CHOOSE(CONTROL!$C$9, $D$9, 100%, $F$9) + CHOOSE(CONTROL!$C$27, 0.0021, 0)</f>
        <v>25.917099999999998</v>
      </c>
      <c r="F96" s="17">
        <f>25.915 * CHOOSE(CONTROL!$C$9, $D$9, 100%, $F$9) + CHOOSE(CONTROL!$C$27, 0.0021, 0)</f>
        <v>25.917099999999998</v>
      </c>
      <c r="G96" s="17">
        <f>26.1864 * CHOOSE(CONTROL!$C$9, $D$9, 100%, $F$9) + CHOOSE(CONTROL!$C$27, 0.0021, 0)</f>
        <v>26.188499999999998</v>
      </c>
      <c r="H96" s="17">
        <f>26.0517 * CHOOSE(CONTROL!$C$9, $D$9, 100%, $F$9) + CHOOSE(CONTROL!$C$27, 0.0021, 0)</f>
        <v>26.053799999999999</v>
      </c>
      <c r="I96" s="17">
        <f>26.0517 * CHOOSE(CONTROL!$C$9, $D$9, 100%, $F$9) + CHOOSE(CONTROL!$C$27, 0.0021, 0)</f>
        <v>26.053799999999999</v>
      </c>
      <c r="J96" s="17">
        <f>26.0517 * CHOOSE(CONTROL!$C$9, $D$9, 100%, $F$9) + CHOOSE(CONTROL!$C$27, 0.0021, 0)</f>
        <v>26.053799999999999</v>
      </c>
      <c r="K96" s="17">
        <f>26.0517 * CHOOSE(CONTROL!$C$9, $D$9, 100%, $F$9) + CHOOSE(CONTROL!$C$27, 0.0021, 0)</f>
        <v>26.053799999999999</v>
      </c>
      <c r="L96" s="17"/>
    </row>
    <row r="97" spans="1:12" ht="15" x14ac:dyDescent="0.2">
      <c r="A97" s="16">
        <v>43862</v>
      </c>
      <c r="B97" s="17">
        <f>25.8481 * CHOOSE(CONTROL!$C$9, $D$9, 100%, $F$9) + CHOOSE(CONTROL!$C$27, 0.0021, 0)</f>
        <v>25.850199999999997</v>
      </c>
      <c r="C97" s="17">
        <f>25.4158 * CHOOSE(CONTROL!$C$9, $D$9, 100%, $F$9) + CHOOSE(CONTROL!$C$27, 0.0021, 0)</f>
        <v>25.417899999999999</v>
      </c>
      <c r="D97" s="17">
        <f>25.4158 * CHOOSE(CONTROL!$C$9, $D$9, 100%, $F$9) + CHOOSE(CONTROL!$C$27, 0.0021, 0)</f>
        <v>25.417899999999999</v>
      </c>
      <c r="E97" s="17">
        <f>25.2792 * CHOOSE(CONTROL!$C$9, $D$9, 100%, $F$9) + CHOOSE(CONTROL!$C$27, 0.0021, 0)</f>
        <v>25.281299999999998</v>
      </c>
      <c r="F97" s="17">
        <f>25.2792 * CHOOSE(CONTROL!$C$9, $D$9, 100%, $F$9) + CHOOSE(CONTROL!$C$27, 0.0021, 0)</f>
        <v>25.281299999999998</v>
      </c>
      <c r="G97" s="17">
        <f>25.5505 * CHOOSE(CONTROL!$C$9, $D$9, 100%, $F$9) + CHOOSE(CONTROL!$C$27, 0.0021, 0)</f>
        <v>25.552599999999998</v>
      </c>
      <c r="H97" s="17">
        <f>25.4158 * CHOOSE(CONTROL!$C$9, $D$9, 100%, $F$9) + CHOOSE(CONTROL!$C$27, 0.0021, 0)</f>
        <v>25.417899999999999</v>
      </c>
      <c r="I97" s="17">
        <f>25.4158 * CHOOSE(CONTROL!$C$9, $D$9, 100%, $F$9) + CHOOSE(CONTROL!$C$27, 0.0021, 0)</f>
        <v>25.417899999999999</v>
      </c>
      <c r="J97" s="17">
        <f>25.4158 * CHOOSE(CONTROL!$C$9, $D$9, 100%, $F$9) + CHOOSE(CONTROL!$C$27, 0.0021, 0)</f>
        <v>25.417899999999999</v>
      </c>
      <c r="K97" s="17">
        <f>25.4158 * CHOOSE(CONTROL!$C$9, $D$9, 100%, $F$9) + CHOOSE(CONTROL!$C$27, 0.0021, 0)</f>
        <v>25.417899999999999</v>
      </c>
      <c r="L97" s="17"/>
    </row>
    <row r="98" spans="1:12" ht="15" x14ac:dyDescent="0.2">
      <c r="A98" s="16">
        <v>43891</v>
      </c>
      <c r="B98" s="17">
        <f>25.613 * CHOOSE(CONTROL!$C$9, $D$9, 100%, $F$9) + CHOOSE(CONTROL!$C$27, 0.0021, 0)</f>
        <v>25.615099999999998</v>
      </c>
      <c r="C98" s="17">
        <f>25.1807 * CHOOSE(CONTROL!$C$9, $D$9, 100%, $F$9) + CHOOSE(CONTROL!$C$27, 0.0021, 0)</f>
        <v>25.1828</v>
      </c>
      <c r="D98" s="17">
        <f>25.1807 * CHOOSE(CONTROL!$C$9, $D$9, 100%, $F$9) + CHOOSE(CONTROL!$C$27, 0.0021, 0)</f>
        <v>25.1828</v>
      </c>
      <c r="E98" s="17">
        <f>25.0441 * CHOOSE(CONTROL!$C$9, $D$9, 100%, $F$9) + CHOOSE(CONTROL!$C$27, 0.0021, 0)</f>
        <v>25.046199999999999</v>
      </c>
      <c r="F98" s="17">
        <f>25.0441 * CHOOSE(CONTROL!$C$9, $D$9, 100%, $F$9) + CHOOSE(CONTROL!$C$27, 0.0021, 0)</f>
        <v>25.046199999999999</v>
      </c>
      <c r="G98" s="17">
        <f>25.3154 * CHOOSE(CONTROL!$C$9, $D$9, 100%, $F$9) + CHOOSE(CONTROL!$C$27, 0.0021, 0)</f>
        <v>25.317499999999999</v>
      </c>
      <c r="H98" s="17">
        <f>25.1807 * CHOOSE(CONTROL!$C$9, $D$9, 100%, $F$9) + CHOOSE(CONTROL!$C$27, 0.0021, 0)</f>
        <v>25.1828</v>
      </c>
      <c r="I98" s="17">
        <f>25.1807 * CHOOSE(CONTROL!$C$9, $D$9, 100%, $F$9) + CHOOSE(CONTROL!$C$27, 0.0021, 0)</f>
        <v>25.1828</v>
      </c>
      <c r="J98" s="17">
        <f>25.1807 * CHOOSE(CONTROL!$C$9, $D$9, 100%, $F$9) + CHOOSE(CONTROL!$C$27, 0.0021, 0)</f>
        <v>25.1828</v>
      </c>
      <c r="K98" s="17">
        <f>25.1807 * CHOOSE(CONTROL!$C$9, $D$9, 100%, $F$9) + CHOOSE(CONTROL!$C$27, 0.0021, 0)</f>
        <v>25.1828</v>
      </c>
      <c r="L98" s="17"/>
    </row>
    <row r="99" spans="1:12" ht="15" x14ac:dyDescent="0.2">
      <c r="A99" s="16">
        <v>43922</v>
      </c>
      <c r="B99" s="17">
        <f>25.3216 * CHOOSE(CONTROL!$C$9, $D$9, 100%, $F$9) + CHOOSE(CONTROL!$C$27, 0.0021, 0)</f>
        <v>25.323699999999999</v>
      </c>
      <c r="C99" s="17">
        <f>24.8894 * CHOOSE(CONTROL!$C$9, $D$9, 100%, $F$9) + CHOOSE(CONTROL!$C$27, 0.0021, 0)</f>
        <v>24.891499999999997</v>
      </c>
      <c r="D99" s="17">
        <f>24.8894 * CHOOSE(CONTROL!$C$9, $D$9, 100%, $F$9) + CHOOSE(CONTROL!$C$27, 0.0021, 0)</f>
        <v>24.891499999999997</v>
      </c>
      <c r="E99" s="17">
        <f>24.7527 * CHOOSE(CONTROL!$C$9, $D$9, 100%, $F$9) + CHOOSE(CONTROL!$C$27, 0.0021, 0)</f>
        <v>24.754799999999999</v>
      </c>
      <c r="F99" s="17">
        <f>24.7527 * CHOOSE(CONTROL!$C$9, $D$9, 100%, $F$9) + CHOOSE(CONTROL!$C$27, 0.0021, 0)</f>
        <v>24.754799999999999</v>
      </c>
      <c r="G99" s="17">
        <f>25.0241 * CHOOSE(CONTROL!$C$9, $D$9, 100%, $F$9) + CHOOSE(CONTROL!$C$27, 0.0021, 0)</f>
        <v>25.026199999999999</v>
      </c>
      <c r="H99" s="17">
        <f>24.8894 * CHOOSE(CONTROL!$C$9, $D$9, 100%, $F$9) + CHOOSE(CONTROL!$C$27, 0.0021, 0)</f>
        <v>24.891499999999997</v>
      </c>
      <c r="I99" s="17">
        <f>24.8894 * CHOOSE(CONTROL!$C$9, $D$9, 100%, $F$9) + CHOOSE(CONTROL!$C$27, 0.0021, 0)</f>
        <v>24.891499999999997</v>
      </c>
      <c r="J99" s="17">
        <f>24.8894 * CHOOSE(CONTROL!$C$9, $D$9, 100%, $F$9) + CHOOSE(CONTROL!$C$27, 0.0021, 0)</f>
        <v>24.891499999999997</v>
      </c>
      <c r="K99" s="17">
        <f>24.8894 * CHOOSE(CONTROL!$C$9, $D$9, 100%, $F$9) + CHOOSE(CONTROL!$C$27, 0.0021, 0)</f>
        <v>24.891499999999997</v>
      </c>
      <c r="L99" s="17"/>
    </row>
    <row r="100" spans="1:12" ht="15" x14ac:dyDescent="0.2">
      <c r="A100" s="16">
        <v>43952</v>
      </c>
      <c r="B100" s="17">
        <f>25.8537 * CHOOSE(CONTROL!$C$9, $D$9, 100%, $F$9) + CHOOSE(CONTROL!$C$27, 0.0021, 0)</f>
        <v>25.855799999999999</v>
      </c>
      <c r="C100" s="17">
        <f>25.4215 * CHOOSE(CONTROL!$C$9, $D$9, 100%, $F$9) + CHOOSE(CONTROL!$C$27, 0.0021, 0)</f>
        <v>25.4236</v>
      </c>
      <c r="D100" s="17">
        <f>25.4215 * CHOOSE(CONTROL!$C$9, $D$9, 100%, $F$9) + CHOOSE(CONTROL!$C$27, 0.0021, 0)</f>
        <v>25.4236</v>
      </c>
      <c r="E100" s="17">
        <f>25.2848 * CHOOSE(CONTROL!$C$9, $D$9, 100%, $F$9) + CHOOSE(CONTROL!$C$27, 0.0021, 0)</f>
        <v>25.286899999999999</v>
      </c>
      <c r="F100" s="17">
        <f>25.2848 * CHOOSE(CONTROL!$C$9, $D$9, 100%, $F$9) + CHOOSE(CONTROL!$C$27, 0.0021, 0)</f>
        <v>25.286899999999999</v>
      </c>
      <c r="G100" s="17">
        <f>25.5562 * CHOOSE(CONTROL!$C$9, $D$9, 100%, $F$9) + CHOOSE(CONTROL!$C$27, 0.0021, 0)</f>
        <v>25.558299999999999</v>
      </c>
      <c r="H100" s="17">
        <f>25.4215 * CHOOSE(CONTROL!$C$9, $D$9, 100%, $F$9) + CHOOSE(CONTROL!$C$27, 0.0021, 0)</f>
        <v>25.4236</v>
      </c>
      <c r="I100" s="17">
        <f>25.4215 * CHOOSE(CONTROL!$C$9, $D$9, 100%, $F$9) + CHOOSE(CONTROL!$C$27, 0.0021, 0)</f>
        <v>25.4236</v>
      </c>
      <c r="J100" s="17">
        <f>25.4215 * CHOOSE(CONTROL!$C$9, $D$9, 100%, $F$9) + CHOOSE(CONTROL!$C$27, 0.0021, 0)</f>
        <v>25.4236</v>
      </c>
      <c r="K100" s="17">
        <f>25.4215 * CHOOSE(CONTROL!$C$9, $D$9, 100%, $F$9) + CHOOSE(CONTROL!$C$27, 0.0021, 0)</f>
        <v>25.4236</v>
      </c>
      <c r="L100" s="17"/>
    </row>
    <row r="101" spans="1:12" ht="15" x14ac:dyDescent="0.2">
      <c r="A101" s="16">
        <v>43983</v>
      </c>
      <c r="B101" s="17">
        <f>26.1931 * CHOOSE(CONTROL!$C$9, $D$9, 100%, $F$9) + CHOOSE(CONTROL!$C$27, 0.0021, 0)</f>
        <v>26.1952</v>
      </c>
      <c r="C101" s="17">
        <f>25.7609 * CHOOSE(CONTROL!$C$9, $D$9, 100%, $F$9) + CHOOSE(CONTROL!$C$27, 0.0021, 0)</f>
        <v>25.762999999999998</v>
      </c>
      <c r="D101" s="17">
        <f>25.7609 * CHOOSE(CONTROL!$C$9, $D$9, 100%, $F$9) + CHOOSE(CONTROL!$C$27, 0.0021, 0)</f>
        <v>25.762999999999998</v>
      </c>
      <c r="E101" s="17">
        <f>25.6242 * CHOOSE(CONTROL!$C$9, $D$9, 100%, $F$9) + CHOOSE(CONTROL!$C$27, 0.0021, 0)</f>
        <v>25.626299999999997</v>
      </c>
      <c r="F101" s="17">
        <f>25.6242 * CHOOSE(CONTROL!$C$9, $D$9, 100%, $F$9) + CHOOSE(CONTROL!$C$27, 0.0021, 0)</f>
        <v>25.626299999999997</v>
      </c>
      <c r="G101" s="17">
        <f>25.8956 * CHOOSE(CONTROL!$C$9, $D$9, 100%, $F$9) + CHOOSE(CONTROL!$C$27, 0.0021, 0)</f>
        <v>25.8977</v>
      </c>
      <c r="H101" s="17">
        <f>25.7609 * CHOOSE(CONTROL!$C$9, $D$9, 100%, $F$9) + CHOOSE(CONTROL!$C$27, 0.0021, 0)</f>
        <v>25.762999999999998</v>
      </c>
      <c r="I101" s="17">
        <f>25.7609 * CHOOSE(CONTROL!$C$9, $D$9, 100%, $F$9) + CHOOSE(CONTROL!$C$27, 0.0021, 0)</f>
        <v>25.762999999999998</v>
      </c>
      <c r="J101" s="17">
        <f>25.7609 * CHOOSE(CONTROL!$C$9, $D$9, 100%, $F$9) + CHOOSE(CONTROL!$C$27, 0.0021, 0)</f>
        <v>25.762999999999998</v>
      </c>
      <c r="K101" s="17">
        <f>25.7609 * CHOOSE(CONTROL!$C$9, $D$9, 100%, $F$9) + CHOOSE(CONTROL!$C$27, 0.0021, 0)</f>
        <v>25.762999999999998</v>
      </c>
      <c r="L101" s="17"/>
    </row>
    <row r="102" spans="1:12" ht="15" x14ac:dyDescent="0.2">
      <c r="A102" s="16">
        <v>44013</v>
      </c>
      <c r="B102" s="17">
        <f>26.7231 * CHOOSE(CONTROL!$C$9, $D$9, 100%, $F$9) + CHOOSE(CONTROL!$C$27, 0.0021, 0)</f>
        <v>26.725199999999997</v>
      </c>
      <c r="C102" s="17">
        <f>26.2909 * CHOOSE(CONTROL!$C$9, $D$9, 100%, $F$9) + CHOOSE(CONTROL!$C$27, 0.0021, 0)</f>
        <v>26.292999999999999</v>
      </c>
      <c r="D102" s="17">
        <f>26.2909 * CHOOSE(CONTROL!$C$9, $D$9, 100%, $F$9) + CHOOSE(CONTROL!$C$27, 0.0021, 0)</f>
        <v>26.292999999999999</v>
      </c>
      <c r="E102" s="17">
        <f>26.1542 * CHOOSE(CONTROL!$C$9, $D$9, 100%, $F$9) + CHOOSE(CONTROL!$C$27, 0.0021, 0)</f>
        <v>26.156299999999998</v>
      </c>
      <c r="F102" s="17">
        <f>26.1542 * CHOOSE(CONTROL!$C$9, $D$9, 100%, $F$9) + CHOOSE(CONTROL!$C$27, 0.0021, 0)</f>
        <v>26.156299999999998</v>
      </c>
      <c r="G102" s="17">
        <f>26.4256 * CHOOSE(CONTROL!$C$9, $D$9, 100%, $F$9) + CHOOSE(CONTROL!$C$27, 0.0021, 0)</f>
        <v>26.427699999999998</v>
      </c>
      <c r="H102" s="17">
        <f>26.2909 * CHOOSE(CONTROL!$C$9, $D$9, 100%, $F$9) + CHOOSE(CONTROL!$C$27, 0.0021, 0)</f>
        <v>26.292999999999999</v>
      </c>
      <c r="I102" s="17">
        <f>26.2909 * CHOOSE(CONTROL!$C$9, $D$9, 100%, $F$9) + CHOOSE(CONTROL!$C$27, 0.0021, 0)</f>
        <v>26.292999999999999</v>
      </c>
      <c r="J102" s="17">
        <f>26.2909 * CHOOSE(CONTROL!$C$9, $D$9, 100%, $F$9) + CHOOSE(CONTROL!$C$27, 0.0021, 0)</f>
        <v>26.292999999999999</v>
      </c>
      <c r="K102" s="17">
        <f>26.2909 * CHOOSE(CONTROL!$C$9, $D$9, 100%, $F$9) + CHOOSE(CONTROL!$C$27, 0.0021, 0)</f>
        <v>26.292999999999999</v>
      </c>
      <c r="L102" s="17"/>
    </row>
    <row r="103" spans="1:12" ht="15" x14ac:dyDescent="0.2">
      <c r="A103" s="16">
        <v>44044</v>
      </c>
      <c r="B103" s="17">
        <f>26.9205 * CHOOSE(CONTROL!$C$9, $D$9, 100%, $F$9) + CHOOSE(CONTROL!$C$27, 0.0021, 0)</f>
        <v>26.922599999999999</v>
      </c>
      <c r="C103" s="17">
        <f>26.4883 * CHOOSE(CONTROL!$C$9, $D$9, 100%, $F$9) + CHOOSE(CONTROL!$C$27, 0.0021, 0)</f>
        <v>26.490399999999998</v>
      </c>
      <c r="D103" s="17">
        <f>26.4883 * CHOOSE(CONTROL!$C$9, $D$9, 100%, $F$9) + CHOOSE(CONTROL!$C$27, 0.0021, 0)</f>
        <v>26.490399999999998</v>
      </c>
      <c r="E103" s="17">
        <f>26.3516 * CHOOSE(CONTROL!$C$9, $D$9, 100%, $F$9) + CHOOSE(CONTROL!$C$27, 0.0021, 0)</f>
        <v>26.3537</v>
      </c>
      <c r="F103" s="17">
        <f>26.3516 * CHOOSE(CONTROL!$C$9, $D$9, 100%, $F$9) + CHOOSE(CONTROL!$C$27, 0.0021, 0)</f>
        <v>26.3537</v>
      </c>
      <c r="G103" s="17">
        <f>26.623 * CHOOSE(CONTROL!$C$9, $D$9, 100%, $F$9) + CHOOSE(CONTROL!$C$27, 0.0021, 0)</f>
        <v>26.6251</v>
      </c>
      <c r="H103" s="17">
        <f>26.4883 * CHOOSE(CONTROL!$C$9, $D$9, 100%, $F$9) + CHOOSE(CONTROL!$C$27, 0.0021, 0)</f>
        <v>26.490399999999998</v>
      </c>
      <c r="I103" s="17">
        <f>26.4883 * CHOOSE(CONTROL!$C$9, $D$9, 100%, $F$9) + CHOOSE(CONTROL!$C$27, 0.0021, 0)</f>
        <v>26.490399999999998</v>
      </c>
      <c r="J103" s="17">
        <f>26.4883 * CHOOSE(CONTROL!$C$9, $D$9, 100%, $F$9) + CHOOSE(CONTROL!$C$27, 0.0021, 0)</f>
        <v>26.490399999999998</v>
      </c>
      <c r="K103" s="17">
        <f>26.4883 * CHOOSE(CONTROL!$C$9, $D$9, 100%, $F$9) + CHOOSE(CONTROL!$C$27, 0.0021, 0)</f>
        <v>26.490399999999998</v>
      </c>
      <c r="L103" s="17"/>
    </row>
    <row r="104" spans="1:12" ht="15" x14ac:dyDescent="0.2">
      <c r="A104" s="16">
        <v>44075</v>
      </c>
      <c r="B104" s="17">
        <f>27.4731 * CHOOSE(CONTROL!$C$9, $D$9, 100%, $F$9) + CHOOSE(CONTROL!$C$27, 0.0021, 0)</f>
        <v>27.475199999999997</v>
      </c>
      <c r="C104" s="17">
        <f>27.0409 * CHOOSE(CONTROL!$C$9, $D$9, 100%, $F$9) + CHOOSE(CONTROL!$C$27, 0.0021, 0)</f>
        <v>27.042999999999999</v>
      </c>
      <c r="D104" s="17">
        <f>27.0409 * CHOOSE(CONTROL!$C$9, $D$9, 100%, $F$9) + CHOOSE(CONTROL!$C$27, 0.0021, 0)</f>
        <v>27.042999999999999</v>
      </c>
      <c r="E104" s="17">
        <f>26.9042 * CHOOSE(CONTROL!$C$9, $D$9, 100%, $F$9) + CHOOSE(CONTROL!$C$27, 0.0021, 0)</f>
        <v>26.906299999999998</v>
      </c>
      <c r="F104" s="17">
        <f>26.9042 * CHOOSE(CONTROL!$C$9, $D$9, 100%, $F$9) + CHOOSE(CONTROL!$C$27, 0.0021, 0)</f>
        <v>26.906299999999998</v>
      </c>
      <c r="G104" s="17">
        <f>27.1756 * CHOOSE(CONTROL!$C$9, $D$9, 100%, $F$9) + CHOOSE(CONTROL!$C$27, 0.0021, 0)</f>
        <v>27.177699999999998</v>
      </c>
      <c r="H104" s="17">
        <f>27.0409 * CHOOSE(CONTROL!$C$9, $D$9, 100%, $F$9) + CHOOSE(CONTROL!$C$27, 0.0021, 0)</f>
        <v>27.042999999999999</v>
      </c>
      <c r="I104" s="17">
        <f>27.0409 * CHOOSE(CONTROL!$C$9, $D$9, 100%, $F$9) + CHOOSE(CONTROL!$C$27, 0.0021, 0)</f>
        <v>27.042999999999999</v>
      </c>
      <c r="J104" s="17">
        <f>27.0409 * CHOOSE(CONTROL!$C$9, $D$9, 100%, $F$9) + CHOOSE(CONTROL!$C$27, 0.0021, 0)</f>
        <v>27.042999999999999</v>
      </c>
      <c r="K104" s="17">
        <f>27.0409 * CHOOSE(CONTROL!$C$9, $D$9, 100%, $F$9) + CHOOSE(CONTROL!$C$27, 0.0021, 0)</f>
        <v>27.042999999999999</v>
      </c>
      <c r="L104" s="17"/>
    </row>
    <row r="105" spans="1:12" ht="15" x14ac:dyDescent="0.2">
      <c r="A105" s="16">
        <v>44105</v>
      </c>
      <c r="B105" s="17">
        <f>28.1615 * CHOOSE(CONTROL!$C$9, $D$9, 100%, $F$9) + CHOOSE(CONTROL!$C$27, 0.0021, 0)</f>
        <v>28.163599999999999</v>
      </c>
      <c r="C105" s="17">
        <f>27.7293 * CHOOSE(CONTROL!$C$9, $D$9, 100%, $F$9) + CHOOSE(CONTROL!$C$27, 0.0021, 0)</f>
        <v>27.731399999999997</v>
      </c>
      <c r="D105" s="17">
        <f>27.7293 * CHOOSE(CONTROL!$C$9, $D$9, 100%, $F$9) + CHOOSE(CONTROL!$C$27, 0.0021, 0)</f>
        <v>27.731399999999997</v>
      </c>
      <c r="E105" s="17">
        <f>27.5926 * CHOOSE(CONTROL!$C$9, $D$9, 100%, $F$9) + CHOOSE(CONTROL!$C$27, 0.0021, 0)</f>
        <v>27.5947</v>
      </c>
      <c r="F105" s="17">
        <f>27.5926 * CHOOSE(CONTROL!$C$9, $D$9, 100%, $F$9) + CHOOSE(CONTROL!$C$27, 0.0021, 0)</f>
        <v>27.5947</v>
      </c>
      <c r="G105" s="17">
        <f>27.864 * CHOOSE(CONTROL!$C$9, $D$9, 100%, $F$9) + CHOOSE(CONTROL!$C$27, 0.0021, 0)</f>
        <v>27.866099999999999</v>
      </c>
      <c r="H105" s="17">
        <f>27.7293 * CHOOSE(CONTROL!$C$9, $D$9, 100%, $F$9) + CHOOSE(CONTROL!$C$27, 0.0021, 0)</f>
        <v>27.731399999999997</v>
      </c>
      <c r="I105" s="17">
        <f>27.7293 * CHOOSE(CONTROL!$C$9, $D$9, 100%, $F$9) + CHOOSE(CONTROL!$C$27, 0.0021, 0)</f>
        <v>27.731399999999997</v>
      </c>
      <c r="J105" s="17">
        <f>27.7293 * CHOOSE(CONTROL!$C$9, $D$9, 100%, $F$9) + CHOOSE(CONTROL!$C$27, 0.0021, 0)</f>
        <v>27.731399999999997</v>
      </c>
      <c r="K105" s="17">
        <f>27.7293 * CHOOSE(CONTROL!$C$9, $D$9, 100%, $F$9) + CHOOSE(CONTROL!$C$27, 0.0021, 0)</f>
        <v>27.731399999999997</v>
      </c>
      <c r="L105" s="17"/>
    </row>
    <row r="106" spans="1:12" ht="15" x14ac:dyDescent="0.2">
      <c r="A106" s="16">
        <v>44136</v>
      </c>
      <c r="B106" s="17">
        <f>28.2747 * CHOOSE(CONTROL!$C$9, $D$9, 100%, $F$9) + CHOOSE(CONTROL!$C$27, 0.0021, 0)</f>
        <v>28.276799999999998</v>
      </c>
      <c r="C106" s="17">
        <f>27.8424 * CHOOSE(CONTROL!$C$9, $D$9, 100%, $F$9) + CHOOSE(CONTROL!$C$27, 0.0021, 0)</f>
        <v>27.8445</v>
      </c>
      <c r="D106" s="17">
        <f>27.8424 * CHOOSE(CONTROL!$C$9, $D$9, 100%, $F$9) + CHOOSE(CONTROL!$C$27, 0.0021, 0)</f>
        <v>27.8445</v>
      </c>
      <c r="E106" s="17">
        <f>27.7058 * CHOOSE(CONTROL!$C$9, $D$9, 100%, $F$9) + CHOOSE(CONTROL!$C$27, 0.0021, 0)</f>
        <v>27.707899999999999</v>
      </c>
      <c r="F106" s="17">
        <f>27.7058 * CHOOSE(CONTROL!$C$9, $D$9, 100%, $F$9) + CHOOSE(CONTROL!$C$27, 0.0021, 0)</f>
        <v>27.707899999999999</v>
      </c>
      <c r="G106" s="17">
        <f>27.9772 * CHOOSE(CONTROL!$C$9, $D$9, 100%, $F$9) + CHOOSE(CONTROL!$C$27, 0.0021, 0)</f>
        <v>27.979299999999999</v>
      </c>
      <c r="H106" s="17">
        <f>27.8424 * CHOOSE(CONTROL!$C$9, $D$9, 100%, $F$9) + CHOOSE(CONTROL!$C$27, 0.0021, 0)</f>
        <v>27.8445</v>
      </c>
      <c r="I106" s="17">
        <f>27.8424 * CHOOSE(CONTROL!$C$9, $D$9, 100%, $F$9) + CHOOSE(CONTROL!$C$27, 0.0021, 0)</f>
        <v>27.8445</v>
      </c>
      <c r="J106" s="17">
        <f>27.8424 * CHOOSE(CONTROL!$C$9, $D$9, 100%, $F$9) + CHOOSE(CONTROL!$C$27, 0.0021, 0)</f>
        <v>27.8445</v>
      </c>
      <c r="K106" s="17">
        <f>27.8424 * CHOOSE(CONTROL!$C$9, $D$9, 100%, $F$9) + CHOOSE(CONTROL!$C$27, 0.0021, 0)</f>
        <v>27.8445</v>
      </c>
      <c r="L106" s="17"/>
    </row>
    <row r="107" spans="1:12" ht="15" x14ac:dyDescent="0.2">
      <c r="A107" s="16">
        <v>44166</v>
      </c>
      <c r="B107" s="17">
        <f>27.8177 * CHOOSE(CONTROL!$C$9, $D$9, 100%, $F$9) + CHOOSE(CONTROL!$C$27, 0.0021, 0)</f>
        <v>27.819799999999997</v>
      </c>
      <c r="C107" s="17">
        <f>27.3855 * CHOOSE(CONTROL!$C$9, $D$9, 100%, $F$9) + CHOOSE(CONTROL!$C$27, 0.0021, 0)</f>
        <v>27.387599999999999</v>
      </c>
      <c r="D107" s="17">
        <f>27.3855 * CHOOSE(CONTROL!$C$9, $D$9, 100%, $F$9) + CHOOSE(CONTROL!$C$27, 0.0021, 0)</f>
        <v>27.387599999999999</v>
      </c>
      <c r="E107" s="17">
        <f>27.2488 * CHOOSE(CONTROL!$C$9, $D$9, 100%, $F$9) + CHOOSE(CONTROL!$C$27, 0.0021, 0)</f>
        <v>27.250899999999998</v>
      </c>
      <c r="F107" s="17">
        <f>27.2488 * CHOOSE(CONTROL!$C$9, $D$9, 100%, $F$9) + CHOOSE(CONTROL!$C$27, 0.0021, 0)</f>
        <v>27.250899999999998</v>
      </c>
      <c r="G107" s="17">
        <f>27.5202 * CHOOSE(CONTROL!$C$9, $D$9, 100%, $F$9) + CHOOSE(CONTROL!$C$27, 0.0021, 0)</f>
        <v>27.522299999999998</v>
      </c>
      <c r="H107" s="17">
        <f>27.3855 * CHOOSE(CONTROL!$C$9, $D$9, 100%, $F$9) + CHOOSE(CONTROL!$C$27, 0.0021, 0)</f>
        <v>27.387599999999999</v>
      </c>
      <c r="I107" s="17">
        <f>27.3855 * CHOOSE(CONTROL!$C$9, $D$9, 100%, $F$9) + CHOOSE(CONTROL!$C$27, 0.0021, 0)</f>
        <v>27.387599999999999</v>
      </c>
      <c r="J107" s="17">
        <f>27.3855 * CHOOSE(CONTROL!$C$9, $D$9, 100%, $F$9) + CHOOSE(CONTROL!$C$27, 0.0021, 0)</f>
        <v>27.387599999999999</v>
      </c>
      <c r="K107" s="17">
        <f>27.3855 * CHOOSE(CONTROL!$C$9, $D$9, 100%, $F$9) + CHOOSE(CONTROL!$C$27, 0.0021, 0)</f>
        <v>27.387599999999999</v>
      </c>
      <c r="L107" s="17"/>
    </row>
    <row r="108" spans="1:12" ht="15" x14ac:dyDescent="0.2">
      <c r="A108" s="16">
        <v>44197</v>
      </c>
      <c r="B108" s="17">
        <f>27.8324 * CHOOSE(CONTROL!$C$9, $D$9, 100%, $F$9) + CHOOSE(CONTROL!$C$27, 0.0021, 0)</f>
        <v>27.834499999999998</v>
      </c>
      <c r="C108" s="17">
        <f>27.4002 * CHOOSE(CONTROL!$C$9, $D$9, 100%, $F$9) + CHOOSE(CONTROL!$C$27, 0.0021, 0)</f>
        <v>27.4023</v>
      </c>
      <c r="D108" s="17">
        <f>27.4002 * CHOOSE(CONTROL!$C$9, $D$9, 100%, $F$9) + CHOOSE(CONTROL!$C$27, 0.0021, 0)</f>
        <v>27.4023</v>
      </c>
      <c r="E108" s="17">
        <f>27.2635 * CHOOSE(CONTROL!$C$9, $D$9, 100%, $F$9) + CHOOSE(CONTROL!$C$27, 0.0021, 0)</f>
        <v>27.265599999999999</v>
      </c>
      <c r="F108" s="17">
        <f>27.2635 * CHOOSE(CONTROL!$C$9, $D$9, 100%, $F$9) + CHOOSE(CONTROL!$C$27, 0.0021, 0)</f>
        <v>27.265599999999999</v>
      </c>
      <c r="G108" s="17">
        <f>27.5349 * CHOOSE(CONTROL!$C$9, $D$9, 100%, $F$9) + CHOOSE(CONTROL!$C$27, 0.0021, 0)</f>
        <v>27.536999999999999</v>
      </c>
      <c r="H108" s="17">
        <f>27.4002 * CHOOSE(CONTROL!$C$9, $D$9, 100%, $F$9) + CHOOSE(CONTROL!$C$27, 0.0021, 0)</f>
        <v>27.4023</v>
      </c>
      <c r="I108" s="17">
        <f>27.4002 * CHOOSE(CONTROL!$C$9, $D$9, 100%, $F$9) + CHOOSE(CONTROL!$C$27, 0.0021, 0)</f>
        <v>27.4023</v>
      </c>
      <c r="J108" s="17">
        <f>27.4002 * CHOOSE(CONTROL!$C$9, $D$9, 100%, $F$9) + CHOOSE(CONTROL!$C$27, 0.0021, 0)</f>
        <v>27.4023</v>
      </c>
      <c r="K108" s="17">
        <f>27.4002 * CHOOSE(CONTROL!$C$9, $D$9, 100%, $F$9) + CHOOSE(CONTROL!$C$27, 0.0021, 0)</f>
        <v>27.4023</v>
      </c>
      <c r="L108" s="17"/>
    </row>
    <row r="109" spans="1:12" ht="15" x14ac:dyDescent="0.2">
      <c r="A109" s="16">
        <v>44228</v>
      </c>
      <c r="B109" s="17">
        <f>27.1611 * CHOOSE(CONTROL!$C$9, $D$9, 100%, $F$9) + CHOOSE(CONTROL!$C$27, 0.0021, 0)</f>
        <v>27.1632</v>
      </c>
      <c r="C109" s="17">
        <f>26.7289 * CHOOSE(CONTROL!$C$9, $D$9, 100%, $F$9) + CHOOSE(CONTROL!$C$27, 0.0021, 0)</f>
        <v>26.730999999999998</v>
      </c>
      <c r="D109" s="17">
        <f>26.7289 * CHOOSE(CONTROL!$C$9, $D$9, 100%, $F$9) + CHOOSE(CONTROL!$C$27, 0.0021, 0)</f>
        <v>26.730999999999998</v>
      </c>
      <c r="E109" s="17">
        <f>26.5922 * CHOOSE(CONTROL!$C$9, $D$9, 100%, $F$9) + CHOOSE(CONTROL!$C$27, 0.0021, 0)</f>
        <v>26.594299999999997</v>
      </c>
      <c r="F109" s="17">
        <f>26.5922 * CHOOSE(CONTROL!$C$9, $D$9, 100%, $F$9) + CHOOSE(CONTROL!$C$27, 0.0021, 0)</f>
        <v>26.594299999999997</v>
      </c>
      <c r="G109" s="17">
        <f>26.8636 * CHOOSE(CONTROL!$C$9, $D$9, 100%, $F$9) + CHOOSE(CONTROL!$C$27, 0.0021, 0)</f>
        <v>26.8657</v>
      </c>
      <c r="H109" s="17">
        <f>26.7289 * CHOOSE(CONTROL!$C$9, $D$9, 100%, $F$9) + CHOOSE(CONTROL!$C$27, 0.0021, 0)</f>
        <v>26.730999999999998</v>
      </c>
      <c r="I109" s="17">
        <f>26.7289 * CHOOSE(CONTROL!$C$9, $D$9, 100%, $F$9) + CHOOSE(CONTROL!$C$27, 0.0021, 0)</f>
        <v>26.730999999999998</v>
      </c>
      <c r="J109" s="17">
        <f>26.7289 * CHOOSE(CONTROL!$C$9, $D$9, 100%, $F$9) + CHOOSE(CONTROL!$C$27, 0.0021, 0)</f>
        <v>26.730999999999998</v>
      </c>
      <c r="K109" s="17">
        <f>26.7289 * CHOOSE(CONTROL!$C$9, $D$9, 100%, $F$9) + CHOOSE(CONTROL!$C$27, 0.0021, 0)</f>
        <v>26.730999999999998</v>
      </c>
      <c r="L109" s="17"/>
    </row>
    <row r="110" spans="1:12" ht="15" x14ac:dyDescent="0.2">
      <c r="A110" s="16">
        <v>44256</v>
      </c>
      <c r="B110" s="17">
        <f>26.9129 * CHOOSE(CONTROL!$C$9, $D$9, 100%, $F$9) + CHOOSE(CONTROL!$C$27, 0.0021, 0)</f>
        <v>26.914999999999999</v>
      </c>
      <c r="C110" s="17">
        <f>26.4807 * CHOOSE(CONTROL!$C$9, $D$9, 100%, $F$9) + CHOOSE(CONTROL!$C$27, 0.0021, 0)</f>
        <v>26.482799999999997</v>
      </c>
      <c r="D110" s="17">
        <f>26.4807 * CHOOSE(CONTROL!$C$9, $D$9, 100%, $F$9) + CHOOSE(CONTROL!$C$27, 0.0021, 0)</f>
        <v>26.482799999999997</v>
      </c>
      <c r="E110" s="17">
        <f>26.344 * CHOOSE(CONTROL!$C$9, $D$9, 100%, $F$9) + CHOOSE(CONTROL!$C$27, 0.0021, 0)</f>
        <v>26.3461</v>
      </c>
      <c r="F110" s="17">
        <f>26.344 * CHOOSE(CONTROL!$C$9, $D$9, 100%, $F$9) + CHOOSE(CONTROL!$C$27, 0.0021, 0)</f>
        <v>26.3461</v>
      </c>
      <c r="G110" s="17">
        <f>26.6154 * CHOOSE(CONTROL!$C$9, $D$9, 100%, $F$9) + CHOOSE(CONTROL!$C$27, 0.0021, 0)</f>
        <v>26.6175</v>
      </c>
      <c r="H110" s="17">
        <f>26.4807 * CHOOSE(CONTROL!$C$9, $D$9, 100%, $F$9) + CHOOSE(CONTROL!$C$27, 0.0021, 0)</f>
        <v>26.482799999999997</v>
      </c>
      <c r="I110" s="17">
        <f>26.4807 * CHOOSE(CONTROL!$C$9, $D$9, 100%, $F$9) + CHOOSE(CONTROL!$C$27, 0.0021, 0)</f>
        <v>26.482799999999997</v>
      </c>
      <c r="J110" s="17">
        <f>26.4807 * CHOOSE(CONTROL!$C$9, $D$9, 100%, $F$9) + CHOOSE(CONTROL!$C$27, 0.0021, 0)</f>
        <v>26.482799999999997</v>
      </c>
      <c r="K110" s="17">
        <f>26.4807 * CHOOSE(CONTROL!$C$9, $D$9, 100%, $F$9) + CHOOSE(CONTROL!$C$27, 0.0021, 0)</f>
        <v>26.482799999999997</v>
      </c>
      <c r="L110" s="17"/>
    </row>
    <row r="111" spans="1:12" ht="15" x14ac:dyDescent="0.2">
      <c r="A111" s="16">
        <v>44287</v>
      </c>
      <c r="B111" s="17">
        <f>26.6053 * CHOOSE(CONTROL!$C$9, $D$9, 100%, $F$9) + CHOOSE(CONTROL!$C$27, 0.0021, 0)</f>
        <v>26.607399999999998</v>
      </c>
      <c r="C111" s="17">
        <f>26.1731 * CHOOSE(CONTROL!$C$9, $D$9, 100%, $F$9) + CHOOSE(CONTROL!$C$27, 0.0021, 0)</f>
        <v>26.1752</v>
      </c>
      <c r="D111" s="17">
        <f>26.1731 * CHOOSE(CONTROL!$C$9, $D$9, 100%, $F$9) + CHOOSE(CONTROL!$C$27, 0.0021, 0)</f>
        <v>26.1752</v>
      </c>
      <c r="E111" s="17">
        <f>26.0364 * CHOOSE(CONTROL!$C$9, $D$9, 100%, $F$9) + CHOOSE(CONTROL!$C$27, 0.0021, 0)</f>
        <v>26.038499999999999</v>
      </c>
      <c r="F111" s="17">
        <f>26.0364 * CHOOSE(CONTROL!$C$9, $D$9, 100%, $F$9) + CHOOSE(CONTROL!$C$27, 0.0021, 0)</f>
        <v>26.038499999999999</v>
      </c>
      <c r="G111" s="17">
        <f>26.3078 * CHOOSE(CONTROL!$C$9, $D$9, 100%, $F$9) + CHOOSE(CONTROL!$C$27, 0.0021, 0)</f>
        <v>26.309899999999999</v>
      </c>
      <c r="H111" s="17">
        <f>26.1731 * CHOOSE(CONTROL!$C$9, $D$9, 100%, $F$9) + CHOOSE(CONTROL!$C$27, 0.0021, 0)</f>
        <v>26.1752</v>
      </c>
      <c r="I111" s="17">
        <f>26.1731 * CHOOSE(CONTROL!$C$9, $D$9, 100%, $F$9) + CHOOSE(CONTROL!$C$27, 0.0021, 0)</f>
        <v>26.1752</v>
      </c>
      <c r="J111" s="17">
        <f>26.1731 * CHOOSE(CONTROL!$C$9, $D$9, 100%, $F$9) + CHOOSE(CONTROL!$C$27, 0.0021, 0)</f>
        <v>26.1752</v>
      </c>
      <c r="K111" s="17">
        <f>26.1731 * CHOOSE(CONTROL!$C$9, $D$9, 100%, $F$9) + CHOOSE(CONTROL!$C$27, 0.0021, 0)</f>
        <v>26.1752</v>
      </c>
      <c r="L111" s="17"/>
    </row>
    <row r="112" spans="1:12" ht="15" x14ac:dyDescent="0.2">
      <c r="A112" s="16">
        <v>44317</v>
      </c>
      <c r="B112" s="17">
        <f>27.1671 * CHOOSE(CONTROL!$C$9, $D$9, 100%, $F$9) + CHOOSE(CONTROL!$C$27, 0.0021, 0)</f>
        <v>27.1692</v>
      </c>
      <c r="C112" s="17">
        <f>26.7348 * CHOOSE(CONTROL!$C$9, $D$9, 100%, $F$9) + CHOOSE(CONTROL!$C$27, 0.0021, 0)</f>
        <v>26.736899999999999</v>
      </c>
      <c r="D112" s="17">
        <f>26.7348 * CHOOSE(CONTROL!$C$9, $D$9, 100%, $F$9) + CHOOSE(CONTROL!$C$27, 0.0021, 0)</f>
        <v>26.736899999999999</v>
      </c>
      <c r="E112" s="17">
        <f>26.5982 * CHOOSE(CONTROL!$C$9, $D$9, 100%, $F$9) + CHOOSE(CONTROL!$C$27, 0.0021, 0)</f>
        <v>26.600299999999997</v>
      </c>
      <c r="F112" s="17">
        <f>26.5982 * CHOOSE(CONTROL!$C$9, $D$9, 100%, $F$9) + CHOOSE(CONTROL!$C$27, 0.0021, 0)</f>
        <v>26.600299999999997</v>
      </c>
      <c r="G112" s="17">
        <f>26.8695 * CHOOSE(CONTROL!$C$9, $D$9, 100%, $F$9) + CHOOSE(CONTROL!$C$27, 0.0021, 0)</f>
        <v>26.871599999999997</v>
      </c>
      <c r="H112" s="17">
        <f>26.7348 * CHOOSE(CONTROL!$C$9, $D$9, 100%, $F$9) + CHOOSE(CONTROL!$C$27, 0.0021, 0)</f>
        <v>26.736899999999999</v>
      </c>
      <c r="I112" s="17">
        <f>26.7348 * CHOOSE(CONTROL!$C$9, $D$9, 100%, $F$9) + CHOOSE(CONTROL!$C$27, 0.0021, 0)</f>
        <v>26.736899999999999</v>
      </c>
      <c r="J112" s="17">
        <f>26.7348 * CHOOSE(CONTROL!$C$9, $D$9, 100%, $F$9) + CHOOSE(CONTROL!$C$27, 0.0021, 0)</f>
        <v>26.736899999999999</v>
      </c>
      <c r="K112" s="17">
        <f>26.7348 * CHOOSE(CONTROL!$C$9, $D$9, 100%, $F$9) + CHOOSE(CONTROL!$C$27, 0.0021, 0)</f>
        <v>26.736899999999999</v>
      </c>
      <c r="L112" s="17"/>
    </row>
    <row r="113" spans="1:12" ht="15" x14ac:dyDescent="0.2">
      <c r="A113" s="16">
        <v>44348</v>
      </c>
      <c r="B113" s="17">
        <f>27.5254 * CHOOSE(CONTROL!$C$9, $D$9, 100%, $F$9) + CHOOSE(CONTROL!$C$27, 0.0021, 0)</f>
        <v>27.5275</v>
      </c>
      <c r="C113" s="17">
        <f>27.0931 * CHOOSE(CONTROL!$C$9, $D$9, 100%, $F$9) + CHOOSE(CONTROL!$C$27, 0.0021, 0)</f>
        <v>27.095199999999998</v>
      </c>
      <c r="D113" s="17">
        <f>27.0931 * CHOOSE(CONTROL!$C$9, $D$9, 100%, $F$9) + CHOOSE(CONTROL!$C$27, 0.0021, 0)</f>
        <v>27.095199999999998</v>
      </c>
      <c r="E113" s="17">
        <f>26.9565 * CHOOSE(CONTROL!$C$9, $D$9, 100%, $F$9) + CHOOSE(CONTROL!$C$27, 0.0021, 0)</f>
        <v>26.958599999999997</v>
      </c>
      <c r="F113" s="17">
        <f>26.9565 * CHOOSE(CONTROL!$C$9, $D$9, 100%, $F$9) + CHOOSE(CONTROL!$C$27, 0.0021, 0)</f>
        <v>26.958599999999997</v>
      </c>
      <c r="G113" s="17">
        <f>27.2278 * CHOOSE(CONTROL!$C$9, $D$9, 100%, $F$9) + CHOOSE(CONTROL!$C$27, 0.0021, 0)</f>
        <v>27.229899999999997</v>
      </c>
      <c r="H113" s="17">
        <f>27.0931 * CHOOSE(CONTROL!$C$9, $D$9, 100%, $F$9) + CHOOSE(CONTROL!$C$27, 0.0021, 0)</f>
        <v>27.095199999999998</v>
      </c>
      <c r="I113" s="17">
        <f>27.0931 * CHOOSE(CONTROL!$C$9, $D$9, 100%, $F$9) + CHOOSE(CONTROL!$C$27, 0.0021, 0)</f>
        <v>27.095199999999998</v>
      </c>
      <c r="J113" s="17">
        <f>27.0931 * CHOOSE(CONTROL!$C$9, $D$9, 100%, $F$9) + CHOOSE(CONTROL!$C$27, 0.0021, 0)</f>
        <v>27.095199999999998</v>
      </c>
      <c r="K113" s="17">
        <f>27.0931 * CHOOSE(CONTROL!$C$9, $D$9, 100%, $F$9) + CHOOSE(CONTROL!$C$27, 0.0021, 0)</f>
        <v>27.095199999999998</v>
      </c>
      <c r="L113" s="17"/>
    </row>
    <row r="114" spans="1:12" ht="15" x14ac:dyDescent="0.2">
      <c r="A114" s="16">
        <v>44378</v>
      </c>
      <c r="B114" s="17">
        <f>28.085 * CHOOSE(CONTROL!$C$9, $D$9, 100%, $F$9) + CHOOSE(CONTROL!$C$27, 0.0021, 0)</f>
        <v>28.0871</v>
      </c>
      <c r="C114" s="17">
        <f>27.6527 * CHOOSE(CONTROL!$C$9, $D$9, 100%, $F$9) + CHOOSE(CONTROL!$C$27, 0.0021, 0)</f>
        <v>27.654799999999998</v>
      </c>
      <c r="D114" s="17">
        <f>27.6527 * CHOOSE(CONTROL!$C$9, $D$9, 100%, $F$9) + CHOOSE(CONTROL!$C$27, 0.0021, 0)</f>
        <v>27.654799999999998</v>
      </c>
      <c r="E114" s="17">
        <f>27.5161 * CHOOSE(CONTROL!$C$9, $D$9, 100%, $F$9) + CHOOSE(CONTROL!$C$27, 0.0021, 0)</f>
        <v>27.5182</v>
      </c>
      <c r="F114" s="17">
        <f>27.5161 * CHOOSE(CONTROL!$C$9, $D$9, 100%, $F$9) + CHOOSE(CONTROL!$C$27, 0.0021, 0)</f>
        <v>27.5182</v>
      </c>
      <c r="G114" s="17">
        <f>27.7874 * CHOOSE(CONTROL!$C$9, $D$9, 100%, $F$9) + CHOOSE(CONTROL!$C$27, 0.0021, 0)</f>
        <v>27.7895</v>
      </c>
      <c r="H114" s="17">
        <f>27.6527 * CHOOSE(CONTROL!$C$9, $D$9, 100%, $F$9) + CHOOSE(CONTROL!$C$27, 0.0021, 0)</f>
        <v>27.654799999999998</v>
      </c>
      <c r="I114" s="17">
        <f>27.6527 * CHOOSE(CONTROL!$C$9, $D$9, 100%, $F$9) + CHOOSE(CONTROL!$C$27, 0.0021, 0)</f>
        <v>27.654799999999998</v>
      </c>
      <c r="J114" s="17">
        <f>27.6527 * CHOOSE(CONTROL!$C$9, $D$9, 100%, $F$9) + CHOOSE(CONTROL!$C$27, 0.0021, 0)</f>
        <v>27.654799999999998</v>
      </c>
      <c r="K114" s="17">
        <f>27.6527 * CHOOSE(CONTROL!$C$9, $D$9, 100%, $F$9) + CHOOSE(CONTROL!$C$27, 0.0021, 0)</f>
        <v>27.654799999999998</v>
      </c>
      <c r="L114" s="17"/>
    </row>
    <row r="115" spans="1:12" ht="15" x14ac:dyDescent="0.2">
      <c r="A115" s="16">
        <v>44409</v>
      </c>
      <c r="B115" s="17">
        <f>28.2934 * CHOOSE(CONTROL!$C$9, $D$9, 100%, $F$9) + CHOOSE(CONTROL!$C$27, 0.0021, 0)</f>
        <v>28.295499999999997</v>
      </c>
      <c r="C115" s="17">
        <f>27.8611 * CHOOSE(CONTROL!$C$9, $D$9, 100%, $F$9) + CHOOSE(CONTROL!$C$27, 0.0021, 0)</f>
        <v>27.863199999999999</v>
      </c>
      <c r="D115" s="17">
        <f>27.8611 * CHOOSE(CONTROL!$C$9, $D$9, 100%, $F$9) + CHOOSE(CONTROL!$C$27, 0.0021, 0)</f>
        <v>27.863199999999999</v>
      </c>
      <c r="E115" s="17">
        <f>27.7244 * CHOOSE(CONTROL!$C$9, $D$9, 100%, $F$9) + CHOOSE(CONTROL!$C$27, 0.0021, 0)</f>
        <v>27.726499999999998</v>
      </c>
      <c r="F115" s="17">
        <f>27.7244 * CHOOSE(CONTROL!$C$9, $D$9, 100%, $F$9) + CHOOSE(CONTROL!$C$27, 0.0021, 0)</f>
        <v>27.726499999999998</v>
      </c>
      <c r="G115" s="17">
        <f>27.9958 * CHOOSE(CONTROL!$C$9, $D$9, 100%, $F$9) + CHOOSE(CONTROL!$C$27, 0.0021, 0)</f>
        <v>27.997899999999998</v>
      </c>
      <c r="H115" s="17">
        <f>27.8611 * CHOOSE(CONTROL!$C$9, $D$9, 100%, $F$9) + CHOOSE(CONTROL!$C$27, 0.0021, 0)</f>
        <v>27.863199999999999</v>
      </c>
      <c r="I115" s="17">
        <f>27.8611 * CHOOSE(CONTROL!$C$9, $D$9, 100%, $F$9) + CHOOSE(CONTROL!$C$27, 0.0021, 0)</f>
        <v>27.863199999999999</v>
      </c>
      <c r="J115" s="17">
        <f>27.8611 * CHOOSE(CONTROL!$C$9, $D$9, 100%, $F$9) + CHOOSE(CONTROL!$C$27, 0.0021, 0)</f>
        <v>27.863199999999999</v>
      </c>
      <c r="K115" s="17">
        <f>27.8611 * CHOOSE(CONTROL!$C$9, $D$9, 100%, $F$9) + CHOOSE(CONTROL!$C$27, 0.0021, 0)</f>
        <v>27.863199999999999</v>
      </c>
      <c r="L115" s="17"/>
    </row>
    <row r="116" spans="1:12" ht="15" x14ac:dyDescent="0.2">
      <c r="A116" s="16">
        <v>44440</v>
      </c>
      <c r="B116" s="17">
        <f>28.8767 * CHOOSE(CONTROL!$C$9, $D$9, 100%, $F$9) + CHOOSE(CONTROL!$C$27, 0.0021, 0)</f>
        <v>28.878799999999998</v>
      </c>
      <c r="C116" s="17">
        <f>28.4445 * CHOOSE(CONTROL!$C$9, $D$9, 100%, $F$9) + CHOOSE(CONTROL!$C$27, 0.0021, 0)</f>
        <v>28.4466</v>
      </c>
      <c r="D116" s="17">
        <f>28.4445 * CHOOSE(CONTROL!$C$9, $D$9, 100%, $F$9) + CHOOSE(CONTROL!$C$27, 0.0021, 0)</f>
        <v>28.4466</v>
      </c>
      <c r="E116" s="17">
        <f>28.3078 * CHOOSE(CONTROL!$C$9, $D$9, 100%, $F$9) + CHOOSE(CONTROL!$C$27, 0.0021, 0)</f>
        <v>28.309899999999999</v>
      </c>
      <c r="F116" s="17">
        <f>28.3078 * CHOOSE(CONTROL!$C$9, $D$9, 100%, $F$9) + CHOOSE(CONTROL!$C$27, 0.0021, 0)</f>
        <v>28.309899999999999</v>
      </c>
      <c r="G116" s="17">
        <f>28.5792 * CHOOSE(CONTROL!$C$9, $D$9, 100%, $F$9) + CHOOSE(CONTROL!$C$27, 0.0021, 0)</f>
        <v>28.581299999999999</v>
      </c>
      <c r="H116" s="17">
        <f>28.4445 * CHOOSE(CONTROL!$C$9, $D$9, 100%, $F$9) + CHOOSE(CONTROL!$C$27, 0.0021, 0)</f>
        <v>28.4466</v>
      </c>
      <c r="I116" s="17">
        <f>28.4445 * CHOOSE(CONTROL!$C$9, $D$9, 100%, $F$9) + CHOOSE(CONTROL!$C$27, 0.0021, 0)</f>
        <v>28.4466</v>
      </c>
      <c r="J116" s="17">
        <f>28.4445 * CHOOSE(CONTROL!$C$9, $D$9, 100%, $F$9) + CHOOSE(CONTROL!$C$27, 0.0021, 0)</f>
        <v>28.4466</v>
      </c>
      <c r="K116" s="17">
        <f>28.4445 * CHOOSE(CONTROL!$C$9, $D$9, 100%, $F$9) + CHOOSE(CONTROL!$C$27, 0.0021, 0)</f>
        <v>28.4466</v>
      </c>
      <c r="L116" s="17"/>
    </row>
    <row r="117" spans="1:12" ht="15" x14ac:dyDescent="0.2">
      <c r="A117" s="16">
        <v>44470</v>
      </c>
      <c r="B117" s="17">
        <f>29.6035 * CHOOSE(CONTROL!$C$9, $D$9, 100%, $F$9) + CHOOSE(CONTROL!$C$27, 0.0021, 0)</f>
        <v>29.605599999999999</v>
      </c>
      <c r="C117" s="17">
        <f>29.1713 * CHOOSE(CONTROL!$C$9, $D$9, 100%, $F$9) + CHOOSE(CONTROL!$C$27, 0.0021, 0)</f>
        <v>29.173399999999997</v>
      </c>
      <c r="D117" s="17">
        <f>29.1713 * CHOOSE(CONTROL!$C$9, $D$9, 100%, $F$9) + CHOOSE(CONTROL!$C$27, 0.0021, 0)</f>
        <v>29.173399999999997</v>
      </c>
      <c r="E117" s="17">
        <f>29.0346 * CHOOSE(CONTROL!$C$9, $D$9, 100%, $F$9) + CHOOSE(CONTROL!$C$27, 0.0021, 0)</f>
        <v>29.0367</v>
      </c>
      <c r="F117" s="17">
        <f>29.0346 * CHOOSE(CONTROL!$C$9, $D$9, 100%, $F$9) + CHOOSE(CONTROL!$C$27, 0.0021, 0)</f>
        <v>29.0367</v>
      </c>
      <c r="G117" s="17">
        <f>29.306 * CHOOSE(CONTROL!$C$9, $D$9, 100%, $F$9) + CHOOSE(CONTROL!$C$27, 0.0021, 0)</f>
        <v>29.3081</v>
      </c>
      <c r="H117" s="17">
        <f>29.1713 * CHOOSE(CONTROL!$C$9, $D$9, 100%, $F$9) + CHOOSE(CONTROL!$C$27, 0.0021, 0)</f>
        <v>29.173399999999997</v>
      </c>
      <c r="I117" s="17">
        <f>29.1713 * CHOOSE(CONTROL!$C$9, $D$9, 100%, $F$9) + CHOOSE(CONTROL!$C$27, 0.0021, 0)</f>
        <v>29.173399999999997</v>
      </c>
      <c r="J117" s="17">
        <f>29.1713 * CHOOSE(CONTROL!$C$9, $D$9, 100%, $F$9) + CHOOSE(CONTROL!$C$27, 0.0021, 0)</f>
        <v>29.173399999999997</v>
      </c>
      <c r="K117" s="17">
        <f>29.1713 * CHOOSE(CONTROL!$C$9, $D$9, 100%, $F$9) + CHOOSE(CONTROL!$C$27, 0.0021, 0)</f>
        <v>29.173399999999997</v>
      </c>
      <c r="L117" s="17"/>
    </row>
    <row r="118" spans="1:12" ht="15" x14ac:dyDescent="0.2">
      <c r="A118" s="16">
        <v>44501</v>
      </c>
      <c r="B118" s="17">
        <f>29.723 * CHOOSE(CONTROL!$C$9, $D$9, 100%, $F$9) + CHOOSE(CONTROL!$C$27, 0.0021, 0)</f>
        <v>29.725099999999998</v>
      </c>
      <c r="C118" s="17">
        <f>29.2908 * CHOOSE(CONTROL!$C$9, $D$9, 100%, $F$9) + CHOOSE(CONTROL!$C$27, 0.0021, 0)</f>
        <v>29.292899999999999</v>
      </c>
      <c r="D118" s="17">
        <f>29.2908 * CHOOSE(CONTROL!$C$9, $D$9, 100%, $F$9) + CHOOSE(CONTROL!$C$27, 0.0021, 0)</f>
        <v>29.292899999999999</v>
      </c>
      <c r="E118" s="17">
        <f>29.1541 * CHOOSE(CONTROL!$C$9, $D$9, 100%, $F$9) + CHOOSE(CONTROL!$C$27, 0.0021, 0)</f>
        <v>29.156199999999998</v>
      </c>
      <c r="F118" s="17">
        <f>29.1541 * CHOOSE(CONTROL!$C$9, $D$9, 100%, $F$9) + CHOOSE(CONTROL!$C$27, 0.0021, 0)</f>
        <v>29.156199999999998</v>
      </c>
      <c r="G118" s="17">
        <f>29.4255 * CHOOSE(CONTROL!$C$9, $D$9, 100%, $F$9) + CHOOSE(CONTROL!$C$27, 0.0021, 0)</f>
        <v>29.427599999999998</v>
      </c>
      <c r="H118" s="17">
        <f>29.2908 * CHOOSE(CONTROL!$C$9, $D$9, 100%, $F$9) + CHOOSE(CONTROL!$C$27, 0.0021, 0)</f>
        <v>29.292899999999999</v>
      </c>
      <c r="I118" s="17">
        <f>29.2908 * CHOOSE(CONTROL!$C$9, $D$9, 100%, $F$9) + CHOOSE(CONTROL!$C$27, 0.0021, 0)</f>
        <v>29.292899999999999</v>
      </c>
      <c r="J118" s="17">
        <f>29.2908 * CHOOSE(CONTROL!$C$9, $D$9, 100%, $F$9) + CHOOSE(CONTROL!$C$27, 0.0021, 0)</f>
        <v>29.292899999999999</v>
      </c>
      <c r="K118" s="17">
        <f>29.2908 * CHOOSE(CONTROL!$C$9, $D$9, 100%, $F$9) + CHOOSE(CONTROL!$C$27, 0.0021, 0)</f>
        <v>29.292899999999999</v>
      </c>
      <c r="L118" s="17"/>
    </row>
    <row r="119" spans="1:12" ht="15" x14ac:dyDescent="0.2">
      <c r="A119" s="16">
        <v>44531</v>
      </c>
      <c r="B119" s="17">
        <f>29.2405 * CHOOSE(CONTROL!$C$9, $D$9, 100%, $F$9) + CHOOSE(CONTROL!$C$27, 0.0021, 0)</f>
        <v>29.242599999999999</v>
      </c>
      <c r="C119" s="17">
        <f>28.8083 * CHOOSE(CONTROL!$C$9, $D$9, 100%, $F$9) + CHOOSE(CONTROL!$C$27, 0.0021, 0)</f>
        <v>28.810399999999998</v>
      </c>
      <c r="D119" s="17">
        <f>28.8083 * CHOOSE(CONTROL!$C$9, $D$9, 100%, $F$9) + CHOOSE(CONTROL!$C$27, 0.0021, 0)</f>
        <v>28.810399999999998</v>
      </c>
      <c r="E119" s="17">
        <f>28.6716 * CHOOSE(CONTROL!$C$9, $D$9, 100%, $F$9) + CHOOSE(CONTROL!$C$27, 0.0021, 0)</f>
        <v>28.6737</v>
      </c>
      <c r="F119" s="17">
        <f>28.6716 * CHOOSE(CONTROL!$C$9, $D$9, 100%, $F$9) + CHOOSE(CONTROL!$C$27, 0.0021, 0)</f>
        <v>28.6737</v>
      </c>
      <c r="G119" s="17">
        <f>28.943 * CHOOSE(CONTROL!$C$9, $D$9, 100%, $F$9) + CHOOSE(CONTROL!$C$27, 0.0021, 0)</f>
        <v>28.9451</v>
      </c>
      <c r="H119" s="17">
        <f>28.8083 * CHOOSE(CONTROL!$C$9, $D$9, 100%, $F$9) + CHOOSE(CONTROL!$C$27, 0.0021, 0)</f>
        <v>28.810399999999998</v>
      </c>
      <c r="I119" s="17">
        <f>28.8083 * CHOOSE(CONTROL!$C$9, $D$9, 100%, $F$9) + CHOOSE(CONTROL!$C$27, 0.0021, 0)</f>
        <v>28.810399999999998</v>
      </c>
      <c r="J119" s="17">
        <f>28.8083 * CHOOSE(CONTROL!$C$9, $D$9, 100%, $F$9) + CHOOSE(CONTROL!$C$27, 0.0021, 0)</f>
        <v>28.810399999999998</v>
      </c>
      <c r="K119" s="17">
        <f>28.8083 * CHOOSE(CONTROL!$C$9, $D$9, 100%, $F$9) + CHOOSE(CONTROL!$C$27, 0.0021, 0)</f>
        <v>28.810399999999998</v>
      </c>
      <c r="L119" s="17"/>
    </row>
    <row r="120" spans="1:12" ht="15" x14ac:dyDescent="0.2">
      <c r="A120" s="16">
        <v>44562</v>
      </c>
      <c r="B120" s="17">
        <f>29.2825 * CHOOSE(CONTROL!$C$9, $D$9, 100%, $F$9) + CHOOSE(CONTROL!$C$27, 0.0021, 0)</f>
        <v>29.284599999999998</v>
      </c>
      <c r="C120" s="17">
        <f>28.8503 * CHOOSE(CONTROL!$C$9, $D$9, 100%, $F$9) + CHOOSE(CONTROL!$C$27, 0.0021, 0)</f>
        <v>28.852399999999999</v>
      </c>
      <c r="D120" s="17">
        <f>28.8503 * CHOOSE(CONTROL!$C$9, $D$9, 100%, $F$9) + CHOOSE(CONTROL!$C$27, 0.0021, 0)</f>
        <v>28.852399999999999</v>
      </c>
      <c r="E120" s="17">
        <f>28.7136 * CHOOSE(CONTROL!$C$9, $D$9, 100%, $F$9) + CHOOSE(CONTROL!$C$27, 0.0021, 0)</f>
        <v>28.715699999999998</v>
      </c>
      <c r="F120" s="17">
        <f>28.7136 * CHOOSE(CONTROL!$C$9, $D$9, 100%, $F$9) + CHOOSE(CONTROL!$C$27, 0.0021, 0)</f>
        <v>28.715699999999998</v>
      </c>
      <c r="G120" s="17">
        <f>28.985 * CHOOSE(CONTROL!$C$9, $D$9, 100%, $F$9) + CHOOSE(CONTROL!$C$27, 0.0021, 0)</f>
        <v>28.987099999999998</v>
      </c>
      <c r="H120" s="17">
        <f>28.8503 * CHOOSE(CONTROL!$C$9, $D$9, 100%, $F$9) + CHOOSE(CONTROL!$C$27, 0.0021, 0)</f>
        <v>28.852399999999999</v>
      </c>
      <c r="I120" s="17">
        <f>28.8503 * CHOOSE(CONTROL!$C$9, $D$9, 100%, $F$9) + CHOOSE(CONTROL!$C$27, 0.0021, 0)</f>
        <v>28.852399999999999</v>
      </c>
      <c r="J120" s="17">
        <f>28.8503 * CHOOSE(CONTROL!$C$9, $D$9, 100%, $F$9) + CHOOSE(CONTROL!$C$27, 0.0021, 0)</f>
        <v>28.852399999999999</v>
      </c>
      <c r="K120" s="17">
        <f>28.8503 * CHOOSE(CONTROL!$C$9, $D$9, 100%, $F$9) + CHOOSE(CONTROL!$C$27, 0.0021, 0)</f>
        <v>28.852399999999999</v>
      </c>
      <c r="L120" s="17"/>
    </row>
    <row r="121" spans="1:12" ht="15" x14ac:dyDescent="0.2">
      <c r="A121" s="16">
        <v>44593</v>
      </c>
      <c r="B121" s="17">
        <f>28.5731 * CHOOSE(CONTROL!$C$9, $D$9, 100%, $F$9) + CHOOSE(CONTROL!$C$27, 0.0021, 0)</f>
        <v>28.575199999999999</v>
      </c>
      <c r="C121" s="17">
        <f>28.1409 * CHOOSE(CONTROL!$C$9, $D$9, 100%, $F$9) + CHOOSE(CONTROL!$C$27, 0.0021, 0)</f>
        <v>28.142999999999997</v>
      </c>
      <c r="D121" s="17">
        <f>28.1409 * CHOOSE(CONTROL!$C$9, $D$9, 100%, $F$9) + CHOOSE(CONTROL!$C$27, 0.0021, 0)</f>
        <v>28.142999999999997</v>
      </c>
      <c r="E121" s="17">
        <f>28.0042 * CHOOSE(CONTROL!$C$9, $D$9, 100%, $F$9) + CHOOSE(CONTROL!$C$27, 0.0021, 0)</f>
        <v>28.0063</v>
      </c>
      <c r="F121" s="17">
        <f>28.0042 * CHOOSE(CONTROL!$C$9, $D$9, 100%, $F$9) + CHOOSE(CONTROL!$C$27, 0.0021, 0)</f>
        <v>28.0063</v>
      </c>
      <c r="G121" s="17">
        <f>28.2756 * CHOOSE(CONTROL!$C$9, $D$9, 100%, $F$9) + CHOOSE(CONTROL!$C$27, 0.0021, 0)</f>
        <v>28.277699999999999</v>
      </c>
      <c r="H121" s="17">
        <f>28.1409 * CHOOSE(CONTROL!$C$9, $D$9, 100%, $F$9) + CHOOSE(CONTROL!$C$27, 0.0021, 0)</f>
        <v>28.142999999999997</v>
      </c>
      <c r="I121" s="17">
        <f>28.1409 * CHOOSE(CONTROL!$C$9, $D$9, 100%, $F$9) + CHOOSE(CONTROL!$C$27, 0.0021, 0)</f>
        <v>28.142999999999997</v>
      </c>
      <c r="J121" s="17">
        <f>28.1409 * CHOOSE(CONTROL!$C$9, $D$9, 100%, $F$9) + CHOOSE(CONTROL!$C$27, 0.0021, 0)</f>
        <v>28.142999999999997</v>
      </c>
      <c r="K121" s="17">
        <f>28.1409 * CHOOSE(CONTROL!$C$9, $D$9, 100%, $F$9) + CHOOSE(CONTROL!$C$27, 0.0021, 0)</f>
        <v>28.142999999999997</v>
      </c>
      <c r="L121" s="17"/>
    </row>
    <row r="122" spans="1:12" ht="15" x14ac:dyDescent="0.2">
      <c r="A122" s="16">
        <v>44621</v>
      </c>
      <c r="B122" s="17">
        <f>28.3108 * CHOOSE(CONTROL!$C$9, $D$9, 100%, $F$9) + CHOOSE(CONTROL!$C$27, 0.0021, 0)</f>
        <v>28.312899999999999</v>
      </c>
      <c r="C122" s="17">
        <f>27.8786 * CHOOSE(CONTROL!$C$9, $D$9, 100%, $F$9) + CHOOSE(CONTROL!$C$27, 0.0021, 0)</f>
        <v>27.880699999999997</v>
      </c>
      <c r="D122" s="17">
        <f>27.8786 * CHOOSE(CONTROL!$C$9, $D$9, 100%, $F$9) + CHOOSE(CONTROL!$C$27, 0.0021, 0)</f>
        <v>27.880699999999997</v>
      </c>
      <c r="E122" s="17">
        <f>27.7419 * CHOOSE(CONTROL!$C$9, $D$9, 100%, $F$9) + CHOOSE(CONTROL!$C$27, 0.0021, 0)</f>
        <v>27.744</v>
      </c>
      <c r="F122" s="17">
        <f>27.7419 * CHOOSE(CONTROL!$C$9, $D$9, 100%, $F$9) + CHOOSE(CONTROL!$C$27, 0.0021, 0)</f>
        <v>27.744</v>
      </c>
      <c r="G122" s="17">
        <f>28.0133 * CHOOSE(CONTROL!$C$9, $D$9, 100%, $F$9) + CHOOSE(CONTROL!$C$27, 0.0021, 0)</f>
        <v>28.0154</v>
      </c>
      <c r="H122" s="17">
        <f>27.8786 * CHOOSE(CONTROL!$C$9, $D$9, 100%, $F$9) + CHOOSE(CONTROL!$C$27, 0.0021, 0)</f>
        <v>27.880699999999997</v>
      </c>
      <c r="I122" s="17">
        <f>27.8786 * CHOOSE(CONTROL!$C$9, $D$9, 100%, $F$9) + CHOOSE(CONTROL!$C$27, 0.0021, 0)</f>
        <v>27.880699999999997</v>
      </c>
      <c r="J122" s="17">
        <f>27.8786 * CHOOSE(CONTROL!$C$9, $D$9, 100%, $F$9) + CHOOSE(CONTROL!$C$27, 0.0021, 0)</f>
        <v>27.880699999999997</v>
      </c>
      <c r="K122" s="17">
        <f>27.8786 * CHOOSE(CONTROL!$C$9, $D$9, 100%, $F$9) + CHOOSE(CONTROL!$C$27, 0.0021, 0)</f>
        <v>27.880699999999997</v>
      </c>
      <c r="L122" s="17"/>
    </row>
    <row r="123" spans="1:12" ht="15" x14ac:dyDescent="0.2">
      <c r="A123" s="16">
        <v>44652</v>
      </c>
      <c r="B123" s="17">
        <f>27.9858 * CHOOSE(CONTROL!$C$9, $D$9, 100%, $F$9) + CHOOSE(CONTROL!$C$27, 0.0021, 0)</f>
        <v>27.9879</v>
      </c>
      <c r="C123" s="17">
        <f>27.5536 * CHOOSE(CONTROL!$C$9, $D$9, 100%, $F$9) + CHOOSE(CONTROL!$C$27, 0.0021, 0)</f>
        <v>27.555699999999998</v>
      </c>
      <c r="D123" s="17">
        <f>27.5536 * CHOOSE(CONTROL!$C$9, $D$9, 100%, $F$9) + CHOOSE(CONTROL!$C$27, 0.0021, 0)</f>
        <v>27.555699999999998</v>
      </c>
      <c r="E123" s="17">
        <f>27.4169 * CHOOSE(CONTROL!$C$9, $D$9, 100%, $F$9) + CHOOSE(CONTROL!$C$27, 0.0021, 0)</f>
        <v>27.418999999999997</v>
      </c>
      <c r="F123" s="17">
        <f>27.4169 * CHOOSE(CONTROL!$C$9, $D$9, 100%, $F$9) + CHOOSE(CONTROL!$C$27, 0.0021, 0)</f>
        <v>27.418999999999997</v>
      </c>
      <c r="G123" s="17">
        <f>27.6883 * CHOOSE(CONTROL!$C$9, $D$9, 100%, $F$9) + CHOOSE(CONTROL!$C$27, 0.0021, 0)</f>
        <v>27.6904</v>
      </c>
      <c r="H123" s="17">
        <f>27.5536 * CHOOSE(CONTROL!$C$9, $D$9, 100%, $F$9) + CHOOSE(CONTROL!$C$27, 0.0021, 0)</f>
        <v>27.555699999999998</v>
      </c>
      <c r="I123" s="17">
        <f>27.5536 * CHOOSE(CONTROL!$C$9, $D$9, 100%, $F$9) + CHOOSE(CONTROL!$C$27, 0.0021, 0)</f>
        <v>27.555699999999998</v>
      </c>
      <c r="J123" s="17">
        <f>27.5536 * CHOOSE(CONTROL!$C$9, $D$9, 100%, $F$9) + CHOOSE(CONTROL!$C$27, 0.0021, 0)</f>
        <v>27.555699999999998</v>
      </c>
      <c r="K123" s="17">
        <f>27.5536 * CHOOSE(CONTROL!$C$9, $D$9, 100%, $F$9) + CHOOSE(CONTROL!$C$27, 0.0021, 0)</f>
        <v>27.555699999999998</v>
      </c>
      <c r="L123" s="17"/>
    </row>
    <row r="124" spans="1:12" ht="15" x14ac:dyDescent="0.2">
      <c r="A124" s="16">
        <v>44682</v>
      </c>
      <c r="B124" s="17">
        <f>28.5794 * CHOOSE(CONTROL!$C$9, $D$9, 100%, $F$9) + CHOOSE(CONTROL!$C$27, 0.0021, 0)</f>
        <v>28.581499999999998</v>
      </c>
      <c r="C124" s="17">
        <f>28.1472 * CHOOSE(CONTROL!$C$9, $D$9, 100%, $F$9) + CHOOSE(CONTROL!$C$27, 0.0021, 0)</f>
        <v>28.1493</v>
      </c>
      <c r="D124" s="17">
        <f>28.1472 * CHOOSE(CONTROL!$C$9, $D$9, 100%, $F$9) + CHOOSE(CONTROL!$C$27, 0.0021, 0)</f>
        <v>28.1493</v>
      </c>
      <c r="E124" s="17">
        <f>28.0105 * CHOOSE(CONTROL!$C$9, $D$9, 100%, $F$9) + CHOOSE(CONTROL!$C$27, 0.0021, 0)</f>
        <v>28.012599999999999</v>
      </c>
      <c r="F124" s="17">
        <f>28.0105 * CHOOSE(CONTROL!$C$9, $D$9, 100%, $F$9) + CHOOSE(CONTROL!$C$27, 0.0021, 0)</f>
        <v>28.012599999999999</v>
      </c>
      <c r="G124" s="17">
        <f>28.2819 * CHOOSE(CONTROL!$C$9, $D$9, 100%, $F$9) + CHOOSE(CONTROL!$C$27, 0.0021, 0)</f>
        <v>28.283999999999999</v>
      </c>
      <c r="H124" s="17">
        <f>28.1472 * CHOOSE(CONTROL!$C$9, $D$9, 100%, $F$9) + CHOOSE(CONTROL!$C$27, 0.0021, 0)</f>
        <v>28.1493</v>
      </c>
      <c r="I124" s="17">
        <f>28.1472 * CHOOSE(CONTROL!$C$9, $D$9, 100%, $F$9) + CHOOSE(CONTROL!$C$27, 0.0021, 0)</f>
        <v>28.1493</v>
      </c>
      <c r="J124" s="17">
        <f>28.1472 * CHOOSE(CONTROL!$C$9, $D$9, 100%, $F$9) + CHOOSE(CONTROL!$C$27, 0.0021, 0)</f>
        <v>28.1493</v>
      </c>
      <c r="K124" s="17">
        <f>28.1472 * CHOOSE(CONTROL!$C$9, $D$9, 100%, $F$9) + CHOOSE(CONTROL!$C$27, 0.0021, 0)</f>
        <v>28.1493</v>
      </c>
      <c r="L124" s="17"/>
    </row>
    <row r="125" spans="1:12" ht="15" x14ac:dyDescent="0.2">
      <c r="A125" s="16">
        <v>44713</v>
      </c>
      <c r="B125" s="17">
        <f>28.9581 * CHOOSE(CONTROL!$C$9, $D$9, 100%, $F$9) + CHOOSE(CONTROL!$C$27, 0.0021, 0)</f>
        <v>28.9602</v>
      </c>
      <c r="C125" s="17">
        <f>28.5258 * CHOOSE(CONTROL!$C$9, $D$9, 100%, $F$9) + CHOOSE(CONTROL!$C$27, 0.0021, 0)</f>
        <v>28.527899999999999</v>
      </c>
      <c r="D125" s="17">
        <f>28.5258 * CHOOSE(CONTROL!$C$9, $D$9, 100%, $F$9) + CHOOSE(CONTROL!$C$27, 0.0021, 0)</f>
        <v>28.527899999999999</v>
      </c>
      <c r="E125" s="17">
        <f>28.3892 * CHOOSE(CONTROL!$C$9, $D$9, 100%, $F$9) + CHOOSE(CONTROL!$C$27, 0.0021, 0)</f>
        <v>28.391299999999998</v>
      </c>
      <c r="F125" s="17">
        <f>28.3892 * CHOOSE(CONTROL!$C$9, $D$9, 100%, $F$9) + CHOOSE(CONTROL!$C$27, 0.0021, 0)</f>
        <v>28.391299999999998</v>
      </c>
      <c r="G125" s="17">
        <f>28.6605 * CHOOSE(CONTROL!$C$9, $D$9, 100%, $F$9) + CHOOSE(CONTROL!$C$27, 0.0021, 0)</f>
        <v>28.662599999999998</v>
      </c>
      <c r="H125" s="17">
        <f>28.5258 * CHOOSE(CONTROL!$C$9, $D$9, 100%, $F$9) + CHOOSE(CONTROL!$C$27, 0.0021, 0)</f>
        <v>28.527899999999999</v>
      </c>
      <c r="I125" s="17">
        <f>28.5258 * CHOOSE(CONTROL!$C$9, $D$9, 100%, $F$9) + CHOOSE(CONTROL!$C$27, 0.0021, 0)</f>
        <v>28.527899999999999</v>
      </c>
      <c r="J125" s="17">
        <f>28.5258 * CHOOSE(CONTROL!$C$9, $D$9, 100%, $F$9) + CHOOSE(CONTROL!$C$27, 0.0021, 0)</f>
        <v>28.527899999999999</v>
      </c>
      <c r="K125" s="17">
        <f>28.5258 * CHOOSE(CONTROL!$C$9, $D$9, 100%, $F$9) + CHOOSE(CONTROL!$C$27, 0.0021, 0)</f>
        <v>28.527899999999999</v>
      </c>
      <c r="L125" s="17"/>
    </row>
    <row r="126" spans="1:12" ht="15" x14ac:dyDescent="0.2">
      <c r="A126" s="16">
        <v>44743</v>
      </c>
      <c r="B126" s="17">
        <f>29.5494 * CHOOSE(CONTROL!$C$9, $D$9, 100%, $F$9) + CHOOSE(CONTROL!$C$27, 0.0021, 0)</f>
        <v>29.551499999999997</v>
      </c>
      <c r="C126" s="17">
        <f>29.1172 * CHOOSE(CONTROL!$C$9, $D$9, 100%, $F$9) + CHOOSE(CONTROL!$C$27, 0.0021, 0)</f>
        <v>29.119299999999999</v>
      </c>
      <c r="D126" s="17">
        <f>29.1172 * CHOOSE(CONTROL!$C$9, $D$9, 100%, $F$9) + CHOOSE(CONTROL!$C$27, 0.0021, 0)</f>
        <v>29.119299999999999</v>
      </c>
      <c r="E126" s="17">
        <f>28.9805 * CHOOSE(CONTROL!$C$9, $D$9, 100%, $F$9) + CHOOSE(CONTROL!$C$27, 0.0021, 0)</f>
        <v>28.982599999999998</v>
      </c>
      <c r="F126" s="17">
        <f>28.9805 * CHOOSE(CONTROL!$C$9, $D$9, 100%, $F$9) + CHOOSE(CONTROL!$C$27, 0.0021, 0)</f>
        <v>28.982599999999998</v>
      </c>
      <c r="G126" s="17">
        <f>29.2519 * CHOOSE(CONTROL!$C$9, $D$9, 100%, $F$9) + CHOOSE(CONTROL!$C$27, 0.0021, 0)</f>
        <v>29.253999999999998</v>
      </c>
      <c r="H126" s="17">
        <f>29.1172 * CHOOSE(CONTROL!$C$9, $D$9, 100%, $F$9) + CHOOSE(CONTROL!$C$27, 0.0021, 0)</f>
        <v>29.119299999999999</v>
      </c>
      <c r="I126" s="17">
        <f>29.1172 * CHOOSE(CONTROL!$C$9, $D$9, 100%, $F$9) + CHOOSE(CONTROL!$C$27, 0.0021, 0)</f>
        <v>29.119299999999999</v>
      </c>
      <c r="J126" s="17">
        <f>29.1172 * CHOOSE(CONTROL!$C$9, $D$9, 100%, $F$9) + CHOOSE(CONTROL!$C$27, 0.0021, 0)</f>
        <v>29.119299999999999</v>
      </c>
      <c r="K126" s="17">
        <f>29.1172 * CHOOSE(CONTROL!$C$9, $D$9, 100%, $F$9) + CHOOSE(CONTROL!$C$27, 0.0021, 0)</f>
        <v>29.119299999999999</v>
      </c>
      <c r="L126" s="17"/>
    </row>
    <row r="127" spans="1:12" ht="15" x14ac:dyDescent="0.2">
      <c r="A127" s="16">
        <v>44774</v>
      </c>
      <c r="B127" s="17">
        <f>29.7697 * CHOOSE(CONTROL!$C$9, $D$9, 100%, $F$9) + CHOOSE(CONTROL!$C$27, 0.0021, 0)</f>
        <v>29.771799999999999</v>
      </c>
      <c r="C127" s="17">
        <f>29.3374 * CHOOSE(CONTROL!$C$9, $D$9, 100%, $F$9) + CHOOSE(CONTROL!$C$27, 0.0021, 0)</f>
        <v>29.339499999999997</v>
      </c>
      <c r="D127" s="17">
        <f>29.3374 * CHOOSE(CONTROL!$C$9, $D$9, 100%, $F$9) + CHOOSE(CONTROL!$C$27, 0.0021, 0)</f>
        <v>29.339499999999997</v>
      </c>
      <c r="E127" s="17">
        <f>29.2007 * CHOOSE(CONTROL!$C$9, $D$9, 100%, $F$9) + CHOOSE(CONTROL!$C$27, 0.0021, 0)</f>
        <v>29.2028</v>
      </c>
      <c r="F127" s="17">
        <f>29.2007 * CHOOSE(CONTROL!$C$9, $D$9, 100%, $F$9) + CHOOSE(CONTROL!$C$27, 0.0021, 0)</f>
        <v>29.2028</v>
      </c>
      <c r="G127" s="17">
        <f>29.4721 * CHOOSE(CONTROL!$C$9, $D$9, 100%, $F$9) + CHOOSE(CONTROL!$C$27, 0.0021, 0)</f>
        <v>29.4742</v>
      </c>
      <c r="H127" s="17">
        <f>29.3374 * CHOOSE(CONTROL!$C$9, $D$9, 100%, $F$9) + CHOOSE(CONTROL!$C$27, 0.0021, 0)</f>
        <v>29.339499999999997</v>
      </c>
      <c r="I127" s="17">
        <f>29.3374 * CHOOSE(CONTROL!$C$9, $D$9, 100%, $F$9) + CHOOSE(CONTROL!$C$27, 0.0021, 0)</f>
        <v>29.339499999999997</v>
      </c>
      <c r="J127" s="17">
        <f>29.3374 * CHOOSE(CONTROL!$C$9, $D$9, 100%, $F$9) + CHOOSE(CONTROL!$C$27, 0.0021, 0)</f>
        <v>29.339499999999997</v>
      </c>
      <c r="K127" s="17">
        <f>29.3374 * CHOOSE(CONTROL!$C$9, $D$9, 100%, $F$9) + CHOOSE(CONTROL!$C$27, 0.0021, 0)</f>
        <v>29.339499999999997</v>
      </c>
      <c r="L127" s="17"/>
    </row>
    <row r="128" spans="1:12" ht="15" x14ac:dyDescent="0.2">
      <c r="A128" s="16">
        <v>44805</v>
      </c>
      <c r="B128" s="17">
        <f>30.3862 * CHOOSE(CONTROL!$C$9, $D$9, 100%, $F$9) + CHOOSE(CONTROL!$C$27, 0.0021, 0)</f>
        <v>30.388299999999997</v>
      </c>
      <c r="C128" s="17">
        <f>29.9539 * CHOOSE(CONTROL!$C$9, $D$9, 100%, $F$9) + CHOOSE(CONTROL!$C$27, 0.0021, 0)</f>
        <v>29.956</v>
      </c>
      <c r="D128" s="17">
        <f>29.9539 * CHOOSE(CONTROL!$C$9, $D$9, 100%, $F$9) + CHOOSE(CONTROL!$C$27, 0.0021, 0)</f>
        <v>29.956</v>
      </c>
      <c r="E128" s="17">
        <f>29.8172 * CHOOSE(CONTROL!$C$9, $D$9, 100%, $F$9) + CHOOSE(CONTROL!$C$27, 0.0021, 0)</f>
        <v>29.819299999999998</v>
      </c>
      <c r="F128" s="17">
        <f>29.8172 * CHOOSE(CONTROL!$C$9, $D$9, 100%, $F$9) + CHOOSE(CONTROL!$C$27, 0.0021, 0)</f>
        <v>29.819299999999998</v>
      </c>
      <c r="G128" s="17">
        <f>30.0886 * CHOOSE(CONTROL!$C$9, $D$9, 100%, $F$9) + CHOOSE(CONTROL!$C$27, 0.0021, 0)</f>
        <v>30.090699999999998</v>
      </c>
      <c r="H128" s="17">
        <f>29.9539 * CHOOSE(CONTROL!$C$9, $D$9, 100%, $F$9) + CHOOSE(CONTROL!$C$27, 0.0021, 0)</f>
        <v>29.956</v>
      </c>
      <c r="I128" s="17">
        <f>29.9539 * CHOOSE(CONTROL!$C$9, $D$9, 100%, $F$9) + CHOOSE(CONTROL!$C$27, 0.0021, 0)</f>
        <v>29.956</v>
      </c>
      <c r="J128" s="17">
        <f>29.9539 * CHOOSE(CONTROL!$C$9, $D$9, 100%, $F$9) + CHOOSE(CONTROL!$C$27, 0.0021, 0)</f>
        <v>29.956</v>
      </c>
      <c r="K128" s="17">
        <f>29.9539 * CHOOSE(CONTROL!$C$9, $D$9, 100%, $F$9) + CHOOSE(CONTROL!$C$27, 0.0021, 0)</f>
        <v>29.956</v>
      </c>
      <c r="L128" s="17"/>
    </row>
    <row r="129" spans="1:12" ht="15" x14ac:dyDescent="0.2">
      <c r="A129" s="16">
        <v>44835</v>
      </c>
      <c r="B129" s="17">
        <f>31.1542 * CHOOSE(CONTROL!$C$9, $D$9, 100%, $F$9) + CHOOSE(CONTROL!$C$27, 0.0021, 0)</f>
        <v>31.156299999999998</v>
      </c>
      <c r="C129" s="17">
        <f>30.722 * CHOOSE(CONTROL!$C$9, $D$9, 100%, $F$9) + CHOOSE(CONTROL!$C$27, 0.0021, 0)</f>
        <v>30.7241</v>
      </c>
      <c r="D129" s="17">
        <f>30.722 * CHOOSE(CONTROL!$C$9, $D$9, 100%, $F$9) + CHOOSE(CONTROL!$C$27, 0.0021, 0)</f>
        <v>30.7241</v>
      </c>
      <c r="E129" s="17">
        <f>30.5853 * CHOOSE(CONTROL!$C$9, $D$9, 100%, $F$9) + CHOOSE(CONTROL!$C$27, 0.0021, 0)</f>
        <v>30.587399999999999</v>
      </c>
      <c r="F129" s="17">
        <f>30.5853 * CHOOSE(CONTROL!$C$9, $D$9, 100%, $F$9) + CHOOSE(CONTROL!$C$27, 0.0021, 0)</f>
        <v>30.587399999999999</v>
      </c>
      <c r="G129" s="17">
        <f>30.8567 * CHOOSE(CONTROL!$C$9, $D$9, 100%, $F$9) + CHOOSE(CONTROL!$C$27, 0.0021, 0)</f>
        <v>30.858799999999999</v>
      </c>
      <c r="H129" s="17">
        <f>30.722 * CHOOSE(CONTROL!$C$9, $D$9, 100%, $F$9) + CHOOSE(CONTROL!$C$27, 0.0021, 0)</f>
        <v>30.7241</v>
      </c>
      <c r="I129" s="17">
        <f>30.722 * CHOOSE(CONTROL!$C$9, $D$9, 100%, $F$9) + CHOOSE(CONTROL!$C$27, 0.0021, 0)</f>
        <v>30.7241</v>
      </c>
      <c r="J129" s="17">
        <f>30.722 * CHOOSE(CONTROL!$C$9, $D$9, 100%, $F$9) + CHOOSE(CONTROL!$C$27, 0.0021, 0)</f>
        <v>30.7241</v>
      </c>
      <c r="K129" s="17">
        <f>30.722 * CHOOSE(CONTROL!$C$9, $D$9, 100%, $F$9) + CHOOSE(CONTROL!$C$27, 0.0021, 0)</f>
        <v>30.7241</v>
      </c>
      <c r="L129" s="17"/>
    </row>
    <row r="130" spans="1:12" ht="15" x14ac:dyDescent="0.2">
      <c r="A130" s="16">
        <v>44866</v>
      </c>
      <c r="B130" s="17">
        <f>31.2805 * CHOOSE(CONTROL!$C$9, $D$9, 100%, $F$9) + CHOOSE(CONTROL!$C$27, 0.0021, 0)</f>
        <v>31.282599999999999</v>
      </c>
      <c r="C130" s="17">
        <f>30.8482 * CHOOSE(CONTROL!$C$9, $D$9, 100%, $F$9) + CHOOSE(CONTROL!$C$27, 0.0021, 0)</f>
        <v>30.850299999999997</v>
      </c>
      <c r="D130" s="17">
        <f>30.8482 * CHOOSE(CONTROL!$C$9, $D$9, 100%, $F$9) + CHOOSE(CONTROL!$C$27, 0.0021, 0)</f>
        <v>30.850299999999997</v>
      </c>
      <c r="E130" s="17">
        <f>30.7116 * CHOOSE(CONTROL!$C$9, $D$9, 100%, $F$9) + CHOOSE(CONTROL!$C$27, 0.0021, 0)</f>
        <v>30.713699999999999</v>
      </c>
      <c r="F130" s="17">
        <f>30.7116 * CHOOSE(CONTROL!$C$9, $D$9, 100%, $F$9) + CHOOSE(CONTROL!$C$27, 0.0021, 0)</f>
        <v>30.713699999999999</v>
      </c>
      <c r="G130" s="17">
        <f>30.983 * CHOOSE(CONTROL!$C$9, $D$9, 100%, $F$9) + CHOOSE(CONTROL!$C$27, 0.0021, 0)</f>
        <v>30.985099999999999</v>
      </c>
      <c r="H130" s="17">
        <f>30.8482 * CHOOSE(CONTROL!$C$9, $D$9, 100%, $F$9) + CHOOSE(CONTROL!$C$27, 0.0021, 0)</f>
        <v>30.850299999999997</v>
      </c>
      <c r="I130" s="17">
        <f>30.8482 * CHOOSE(CONTROL!$C$9, $D$9, 100%, $F$9) + CHOOSE(CONTROL!$C$27, 0.0021, 0)</f>
        <v>30.850299999999997</v>
      </c>
      <c r="J130" s="17">
        <f>30.8482 * CHOOSE(CONTROL!$C$9, $D$9, 100%, $F$9) + CHOOSE(CONTROL!$C$27, 0.0021, 0)</f>
        <v>30.850299999999997</v>
      </c>
      <c r="K130" s="17">
        <f>30.8482 * CHOOSE(CONTROL!$C$9, $D$9, 100%, $F$9) + CHOOSE(CONTROL!$C$27, 0.0021, 0)</f>
        <v>30.850299999999997</v>
      </c>
      <c r="L130" s="17"/>
    </row>
    <row r="131" spans="1:12" ht="15" x14ac:dyDescent="0.2">
      <c r="A131" s="16">
        <v>44896</v>
      </c>
      <c r="B131" s="17">
        <f>30.7706 * CHOOSE(CONTROL!$C$9, $D$9, 100%, $F$9) + CHOOSE(CONTROL!$C$27, 0.0021, 0)</f>
        <v>30.7727</v>
      </c>
      <c r="C131" s="17">
        <f>30.3384 * CHOOSE(CONTROL!$C$9, $D$9, 100%, $F$9) + CHOOSE(CONTROL!$C$27, 0.0021, 0)</f>
        <v>30.340499999999999</v>
      </c>
      <c r="D131" s="17">
        <f>30.3384 * CHOOSE(CONTROL!$C$9, $D$9, 100%, $F$9) + CHOOSE(CONTROL!$C$27, 0.0021, 0)</f>
        <v>30.340499999999999</v>
      </c>
      <c r="E131" s="17">
        <f>30.2017 * CHOOSE(CONTROL!$C$9, $D$9, 100%, $F$9) + CHOOSE(CONTROL!$C$27, 0.0021, 0)</f>
        <v>30.203799999999998</v>
      </c>
      <c r="F131" s="17">
        <f>30.2017 * CHOOSE(CONTROL!$C$9, $D$9, 100%, $F$9) + CHOOSE(CONTROL!$C$27, 0.0021, 0)</f>
        <v>30.203799999999998</v>
      </c>
      <c r="G131" s="17">
        <f>30.4731 * CHOOSE(CONTROL!$C$9, $D$9, 100%, $F$9) + CHOOSE(CONTROL!$C$27, 0.0021, 0)</f>
        <v>30.475199999999997</v>
      </c>
      <c r="H131" s="17">
        <f>30.3384 * CHOOSE(CONTROL!$C$9, $D$9, 100%, $F$9) + CHOOSE(CONTROL!$C$27, 0.0021, 0)</f>
        <v>30.340499999999999</v>
      </c>
      <c r="I131" s="17">
        <f>30.3384 * CHOOSE(CONTROL!$C$9, $D$9, 100%, $F$9) + CHOOSE(CONTROL!$C$27, 0.0021, 0)</f>
        <v>30.340499999999999</v>
      </c>
      <c r="J131" s="17">
        <f>30.3384 * CHOOSE(CONTROL!$C$9, $D$9, 100%, $F$9) + CHOOSE(CONTROL!$C$27, 0.0021, 0)</f>
        <v>30.340499999999999</v>
      </c>
      <c r="K131" s="17">
        <f>30.3384 * CHOOSE(CONTROL!$C$9, $D$9, 100%, $F$9) + CHOOSE(CONTROL!$C$27, 0.0021, 0)</f>
        <v>30.340499999999999</v>
      </c>
      <c r="L131" s="17"/>
    </row>
    <row r="132" spans="1:12" ht="15" x14ac:dyDescent="0.2">
      <c r="A132" s="16">
        <v>44927</v>
      </c>
      <c r="B132" s="17">
        <f>30.6993 * CHOOSE(CONTROL!$C$9, $D$9, 100%, $F$9) + CHOOSE(CONTROL!$C$27, 0.0021, 0)</f>
        <v>30.7014</v>
      </c>
      <c r="C132" s="17">
        <f>30.2671 * CHOOSE(CONTROL!$C$9, $D$9, 100%, $F$9) + CHOOSE(CONTROL!$C$27, 0.0021, 0)</f>
        <v>30.269199999999998</v>
      </c>
      <c r="D132" s="17">
        <f>30.2671 * CHOOSE(CONTROL!$C$9, $D$9, 100%, $F$9) + CHOOSE(CONTROL!$C$27, 0.0021, 0)</f>
        <v>30.269199999999998</v>
      </c>
      <c r="E132" s="17">
        <f>30.1304 * CHOOSE(CONTROL!$C$9, $D$9, 100%, $F$9) + CHOOSE(CONTROL!$C$27, 0.0021, 0)</f>
        <v>30.1325</v>
      </c>
      <c r="F132" s="17">
        <f>30.1304 * CHOOSE(CONTROL!$C$9, $D$9, 100%, $F$9) + CHOOSE(CONTROL!$C$27, 0.0021, 0)</f>
        <v>30.1325</v>
      </c>
      <c r="G132" s="17">
        <f>30.4018 * CHOOSE(CONTROL!$C$9, $D$9, 100%, $F$9) + CHOOSE(CONTROL!$C$27, 0.0021, 0)</f>
        <v>30.4039</v>
      </c>
      <c r="H132" s="17">
        <f>30.2671 * CHOOSE(CONTROL!$C$9, $D$9, 100%, $F$9) + CHOOSE(CONTROL!$C$27, 0.0021, 0)</f>
        <v>30.269199999999998</v>
      </c>
      <c r="I132" s="17">
        <f>30.2671 * CHOOSE(CONTROL!$C$9, $D$9, 100%, $F$9) + CHOOSE(CONTROL!$C$27, 0.0021, 0)</f>
        <v>30.269199999999998</v>
      </c>
      <c r="J132" s="17">
        <f>30.2671 * CHOOSE(CONTROL!$C$9, $D$9, 100%, $F$9) + CHOOSE(CONTROL!$C$27, 0.0021, 0)</f>
        <v>30.269199999999998</v>
      </c>
      <c r="K132" s="17">
        <f>30.2671 * CHOOSE(CONTROL!$C$9, $D$9, 100%, $F$9) + CHOOSE(CONTROL!$C$27, 0.0021, 0)</f>
        <v>30.269199999999998</v>
      </c>
      <c r="L132" s="17"/>
    </row>
    <row r="133" spans="1:12" ht="15" x14ac:dyDescent="0.2">
      <c r="A133" s="16">
        <v>44958</v>
      </c>
      <c r="B133" s="17">
        <f>29.9527 * CHOOSE(CONTROL!$C$9, $D$9, 100%, $F$9) + CHOOSE(CONTROL!$C$27, 0.0021, 0)</f>
        <v>29.954799999999999</v>
      </c>
      <c r="C133" s="17">
        <f>29.5204 * CHOOSE(CONTROL!$C$9, $D$9, 100%, $F$9) + CHOOSE(CONTROL!$C$27, 0.0021, 0)</f>
        <v>29.522499999999997</v>
      </c>
      <c r="D133" s="17">
        <f>29.5204 * CHOOSE(CONTROL!$C$9, $D$9, 100%, $F$9) + CHOOSE(CONTROL!$C$27, 0.0021, 0)</f>
        <v>29.522499999999997</v>
      </c>
      <c r="E133" s="17">
        <f>29.3838 * CHOOSE(CONTROL!$C$9, $D$9, 100%, $F$9) + CHOOSE(CONTROL!$C$27, 0.0021, 0)</f>
        <v>29.385899999999999</v>
      </c>
      <c r="F133" s="17">
        <f>29.3838 * CHOOSE(CONTROL!$C$9, $D$9, 100%, $F$9) + CHOOSE(CONTROL!$C$27, 0.0021, 0)</f>
        <v>29.385899999999999</v>
      </c>
      <c r="G133" s="17">
        <f>29.6551 * CHOOSE(CONTROL!$C$9, $D$9, 100%, $F$9) + CHOOSE(CONTROL!$C$27, 0.0021, 0)</f>
        <v>29.6572</v>
      </c>
      <c r="H133" s="17">
        <f>29.5204 * CHOOSE(CONTROL!$C$9, $D$9, 100%, $F$9) + CHOOSE(CONTROL!$C$27, 0.0021, 0)</f>
        <v>29.522499999999997</v>
      </c>
      <c r="I133" s="17">
        <f>29.5204 * CHOOSE(CONTROL!$C$9, $D$9, 100%, $F$9) + CHOOSE(CONTROL!$C$27, 0.0021, 0)</f>
        <v>29.522499999999997</v>
      </c>
      <c r="J133" s="17">
        <f>29.5204 * CHOOSE(CONTROL!$C$9, $D$9, 100%, $F$9) + CHOOSE(CONTROL!$C$27, 0.0021, 0)</f>
        <v>29.522499999999997</v>
      </c>
      <c r="K133" s="17">
        <f>29.5204 * CHOOSE(CONTROL!$C$9, $D$9, 100%, $F$9) + CHOOSE(CONTROL!$C$27, 0.0021, 0)</f>
        <v>29.522499999999997</v>
      </c>
      <c r="L133" s="17"/>
    </row>
    <row r="134" spans="1:12" ht="15" x14ac:dyDescent="0.2">
      <c r="A134" s="16">
        <v>44986</v>
      </c>
      <c r="B134" s="17">
        <f>29.6766 * CHOOSE(CONTROL!$C$9, $D$9, 100%, $F$9) + CHOOSE(CONTROL!$C$27, 0.0021, 0)</f>
        <v>29.678699999999999</v>
      </c>
      <c r="C134" s="17">
        <f>29.2443 * CHOOSE(CONTROL!$C$9, $D$9, 100%, $F$9) + CHOOSE(CONTROL!$C$27, 0.0021, 0)</f>
        <v>29.246399999999998</v>
      </c>
      <c r="D134" s="17">
        <f>29.2443 * CHOOSE(CONTROL!$C$9, $D$9, 100%, $F$9) + CHOOSE(CONTROL!$C$27, 0.0021, 0)</f>
        <v>29.246399999999998</v>
      </c>
      <c r="E134" s="17">
        <f>29.1077 * CHOOSE(CONTROL!$C$9, $D$9, 100%, $F$9) + CHOOSE(CONTROL!$C$27, 0.0021, 0)</f>
        <v>29.1098</v>
      </c>
      <c r="F134" s="17">
        <f>29.1077 * CHOOSE(CONTROL!$C$9, $D$9, 100%, $F$9) + CHOOSE(CONTROL!$C$27, 0.0021, 0)</f>
        <v>29.1098</v>
      </c>
      <c r="G134" s="17">
        <f>29.3791 * CHOOSE(CONTROL!$C$9, $D$9, 100%, $F$9) + CHOOSE(CONTROL!$C$27, 0.0021, 0)</f>
        <v>29.3812</v>
      </c>
      <c r="H134" s="17">
        <f>29.2443 * CHOOSE(CONTROL!$C$9, $D$9, 100%, $F$9) + CHOOSE(CONTROL!$C$27, 0.0021, 0)</f>
        <v>29.246399999999998</v>
      </c>
      <c r="I134" s="17">
        <f>29.2443 * CHOOSE(CONTROL!$C$9, $D$9, 100%, $F$9) + CHOOSE(CONTROL!$C$27, 0.0021, 0)</f>
        <v>29.246399999999998</v>
      </c>
      <c r="J134" s="17">
        <f>29.2443 * CHOOSE(CONTROL!$C$9, $D$9, 100%, $F$9) + CHOOSE(CONTROL!$C$27, 0.0021, 0)</f>
        <v>29.246399999999998</v>
      </c>
      <c r="K134" s="17">
        <f>29.2443 * CHOOSE(CONTROL!$C$9, $D$9, 100%, $F$9) + CHOOSE(CONTROL!$C$27, 0.0021, 0)</f>
        <v>29.246399999999998</v>
      </c>
      <c r="L134" s="17"/>
    </row>
    <row r="135" spans="1:12" ht="15" x14ac:dyDescent="0.2">
      <c r="A135" s="16">
        <v>45017</v>
      </c>
      <c r="B135" s="17">
        <f>29.3345 * CHOOSE(CONTROL!$C$9, $D$9, 100%, $F$9) + CHOOSE(CONTROL!$C$27, 0.0021, 0)</f>
        <v>29.336599999999997</v>
      </c>
      <c r="C135" s="17">
        <f>28.9023 * CHOOSE(CONTROL!$C$9, $D$9, 100%, $F$9) + CHOOSE(CONTROL!$C$27, 0.0021, 0)</f>
        <v>28.904399999999999</v>
      </c>
      <c r="D135" s="17">
        <f>28.9023 * CHOOSE(CONTROL!$C$9, $D$9, 100%, $F$9) + CHOOSE(CONTROL!$C$27, 0.0021, 0)</f>
        <v>28.904399999999999</v>
      </c>
      <c r="E135" s="17">
        <f>28.7656 * CHOOSE(CONTROL!$C$9, $D$9, 100%, $F$9) + CHOOSE(CONTROL!$C$27, 0.0021, 0)</f>
        <v>28.767699999999998</v>
      </c>
      <c r="F135" s="17">
        <f>28.7656 * CHOOSE(CONTROL!$C$9, $D$9, 100%, $F$9) + CHOOSE(CONTROL!$C$27, 0.0021, 0)</f>
        <v>28.767699999999998</v>
      </c>
      <c r="G135" s="17">
        <f>29.037 * CHOOSE(CONTROL!$C$9, $D$9, 100%, $F$9) + CHOOSE(CONTROL!$C$27, 0.0021, 0)</f>
        <v>29.039099999999998</v>
      </c>
      <c r="H135" s="17">
        <f>28.9023 * CHOOSE(CONTROL!$C$9, $D$9, 100%, $F$9) + CHOOSE(CONTROL!$C$27, 0.0021, 0)</f>
        <v>28.904399999999999</v>
      </c>
      <c r="I135" s="17">
        <f>28.9023 * CHOOSE(CONTROL!$C$9, $D$9, 100%, $F$9) + CHOOSE(CONTROL!$C$27, 0.0021, 0)</f>
        <v>28.904399999999999</v>
      </c>
      <c r="J135" s="17">
        <f>28.9023 * CHOOSE(CONTROL!$C$9, $D$9, 100%, $F$9) + CHOOSE(CONTROL!$C$27, 0.0021, 0)</f>
        <v>28.904399999999999</v>
      </c>
      <c r="K135" s="17">
        <f>28.9023 * CHOOSE(CONTROL!$C$9, $D$9, 100%, $F$9) + CHOOSE(CONTROL!$C$27, 0.0021, 0)</f>
        <v>28.904399999999999</v>
      </c>
      <c r="L135" s="17"/>
    </row>
    <row r="136" spans="1:12" ht="15" x14ac:dyDescent="0.2">
      <c r="A136" s="16">
        <v>45047</v>
      </c>
      <c r="B136" s="17">
        <f>29.9593 * CHOOSE(CONTROL!$C$9, $D$9, 100%, $F$9) + CHOOSE(CONTROL!$C$27, 0.0021, 0)</f>
        <v>29.961399999999998</v>
      </c>
      <c r="C136" s="17">
        <f>29.527 * CHOOSE(CONTROL!$C$9, $D$9, 100%, $F$9) + CHOOSE(CONTROL!$C$27, 0.0021, 0)</f>
        <v>29.5291</v>
      </c>
      <c r="D136" s="17">
        <f>29.527 * CHOOSE(CONTROL!$C$9, $D$9, 100%, $F$9) + CHOOSE(CONTROL!$C$27, 0.0021, 0)</f>
        <v>29.5291</v>
      </c>
      <c r="E136" s="17">
        <f>29.3904 * CHOOSE(CONTROL!$C$9, $D$9, 100%, $F$9) + CHOOSE(CONTROL!$C$27, 0.0021, 0)</f>
        <v>29.392499999999998</v>
      </c>
      <c r="F136" s="17">
        <f>29.3904 * CHOOSE(CONTROL!$C$9, $D$9, 100%, $F$9) + CHOOSE(CONTROL!$C$27, 0.0021, 0)</f>
        <v>29.392499999999998</v>
      </c>
      <c r="G136" s="17">
        <f>29.6617 * CHOOSE(CONTROL!$C$9, $D$9, 100%, $F$9) + CHOOSE(CONTROL!$C$27, 0.0021, 0)</f>
        <v>29.663799999999998</v>
      </c>
      <c r="H136" s="17">
        <f>29.527 * CHOOSE(CONTROL!$C$9, $D$9, 100%, $F$9) + CHOOSE(CONTROL!$C$27, 0.0021, 0)</f>
        <v>29.5291</v>
      </c>
      <c r="I136" s="17">
        <f>29.527 * CHOOSE(CONTROL!$C$9, $D$9, 100%, $F$9) + CHOOSE(CONTROL!$C$27, 0.0021, 0)</f>
        <v>29.5291</v>
      </c>
      <c r="J136" s="17">
        <f>29.527 * CHOOSE(CONTROL!$C$9, $D$9, 100%, $F$9) + CHOOSE(CONTROL!$C$27, 0.0021, 0)</f>
        <v>29.5291</v>
      </c>
      <c r="K136" s="17">
        <f>29.527 * CHOOSE(CONTROL!$C$9, $D$9, 100%, $F$9) + CHOOSE(CONTROL!$C$27, 0.0021, 0)</f>
        <v>29.5291</v>
      </c>
      <c r="L136" s="17"/>
    </row>
    <row r="137" spans="1:12" ht="15" x14ac:dyDescent="0.2">
      <c r="A137" s="16">
        <v>45078</v>
      </c>
      <c r="B137" s="17">
        <f>30.3578 * CHOOSE(CONTROL!$C$9, $D$9, 100%, $F$9) + CHOOSE(CONTROL!$C$27, 0.0021, 0)</f>
        <v>30.3599</v>
      </c>
      <c r="C137" s="17">
        <f>29.9256 * CHOOSE(CONTROL!$C$9, $D$9, 100%, $F$9) + CHOOSE(CONTROL!$C$27, 0.0021, 0)</f>
        <v>29.927699999999998</v>
      </c>
      <c r="D137" s="17">
        <f>29.9256 * CHOOSE(CONTROL!$C$9, $D$9, 100%, $F$9) + CHOOSE(CONTROL!$C$27, 0.0021, 0)</f>
        <v>29.927699999999998</v>
      </c>
      <c r="E137" s="17">
        <f>29.7889 * CHOOSE(CONTROL!$C$9, $D$9, 100%, $F$9) + CHOOSE(CONTROL!$C$27, 0.0021, 0)</f>
        <v>29.791</v>
      </c>
      <c r="F137" s="17">
        <f>29.7889 * CHOOSE(CONTROL!$C$9, $D$9, 100%, $F$9) + CHOOSE(CONTROL!$C$27, 0.0021, 0)</f>
        <v>29.791</v>
      </c>
      <c r="G137" s="17">
        <f>30.0603 * CHOOSE(CONTROL!$C$9, $D$9, 100%, $F$9) + CHOOSE(CONTROL!$C$27, 0.0021, 0)</f>
        <v>30.0624</v>
      </c>
      <c r="H137" s="17">
        <f>29.9256 * CHOOSE(CONTROL!$C$9, $D$9, 100%, $F$9) + CHOOSE(CONTROL!$C$27, 0.0021, 0)</f>
        <v>29.927699999999998</v>
      </c>
      <c r="I137" s="17">
        <f>29.9256 * CHOOSE(CONTROL!$C$9, $D$9, 100%, $F$9) + CHOOSE(CONTROL!$C$27, 0.0021, 0)</f>
        <v>29.927699999999998</v>
      </c>
      <c r="J137" s="17">
        <f>29.9256 * CHOOSE(CONTROL!$C$9, $D$9, 100%, $F$9) + CHOOSE(CONTROL!$C$27, 0.0021, 0)</f>
        <v>29.927699999999998</v>
      </c>
      <c r="K137" s="17">
        <f>29.9256 * CHOOSE(CONTROL!$C$9, $D$9, 100%, $F$9) + CHOOSE(CONTROL!$C$27, 0.0021, 0)</f>
        <v>29.927699999999998</v>
      </c>
      <c r="L137" s="17"/>
    </row>
    <row r="138" spans="1:12" ht="15" x14ac:dyDescent="0.2">
      <c r="A138" s="16">
        <v>45108</v>
      </c>
      <c r="B138" s="17">
        <f>30.9802 * CHOOSE(CONTROL!$C$9, $D$9, 100%, $F$9) + CHOOSE(CONTROL!$C$27, 0.0021, 0)</f>
        <v>30.982299999999999</v>
      </c>
      <c r="C138" s="17">
        <f>30.548 * CHOOSE(CONTROL!$C$9, $D$9, 100%, $F$9) + CHOOSE(CONTROL!$C$27, 0.0021, 0)</f>
        <v>30.550099999999997</v>
      </c>
      <c r="D138" s="17">
        <f>30.548 * CHOOSE(CONTROL!$C$9, $D$9, 100%, $F$9) + CHOOSE(CONTROL!$C$27, 0.0021, 0)</f>
        <v>30.550099999999997</v>
      </c>
      <c r="E138" s="17">
        <f>30.4113 * CHOOSE(CONTROL!$C$9, $D$9, 100%, $F$9) + CHOOSE(CONTROL!$C$27, 0.0021, 0)</f>
        <v>30.413399999999999</v>
      </c>
      <c r="F138" s="17">
        <f>30.4113 * CHOOSE(CONTROL!$C$9, $D$9, 100%, $F$9) + CHOOSE(CONTROL!$C$27, 0.0021, 0)</f>
        <v>30.413399999999999</v>
      </c>
      <c r="G138" s="17">
        <f>30.6827 * CHOOSE(CONTROL!$C$9, $D$9, 100%, $F$9) + CHOOSE(CONTROL!$C$27, 0.0021, 0)</f>
        <v>30.684799999999999</v>
      </c>
      <c r="H138" s="17">
        <f>30.548 * CHOOSE(CONTROL!$C$9, $D$9, 100%, $F$9) + CHOOSE(CONTROL!$C$27, 0.0021, 0)</f>
        <v>30.550099999999997</v>
      </c>
      <c r="I138" s="17">
        <f>30.548 * CHOOSE(CONTROL!$C$9, $D$9, 100%, $F$9) + CHOOSE(CONTROL!$C$27, 0.0021, 0)</f>
        <v>30.550099999999997</v>
      </c>
      <c r="J138" s="17">
        <f>30.548 * CHOOSE(CONTROL!$C$9, $D$9, 100%, $F$9) + CHOOSE(CONTROL!$C$27, 0.0021, 0)</f>
        <v>30.550099999999997</v>
      </c>
      <c r="K138" s="17">
        <f>30.548 * CHOOSE(CONTROL!$C$9, $D$9, 100%, $F$9) + CHOOSE(CONTROL!$C$27, 0.0021, 0)</f>
        <v>30.550099999999997</v>
      </c>
      <c r="L138" s="17"/>
    </row>
    <row r="139" spans="1:12" ht="15" x14ac:dyDescent="0.2">
      <c r="A139" s="16">
        <v>45139</v>
      </c>
      <c r="B139" s="17">
        <f>31.212 * CHOOSE(CONTROL!$C$9, $D$9, 100%, $F$9) + CHOOSE(CONTROL!$C$27, 0.0021, 0)</f>
        <v>31.214099999999998</v>
      </c>
      <c r="C139" s="17">
        <f>30.7797 * CHOOSE(CONTROL!$C$9, $D$9, 100%, $F$9) + CHOOSE(CONTROL!$C$27, 0.0021, 0)</f>
        <v>30.781799999999997</v>
      </c>
      <c r="D139" s="17">
        <f>30.7797 * CHOOSE(CONTROL!$C$9, $D$9, 100%, $F$9) + CHOOSE(CONTROL!$C$27, 0.0021, 0)</f>
        <v>30.781799999999997</v>
      </c>
      <c r="E139" s="17">
        <f>30.6431 * CHOOSE(CONTROL!$C$9, $D$9, 100%, $F$9) + CHOOSE(CONTROL!$C$27, 0.0021, 0)</f>
        <v>30.645199999999999</v>
      </c>
      <c r="F139" s="17">
        <f>30.6431 * CHOOSE(CONTROL!$C$9, $D$9, 100%, $F$9) + CHOOSE(CONTROL!$C$27, 0.0021, 0)</f>
        <v>30.645199999999999</v>
      </c>
      <c r="G139" s="17">
        <f>30.9145 * CHOOSE(CONTROL!$C$9, $D$9, 100%, $F$9) + CHOOSE(CONTROL!$C$27, 0.0021, 0)</f>
        <v>30.916599999999999</v>
      </c>
      <c r="H139" s="17">
        <f>30.7797 * CHOOSE(CONTROL!$C$9, $D$9, 100%, $F$9) + CHOOSE(CONTROL!$C$27, 0.0021, 0)</f>
        <v>30.781799999999997</v>
      </c>
      <c r="I139" s="17">
        <f>30.7797 * CHOOSE(CONTROL!$C$9, $D$9, 100%, $F$9) + CHOOSE(CONTROL!$C$27, 0.0021, 0)</f>
        <v>30.781799999999997</v>
      </c>
      <c r="J139" s="17">
        <f>30.7797 * CHOOSE(CONTROL!$C$9, $D$9, 100%, $F$9) + CHOOSE(CONTROL!$C$27, 0.0021, 0)</f>
        <v>30.781799999999997</v>
      </c>
      <c r="K139" s="17">
        <f>30.7797 * CHOOSE(CONTROL!$C$9, $D$9, 100%, $F$9) + CHOOSE(CONTROL!$C$27, 0.0021, 0)</f>
        <v>30.781799999999997</v>
      </c>
      <c r="L139" s="17"/>
    </row>
    <row r="140" spans="1:12" ht="15" x14ac:dyDescent="0.2">
      <c r="A140" s="16">
        <v>45170</v>
      </c>
      <c r="B140" s="17">
        <f>31.8609 * CHOOSE(CONTROL!$C$9, $D$9, 100%, $F$9) + CHOOSE(CONTROL!$C$27, 0.0021, 0)</f>
        <v>31.863</v>
      </c>
      <c r="C140" s="17">
        <f>31.4286 * CHOOSE(CONTROL!$C$9, $D$9, 100%, $F$9) + CHOOSE(CONTROL!$C$27, 0.0021, 0)</f>
        <v>31.430699999999998</v>
      </c>
      <c r="D140" s="17">
        <f>31.4286 * CHOOSE(CONTROL!$C$9, $D$9, 100%, $F$9) + CHOOSE(CONTROL!$C$27, 0.0021, 0)</f>
        <v>31.430699999999998</v>
      </c>
      <c r="E140" s="17">
        <f>31.292 * CHOOSE(CONTROL!$C$9, $D$9, 100%, $F$9) + CHOOSE(CONTROL!$C$27, 0.0021, 0)</f>
        <v>31.2941</v>
      </c>
      <c r="F140" s="17">
        <f>31.292 * CHOOSE(CONTROL!$C$9, $D$9, 100%, $F$9) + CHOOSE(CONTROL!$C$27, 0.0021, 0)</f>
        <v>31.2941</v>
      </c>
      <c r="G140" s="17">
        <f>31.5633 * CHOOSE(CONTROL!$C$9, $D$9, 100%, $F$9) + CHOOSE(CONTROL!$C$27, 0.0021, 0)</f>
        <v>31.5654</v>
      </c>
      <c r="H140" s="17">
        <f>31.4286 * CHOOSE(CONTROL!$C$9, $D$9, 100%, $F$9) + CHOOSE(CONTROL!$C$27, 0.0021, 0)</f>
        <v>31.430699999999998</v>
      </c>
      <c r="I140" s="17">
        <f>31.4286 * CHOOSE(CONTROL!$C$9, $D$9, 100%, $F$9) + CHOOSE(CONTROL!$C$27, 0.0021, 0)</f>
        <v>31.430699999999998</v>
      </c>
      <c r="J140" s="17">
        <f>31.4286 * CHOOSE(CONTROL!$C$9, $D$9, 100%, $F$9) + CHOOSE(CONTROL!$C$27, 0.0021, 0)</f>
        <v>31.430699999999998</v>
      </c>
      <c r="K140" s="17">
        <f>31.4286 * CHOOSE(CONTROL!$C$9, $D$9, 100%, $F$9) + CHOOSE(CONTROL!$C$27, 0.0021, 0)</f>
        <v>31.430699999999998</v>
      </c>
      <c r="L140" s="17"/>
    </row>
    <row r="141" spans="1:12" ht="15" x14ac:dyDescent="0.2">
      <c r="A141" s="16">
        <v>45200</v>
      </c>
      <c r="B141" s="17">
        <f>32.6692 * CHOOSE(CONTROL!$C$9, $D$9, 100%, $F$9) + CHOOSE(CONTROL!$C$27, 0.0021, 0)</f>
        <v>32.671299999999995</v>
      </c>
      <c r="C141" s="17">
        <f>32.237 * CHOOSE(CONTROL!$C$9, $D$9, 100%, $F$9) + CHOOSE(CONTROL!$C$27, 0.0021, 0)</f>
        <v>32.239100000000001</v>
      </c>
      <c r="D141" s="17">
        <f>32.237 * CHOOSE(CONTROL!$C$9, $D$9, 100%, $F$9) + CHOOSE(CONTROL!$C$27, 0.0021, 0)</f>
        <v>32.239100000000001</v>
      </c>
      <c r="E141" s="17">
        <f>32.1003 * CHOOSE(CONTROL!$C$9, $D$9, 100%, $F$9) + CHOOSE(CONTROL!$C$27, 0.0021, 0)</f>
        <v>32.102399999999996</v>
      </c>
      <c r="F141" s="17">
        <f>32.1003 * CHOOSE(CONTROL!$C$9, $D$9, 100%, $F$9) + CHOOSE(CONTROL!$C$27, 0.0021, 0)</f>
        <v>32.102399999999996</v>
      </c>
      <c r="G141" s="17">
        <f>32.3717 * CHOOSE(CONTROL!$C$9, $D$9, 100%, $F$9) + CHOOSE(CONTROL!$C$27, 0.0021, 0)</f>
        <v>32.373799999999996</v>
      </c>
      <c r="H141" s="17">
        <f>32.237 * CHOOSE(CONTROL!$C$9, $D$9, 100%, $F$9) + CHOOSE(CONTROL!$C$27, 0.0021, 0)</f>
        <v>32.239100000000001</v>
      </c>
      <c r="I141" s="17">
        <f>32.237 * CHOOSE(CONTROL!$C$9, $D$9, 100%, $F$9) + CHOOSE(CONTROL!$C$27, 0.0021, 0)</f>
        <v>32.239100000000001</v>
      </c>
      <c r="J141" s="17">
        <f>32.237 * CHOOSE(CONTROL!$C$9, $D$9, 100%, $F$9) + CHOOSE(CONTROL!$C$27, 0.0021, 0)</f>
        <v>32.239100000000001</v>
      </c>
      <c r="K141" s="17">
        <f>32.237 * CHOOSE(CONTROL!$C$9, $D$9, 100%, $F$9) + CHOOSE(CONTROL!$C$27, 0.0021, 0)</f>
        <v>32.239100000000001</v>
      </c>
      <c r="L141" s="17"/>
    </row>
    <row r="142" spans="1:12" ht="15" x14ac:dyDescent="0.2">
      <c r="A142" s="16">
        <v>45231</v>
      </c>
      <c r="B142" s="17">
        <f>32.8021 * CHOOSE(CONTROL!$C$9, $D$9, 100%, $F$9) + CHOOSE(CONTROL!$C$27, 0.0021, 0)</f>
        <v>32.804200000000002</v>
      </c>
      <c r="C142" s="17">
        <f>32.3699 * CHOOSE(CONTROL!$C$9, $D$9, 100%, $F$9) + CHOOSE(CONTROL!$C$27, 0.0021, 0)</f>
        <v>32.372</v>
      </c>
      <c r="D142" s="17">
        <f>32.3699 * CHOOSE(CONTROL!$C$9, $D$9, 100%, $F$9) + CHOOSE(CONTROL!$C$27, 0.0021, 0)</f>
        <v>32.372</v>
      </c>
      <c r="E142" s="17">
        <f>32.2332 * CHOOSE(CONTROL!$C$9, $D$9, 100%, $F$9) + CHOOSE(CONTROL!$C$27, 0.0021, 0)</f>
        <v>32.235299999999995</v>
      </c>
      <c r="F142" s="17">
        <f>32.2332 * CHOOSE(CONTROL!$C$9, $D$9, 100%, $F$9) + CHOOSE(CONTROL!$C$27, 0.0021, 0)</f>
        <v>32.235299999999995</v>
      </c>
      <c r="G142" s="17">
        <f>32.5046 * CHOOSE(CONTROL!$C$9, $D$9, 100%, $F$9) + CHOOSE(CONTROL!$C$27, 0.0021, 0)</f>
        <v>32.506700000000002</v>
      </c>
      <c r="H142" s="17">
        <f>32.3699 * CHOOSE(CONTROL!$C$9, $D$9, 100%, $F$9) + CHOOSE(CONTROL!$C$27, 0.0021, 0)</f>
        <v>32.372</v>
      </c>
      <c r="I142" s="17">
        <f>32.3699 * CHOOSE(CONTROL!$C$9, $D$9, 100%, $F$9) + CHOOSE(CONTROL!$C$27, 0.0021, 0)</f>
        <v>32.372</v>
      </c>
      <c r="J142" s="17">
        <f>32.3699 * CHOOSE(CONTROL!$C$9, $D$9, 100%, $F$9) + CHOOSE(CONTROL!$C$27, 0.0021, 0)</f>
        <v>32.372</v>
      </c>
      <c r="K142" s="17">
        <f>32.3699 * CHOOSE(CONTROL!$C$9, $D$9, 100%, $F$9) + CHOOSE(CONTROL!$C$27, 0.0021, 0)</f>
        <v>32.372</v>
      </c>
      <c r="L142" s="17"/>
    </row>
    <row r="143" spans="1:12" ht="15" x14ac:dyDescent="0.2">
      <c r="A143" s="16">
        <v>45261</v>
      </c>
      <c r="B143" s="17">
        <f>32.2655 * CHOOSE(CONTROL!$C$9, $D$9, 100%, $F$9) + CHOOSE(CONTROL!$C$27, 0.0021, 0)</f>
        <v>32.267600000000002</v>
      </c>
      <c r="C143" s="17">
        <f>31.8333 * CHOOSE(CONTROL!$C$9, $D$9, 100%, $F$9) + CHOOSE(CONTROL!$C$27, 0.0021, 0)</f>
        <v>31.8354</v>
      </c>
      <c r="D143" s="17">
        <f>31.8333 * CHOOSE(CONTROL!$C$9, $D$9, 100%, $F$9) + CHOOSE(CONTROL!$C$27, 0.0021, 0)</f>
        <v>31.8354</v>
      </c>
      <c r="E143" s="17">
        <f>31.6966 * CHOOSE(CONTROL!$C$9, $D$9, 100%, $F$9) + CHOOSE(CONTROL!$C$27, 0.0021, 0)</f>
        <v>31.698699999999999</v>
      </c>
      <c r="F143" s="17">
        <f>31.6966 * CHOOSE(CONTROL!$C$9, $D$9, 100%, $F$9) + CHOOSE(CONTROL!$C$27, 0.0021, 0)</f>
        <v>31.698699999999999</v>
      </c>
      <c r="G143" s="17">
        <f>31.968 * CHOOSE(CONTROL!$C$9, $D$9, 100%, $F$9) + CHOOSE(CONTROL!$C$27, 0.0021, 0)</f>
        <v>31.970099999999999</v>
      </c>
      <c r="H143" s="17">
        <f>31.8333 * CHOOSE(CONTROL!$C$9, $D$9, 100%, $F$9) + CHOOSE(CONTROL!$C$27, 0.0021, 0)</f>
        <v>31.8354</v>
      </c>
      <c r="I143" s="17">
        <f>31.8333 * CHOOSE(CONTROL!$C$9, $D$9, 100%, $F$9) + CHOOSE(CONTROL!$C$27, 0.0021, 0)</f>
        <v>31.8354</v>
      </c>
      <c r="J143" s="17">
        <f>31.8333 * CHOOSE(CONTROL!$C$9, $D$9, 100%, $F$9) + CHOOSE(CONTROL!$C$27, 0.0021, 0)</f>
        <v>31.8354</v>
      </c>
      <c r="K143" s="17">
        <f>31.8333 * CHOOSE(CONTROL!$C$9, $D$9, 100%, $F$9) + CHOOSE(CONTROL!$C$27, 0.0021, 0)</f>
        <v>31.8354</v>
      </c>
      <c r="L143" s="17"/>
    </row>
    <row r="144" spans="1:12" ht="15" x14ac:dyDescent="0.2">
      <c r="A144" s="16">
        <v>45292</v>
      </c>
      <c r="B144" s="17">
        <f>32.0947 * CHOOSE(CONTROL!$C$9, $D$9, 100%, $F$9) + CHOOSE(CONTROL!$C$27, 0.0021, 0)</f>
        <v>32.096800000000002</v>
      </c>
      <c r="C144" s="17">
        <f>31.6625 * CHOOSE(CONTROL!$C$9, $D$9, 100%, $F$9) + CHOOSE(CONTROL!$C$27, 0.0021, 0)</f>
        <v>31.6646</v>
      </c>
      <c r="D144" s="17">
        <f>31.6625 * CHOOSE(CONTROL!$C$9, $D$9, 100%, $F$9) + CHOOSE(CONTROL!$C$27, 0.0021, 0)</f>
        <v>31.6646</v>
      </c>
      <c r="E144" s="17">
        <f>31.5258 * CHOOSE(CONTROL!$C$9, $D$9, 100%, $F$9) + CHOOSE(CONTROL!$C$27, 0.0021, 0)</f>
        <v>31.527899999999999</v>
      </c>
      <c r="F144" s="17">
        <f>31.5258 * CHOOSE(CONTROL!$C$9, $D$9, 100%, $F$9) + CHOOSE(CONTROL!$C$27, 0.0021, 0)</f>
        <v>31.527899999999999</v>
      </c>
      <c r="G144" s="17">
        <f>31.7972 * CHOOSE(CONTROL!$C$9, $D$9, 100%, $F$9) + CHOOSE(CONTROL!$C$27, 0.0021, 0)</f>
        <v>31.799299999999999</v>
      </c>
      <c r="H144" s="17">
        <f>31.6625 * CHOOSE(CONTROL!$C$9, $D$9, 100%, $F$9) + CHOOSE(CONTROL!$C$27, 0.0021, 0)</f>
        <v>31.6646</v>
      </c>
      <c r="I144" s="17">
        <f>31.6625 * CHOOSE(CONTROL!$C$9, $D$9, 100%, $F$9) + CHOOSE(CONTROL!$C$27, 0.0021, 0)</f>
        <v>31.6646</v>
      </c>
      <c r="J144" s="17">
        <f>31.6625 * CHOOSE(CONTROL!$C$9, $D$9, 100%, $F$9) + CHOOSE(CONTROL!$C$27, 0.0021, 0)</f>
        <v>31.6646</v>
      </c>
      <c r="K144" s="17">
        <f>31.6625 * CHOOSE(CONTROL!$C$9, $D$9, 100%, $F$9) + CHOOSE(CONTROL!$C$27, 0.0021, 0)</f>
        <v>31.6646</v>
      </c>
      <c r="L144" s="17"/>
    </row>
    <row r="145" spans="1:12" ht="15" x14ac:dyDescent="0.2">
      <c r="A145" s="16">
        <v>45323</v>
      </c>
      <c r="B145" s="17">
        <f>31.3114 * CHOOSE(CONTROL!$C$9, $D$9, 100%, $F$9) + CHOOSE(CONTROL!$C$27, 0.0021, 0)</f>
        <v>31.313499999999998</v>
      </c>
      <c r="C145" s="17">
        <f>30.8792 * CHOOSE(CONTROL!$C$9, $D$9, 100%, $F$9) + CHOOSE(CONTROL!$C$27, 0.0021, 0)</f>
        <v>30.8813</v>
      </c>
      <c r="D145" s="17">
        <f>30.8792 * CHOOSE(CONTROL!$C$9, $D$9, 100%, $F$9) + CHOOSE(CONTROL!$C$27, 0.0021, 0)</f>
        <v>30.8813</v>
      </c>
      <c r="E145" s="17">
        <f>30.7425 * CHOOSE(CONTROL!$C$9, $D$9, 100%, $F$9) + CHOOSE(CONTROL!$C$27, 0.0021, 0)</f>
        <v>30.744599999999998</v>
      </c>
      <c r="F145" s="17">
        <f>30.7425 * CHOOSE(CONTROL!$C$9, $D$9, 100%, $F$9) + CHOOSE(CONTROL!$C$27, 0.0021, 0)</f>
        <v>30.744599999999998</v>
      </c>
      <c r="G145" s="17">
        <f>31.0139 * CHOOSE(CONTROL!$C$9, $D$9, 100%, $F$9) + CHOOSE(CONTROL!$C$27, 0.0021, 0)</f>
        <v>31.015999999999998</v>
      </c>
      <c r="H145" s="17">
        <f>30.8792 * CHOOSE(CONTROL!$C$9, $D$9, 100%, $F$9) + CHOOSE(CONTROL!$C$27, 0.0021, 0)</f>
        <v>30.8813</v>
      </c>
      <c r="I145" s="17">
        <f>30.8792 * CHOOSE(CONTROL!$C$9, $D$9, 100%, $F$9) + CHOOSE(CONTROL!$C$27, 0.0021, 0)</f>
        <v>30.8813</v>
      </c>
      <c r="J145" s="17">
        <f>30.8792 * CHOOSE(CONTROL!$C$9, $D$9, 100%, $F$9) + CHOOSE(CONTROL!$C$27, 0.0021, 0)</f>
        <v>30.8813</v>
      </c>
      <c r="K145" s="17">
        <f>30.8792 * CHOOSE(CONTROL!$C$9, $D$9, 100%, $F$9) + CHOOSE(CONTROL!$C$27, 0.0021, 0)</f>
        <v>30.8813</v>
      </c>
      <c r="L145" s="17"/>
    </row>
    <row r="146" spans="1:12" ht="15" x14ac:dyDescent="0.2">
      <c r="A146" s="16">
        <v>45352</v>
      </c>
      <c r="B146" s="17">
        <f>31.0218 * CHOOSE(CONTROL!$C$9, $D$9, 100%, $F$9) + CHOOSE(CONTROL!$C$27, 0.0021, 0)</f>
        <v>31.023899999999998</v>
      </c>
      <c r="C146" s="17">
        <f>30.5895 * CHOOSE(CONTROL!$C$9, $D$9, 100%, $F$9) + CHOOSE(CONTROL!$C$27, 0.0021, 0)</f>
        <v>30.5916</v>
      </c>
      <c r="D146" s="17">
        <f>30.5895 * CHOOSE(CONTROL!$C$9, $D$9, 100%, $F$9) + CHOOSE(CONTROL!$C$27, 0.0021, 0)</f>
        <v>30.5916</v>
      </c>
      <c r="E146" s="17">
        <f>30.4529 * CHOOSE(CONTROL!$C$9, $D$9, 100%, $F$9) + CHOOSE(CONTROL!$C$27, 0.0021, 0)</f>
        <v>30.454999999999998</v>
      </c>
      <c r="F146" s="17">
        <f>30.4529 * CHOOSE(CONTROL!$C$9, $D$9, 100%, $F$9) + CHOOSE(CONTROL!$C$27, 0.0021, 0)</f>
        <v>30.454999999999998</v>
      </c>
      <c r="G146" s="17">
        <f>30.7242 * CHOOSE(CONTROL!$C$9, $D$9, 100%, $F$9) + CHOOSE(CONTROL!$C$27, 0.0021, 0)</f>
        <v>30.726299999999998</v>
      </c>
      <c r="H146" s="17">
        <f>30.5895 * CHOOSE(CONTROL!$C$9, $D$9, 100%, $F$9) + CHOOSE(CONTROL!$C$27, 0.0021, 0)</f>
        <v>30.5916</v>
      </c>
      <c r="I146" s="17">
        <f>30.5895 * CHOOSE(CONTROL!$C$9, $D$9, 100%, $F$9) + CHOOSE(CONTROL!$C$27, 0.0021, 0)</f>
        <v>30.5916</v>
      </c>
      <c r="J146" s="17">
        <f>30.5895 * CHOOSE(CONTROL!$C$9, $D$9, 100%, $F$9) + CHOOSE(CONTROL!$C$27, 0.0021, 0)</f>
        <v>30.5916</v>
      </c>
      <c r="K146" s="17">
        <f>30.5895 * CHOOSE(CONTROL!$C$9, $D$9, 100%, $F$9) + CHOOSE(CONTROL!$C$27, 0.0021, 0)</f>
        <v>30.5916</v>
      </c>
      <c r="L146" s="17"/>
    </row>
    <row r="147" spans="1:12" ht="15" x14ac:dyDescent="0.2">
      <c r="A147" s="16">
        <v>45383</v>
      </c>
      <c r="B147" s="17">
        <f>30.6629 * CHOOSE(CONTROL!$C$9, $D$9, 100%, $F$9) + CHOOSE(CONTROL!$C$27, 0.0021, 0)</f>
        <v>30.664999999999999</v>
      </c>
      <c r="C147" s="17">
        <f>30.2306 * CHOOSE(CONTROL!$C$9, $D$9, 100%, $F$9) + CHOOSE(CONTROL!$C$27, 0.0021, 0)</f>
        <v>30.232699999999998</v>
      </c>
      <c r="D147" s="17">
        <f>30.2306 * CHOOSE(CONTROL!$C$9, $D$9, 100%, $F$9) + CHOOSE(CONTROL!$C$27, 0.0021, 0)</f>
        <v>30.232699999999998</v>
      </c>
      <c r="E147" s="17">
        <f>30.094 * CHOOSE(CONTROL!$C$9, $D$9, 100%, $F$9) + CHOOSE(CONTROL!$C$27, 0.0021, 0)</f>
        <v>30.0961</v>
      </c>
      <c r="F147" s="17">
        <f>30.094 * CHOOSE(CONTROL!$C$9, $D$9, 100%, $F$9) + CHOOSE(CONTROL!$C$27, 0.0021, 0)</f>
        <v>30.0961</v>
      </c>
      <c r="G147" s="17">
        <f>30.3653 * CHOOSE(CONTROL!$C$9, $D$9, 100%, $F$9) + CHOOSE(CONTROL!$C$27, 0.0021, 0)</f>
        <v>30.3674</v>
      </c>
      <c r="H147" s="17">
        <f>30.2306 * CHOOSE(CONTROL!$C$9, $D$9, 100%, $F$9) + CHOOSE(CONTROL!$C$27, 0.0021, 0)</f>
        <v>30.232699999999998</v>
      </c>
      <c r="I147" s="17">
        <f>30.2306 * CHOOSE(CONTROL!$C$9, $D$9, 100%, $F$9) + CHOOSE(CONTROL!$C$27, 0.0021, 0)</f>
        <v>30.232699999999998</v>
      </c>
      <c r="J147" s="17">
        <f>30.2306 * CHOOSE(CONTROL!$C$9, $D$9, 100%, $F$9) + CHOOSE(CONTROL!$C$27, 0.0021, 0)</f>
        <v>30.232699999999998</v>
      </c>
      <c r="K147" s="17">
        <f>30.2306 * CHOOSE(CONTROL!$C$9, $D$9, 100%, $F$9) + CHOOSE(CONTROL!$C$27, 0.0021, 0)</f>
        <v>30.232699999999998</v>
      </c>
      <c r="L147" s="17"/>
    </row>
    <row r="148" spans="1:12" ht="15" x14ac:dyDescent="0.2">
      <c r="A148" s="16">
        <v>45413</v>
      </c>
      <c r="B148" s="17">
        <f>31.3183 * CHOOSE(CONTROL!$C$9, $D$9, 100%, $F$9) + CHOOSE(CONTROL!$C$27, 0.0021, 0)</f>
        <v>31.320399999999999</v>
      </c>
      <c r="C148" s="17">
        <f>30.8861 * CHOOSE(CONTROL!$C$9, $D$9, 100%, $F$9) + CHOOSE(CONTROL!$C$27, 0.0021, 0)</f>
        <v>30.888199999999998</v>
      </c>
      <c r="D148" s="17">
        <f>30.8861 * CHOOSE(CONTROL!$C$9, $D$9, 100%, $F$9) + CHOOSE(CONTROL!$C$27, 0.0021, 0)</f>
        <v>30.888199999999998</v>
      </c>
      <c r="E148" s="17">
        <f>30.7494 * CHOOSE(CONTROL!$C$9, $D$9, 100%, $F$9) + CHOOSE(CONTROL!$C$27, 0.0021, 0)</f>
        <v>30.7515</v>
      </c>
      <c r="F148" s="17">
        <f>30.7494 * CHOOSE(CONTROL!$C$9, $D$9, 100%, $F$9) + CHOOSE(CONTROL!$C$27, 0.0021, 0)</f>
        <v>30.7515</v>
      </c>
      <c r="G148" s="17">
        <f>31.0208 * CHOOSE(CONTROL!$C$9, $D$9, 100%, $F$9) + CHOOSE(CONTROL!$C$27, 0.0021, 0)</f>
        <v>31.0229</v>
      </c>
      <c r="H148" s="17">
        <f>30.8861 * CHOOSE(CONTROL!$C$9, $D$9, 100%, $F$9) + CHOOSE(CONTROL!$C$27, 0.0021, 0)</f>
        <v>30.888199999999998</v>
      </c>
      <c r="I148" s="17">
        <f>30.8861 * CHOOSE(CONTROL!$C$9, $D$9, 100%, $F$9) + CHOOSE(CONTROL!$C$27, 0.0021, 0)</f>
        <v>30.888199999999998</v>
      </c>
      <c r="J148" s="17">
        <f>30.8861 * CHOOSE(CONTROL!$C$9, $D$9, 100%, $F$9) + CHOOSE(CONTROL!$C$27, 0.0021, 0)</f>
        <v>30.888199999999998</v>
      </c>
      <c r="K148" s="17">
        <f>30.8861 * CHOOSE(CONTROL!$C$9, $D$9, 100%, $F$9) + CHOOSE(CONTROL!$C$27, 0.0021, 0)</f>
        <v>30.888199999999998</v>
      </c>
      <c r="L148" s="17"/>
    </row>
    <row r="149" spans="1:12" ht="15" x14ac:dyDescent="0.2">
      <c r="A149" s="16">
        <v>45444</v>
      </c>
      <c r="B149" s="17">
        <f>31.7365 * CHOOSE(CONTROL!$C$9, $D$9, 100%, $F$9) + CHOOSE(CONTROL!$C$27, 0.0021, 0)</f>
        <v>31.738599999999998</v>
      </c>
      <c r="C149" s="17">
        <f>31.3042 * CHOOSE(CONTROL!$C$9, $D$9, 100%, $F$9) + CHOOSE(CONTROL!$C$27, 0.0021, 0)</f>
        <v>31.3063</v>
      </c>
      <c r="D149" s="17">
        <f>31.3042 * CHOOSE(CONTROL!$C$9, $D$9, 100%, $F$9) + CHOOSE(CONTROL!$C$27, 0.0021, 0)</f>
        <v>31.3063</v>
      </c>
      <c r="E149" s="17">
        <f>31.1675 * CHOOSE(CONTROL!$C$9, $D$9, 100%, $F$9) + CHOOSE(CONTROL!$C$27, 0.0021, 0)</f>
        <v>31.169599999999999</v>
      </c>
      <c r="F149" s="17">
        <f>31.1675 * CHOOSE(CONTROL!$C$9, $D$9, 100%, $F$9) + CHOOSE(CONTROL!$C$27, 0.0021, 0)</f>
        <v>31.169599999999999</v>
      </c>
      <c r="G149" s="17">
        <f>31.4389 * CHOOSE(CONTROL!$C$9, $D$9, 100%, $F$9) + CHOOSE(CONTROL!$C$27, 0.0021, 0)</f>
        <v>31.440999999999999</v>
      </c>
      <c r="H149" s="17">
        <f>31.3042 * CHOOSE(CONTROL!$C$9, $D$9, 100%, $F$9) + CHOOSE(CONTROL!$C$27, 0.0021, 0)</f>
        <v>31.3063</v>
      </c>
      <c r="I149" s="17">
        <f>31.3042 * CHOOSE(CONTROL!$C$9, $D$9, 100%, $F$9) + CHOOSE(CONTROL!$C$27, 0.0021, 0)</f>
        <v>31.3063</v>
      </c>
      <c r="J149" s="17">
        <f>31.3042 * CHOOSE(CONTROL!$C$9, $D$9, 100%, $F$9) + CHOOSE(CONTROL!$C$27, 0.0021, 0)</f>
        <v>31.3063</v>
      </c>
      <c r="K149" s="17">
        <f>31.3042 * CHOOSE(CONTROL!$C$9, $D$9, 100%, $F$9) + CHOOSE(CONTROL!$C$27, 0.0021, 0)</f>
        <v>31.3063</v>
      </c>
      <c r="L149" s="17"/>
    </row>
    <row r="150" spans="1:12" ht="15" x14ac:dyDescent="0.2">
      <c r="A150" s="16">
        <v>45474</v>
      </c>
      <c r="B150" s="17">
        <f>32.3894 * CHOOSE(CONTROL!$C$9, $D$9, 100%, $F$9) + CHOOSE(CONTROL!$C$27, 0.0021, 0)</f>
        <v>32.391500000000001</v>
      </c>
      <c r="C150" s="17">
        <f>31.9572 * CHOOSE(CONTROL!$C$9, $D$9, 100%, $F$9) + CHOOSE(CONTROL!$C$27, 0.0021, 0)</f>
        <v>31.959299999999999</v>
      </c>
      <c r="D150" s="17">
        <f>31.9572 * CHOOSE(CONTROL!$C$9, $D$9, 100%, $F$9) + CHOOSE(CONTROL!$C$27, 0.0021, 0)</f>
        <v>31.959299999999999</v>
      </c>
      <c r="E150" s="17">
        <f>31.8205 * CHOOSE(CONTROL!$C$9, $D$9, 100%, $F$9) + CHOOSE(CONTROL!$C$27, 0.0021, 0)</f>
        <v>31.822599999999998</v>
      </c>
      <c r="F150" s="17">
        <f>31.8205 * CHOOSE(CONTROL!$C$9, $D$9, 100%, $F$9) + CHOOSE(CONTROL!$C$27, 0.0021, 0)</f>
        <v>31.822599999999998</v>
      </c>
      <c r="G150" s="17">
        <f>32.0919 * CHOOSE(CONTROL!$C$9, $D$9, 100%, $F$9) + CHOOSE(CONTROL!$C$27, 0.0021, 0)</f>
        <v>32.094000000000001</v>
      </c>
      <c r="H150" s="17">
        <f>31.9572 * CHOOSE(CONTROL!$C$9, $D$9, 100%, $F$9) + CHOOSE(CONTROL!$C$27, 0.0021, 0)</f>
        <v>31.959299999999999</v>
      </c>
      <c r="I150" s="17">
        <f>31.9572 * CHOOSE(CONTROL!$C$9, $D$9, 100%, $F$9) + CHOOSE(CONTROL!$C$27, 0.0021, 0)</f>
        <v>31.959299999999999</v>
      </c>
      <c r="J150" s="17">
        <f>31.9572 * CHOOSE(CONTROL!$C$9, $D$9, 100%, $F$9) + CHOOSE(CONTROL!$C$27, 0.0021, 0)</f>
        <v>31.959299999999999</v>
      </c>
      <c r="K150" s="17">
        <f>31.9572 * CHOOSE(CONTROL!$C$9, $D$9, 100%, $F$9) + CHOOSE(CONTROL!$C$27, 0.0021, 0)</f>
        <v>31.959299999999999</v>
      </c>
      <c r="L150" s="17"/>
    </row>
    <row r="151" spans="1:12" ht="15" x14ac:dyDescent="0.2">
      <c r="A151" s="16">
        <v>45505</v>
      </c>
      <c r="B151" s="17">
        <f>32.6326 * CHOOSE(CONTROL!$C$9, $D$9, 100%, $F$9) + CHOOSE(CONTROL!$C$27, 0.0021, 0)</f>
        <v>32.634699999999995</v>
      </c>
      <c r="C151" s="17">
        <f>32.2003 * CHOOSE(CONTROL!$C$9, $D$9, 100%, $F$9) + CHOOSE(CONTROL!$C$27, 0.0021, 0)</f>
        <v>32.202399999999997</v>
      </c>
      <c r="D151" s="17">
        <f>32.2003 * CHOOSE(CONTROL!$C$9, $D$9, 100%, $F$9) + CHOOSE(CONTROL!$C$27, 0.0021, 0)</f>
        <v>32.202399999999997</v>
      </c>
      <c r="E151" s="17">
        <f>32.0637 * CHOOSE(CONTROL!$C$9, $D$9, 100%, $F$9) + CHOOSE(CONTROL!$C$27, 0.0021, 0)</f>
        <v>32.065799999999996</v>
      </c>
      <c r="F151" s="17">
        <f>32.0637 * CHOOSE(CONTROL!$C$9, $D$9, 100%, $F$9) + CHOOSE(CONTROL!$C$27, 0.0021, 0)</f>
        <v>32.065799999999996</v>
      </c>
      <c r="G151" s="17">
        <f>32.3351 * CHOOSE(CONTROL!$C$9, $D$9, 100%, $F$9) + CHOOSE(CONTROL!$C$27, 0.0021, 0)</f>
        <v>32.337199999999996</v>
      </c>
      <c r="H151" s="17">
        <f>32.2003 * CHOOSE(CONTROL!$C$9, $D$9, 100%, $F$9) + CHOOSE(CONTROL!$C$27, 0.0021, 0)</f>
        <v>32.202399999999997</v>
      </c>
      <c r="I151" s="17">
        <f>32.2003 * CHOOSE(CONTROL!$C$9, $D$9, 100%, $F$9) + CHOOSE(CONTROL!$C$27, 0.0021, 0)</f>
        <v>32.202399999999997</v>
      </c>
      <c r="J151" s="17">
        <f>32.2003 * CHOOSE(CONTROL!$C$9, $D$9, 100%, $F$9) + CHOOSE(CONTROL!$C$27, 0.0021, 0)</f>
        <v>32.202399999999997</v>
      </c>
      <c r="K151" s="17">
        <f>32.2003 * CHOOSE(CONTROL!$C$9, $D$9, 100%, $F$9) + CHOOSE(CONTROL!$C$27, 0.0021, 0)</f>
        <v>32.202399999999997</v>
      </c>
      <c r="L151" s="17"/>
    </row>
    <row r="152" spans="1:12" ht="15" x14ac:dyDescent="0.2">
      <c r="A152" s="16">
        <v>45536</v>
      </c>
      <c r="B152" s="17">
        <f>33.3133 * CHOOSE(CONTROL!$C$9, $D$9, 100%, $F$9) + CHOOSE(CONTROL!$C$27, 0.0021, 0)</f>
        <v>33.315399999999997</v>
      </c>
      <c r="C152" s="17">
        <f>32.8811 * CHOOSE(CONTROL!$C$9, $D$9, 100%, $F$9) + CHOOSE(CONTROL!$C$27, 0.0021, 0)</f>
        <v>32.883200000000002</v>
      </c>
      <c r="D152" s="17">
        <f>32.8811 * CHOOSE(CONTROL!$C$9, $D$9, 100%, $F$9) + CHOOSE(CONTROL!$C$27, 0.0021, 0)</f>
        <v>32.883200000000002</v>
      </c>
      <c r="E152" s="17">
        <f>32.7444 * CHOOSE(CONTROL!$C$9, $D$9, 100%, $F$9) + CHOOSE(CONTROL!$C$27, 0.0021, 0)</f>
        <v>32.746499999999997</v>
      </c>
      <c r="F152" s="17">
        <f>32.7444 * CHOOSE(CONTROL!$C$9, $D$9, 100%, $F$9) + CHOOSE(CONTROL!$C$27, 0.0021, 0)</f>
        <v>32.746499999999997</v>
      </c>
      <c r="G152" s="17">
        <f>33.0158 * CHOOSE(CONTROL!$C$9, $D$9, 100%, $F$9) + CHOOSE(CONTROL!$C$27, 0.0021, 0)</f>
        <v>33.017899999999997</v>
      </c>
      <c r="H152" s="17">
        <f>32.8811 * CHOOSE(CONTROL!$C$9, $D$9, 100%, $F$9) + CHOOSE(CONTROL!$C$27, 0.0021, 0)</f>
        <v>32.883200000000002</v>
      </c>
      <c r="I152" s="17">
        <f>32.8811 * CHOOSE(CONTROL!$C$9, $D$9, 100%, $F$9) + CHOOSE(CONTROL!$C$27, 0.0021, 0)</f>
        <v>32.883200000000002</v>
      </c>
      <c r="J152" s="17">
        <f>32.8811 * CHOOSE(CONTROL!$C$9, $D$9, 100%, $F$9) + CHOOSE(CONTROL!$C$27, 0.0021, 0)</f>
        <v>32.883200000000002</v>
      </c>
      <c r="K152" s="17">
        <f>32.8811 * CHOOSE(CONTROL!$C$9, $D$9, 100%, $F$9) + CHOOSE(CONTROL!$C$27, 0.0021, 0)</f>
        <v>32.883200000000002</v>
      </c>
      <c r="L152" s="17"/>
    </row>
    <row r="153" spans="1:12" ht="15" x14ac:dyDescent="0.2">
      <c r="A153" s="16">
        <v>45566</v>
      </c>
      <c r="B153" s="17">
        <f>34.1614 * CHOOSE(CONTROL!$C$9, $D$9, 100%, $F$9) + CHOOSE(CONTROL!$C$27, 0.0021, 0)</f>
        <v>34.163499999999999</v>
      </c>
      <c r="C153" s="17">
        <f>33.7292 * CHOOSE(CONTROL!$C$9, $D$9, 100%, $F$9) + CHOOSE(CONTROL!$C$27, 0.0021, 0)</f>
        <v>33.731299999999997</v>
      </c>
      <c r="D153" s="17">
        <f>33.7292 * CHOOSE(CONTROL!$C$9, $D$9, 100%, $F$9) + CHOOSE(CONTROL!$C$27, 0.0021, 0)</f>
        <v>33.731299999999997</v>
      </c>
      <c r="E153" s="17">
        <f>33.5925 * CHOOSE(CONTROL!$C$9, $D$9, 100%, $F$9) + CHOOSE(CONTROL!$C$27, 0.0021, 0)</f>
        <v>33.5946</v>
      </c>
      <c r="F153" s="17">
        <f>33.5925 * CHOOSE(CONTROL!$C$9, $D$9, 100%, $F$9) + CHOOSE(CONTROL!$C$27, 0.0021, 0)</f>
        <v>33.5946</v>
      </c>
      <c r="G153" s="17">
        <f>33.8639 * CHOOSE(CONTROL!$C$9, $D$9, 100%, $F$9) + CHOOSE(CONTROL!$C$27, 0.0021, 0)</f>
        <v>33.866</v>
      </c>
      <c r="H153" s="17">
        <f>33.7292 * CHOOSE(CONTROL!$C$9, $D$9, 100%, $F$9) + CHOOSE(CONTROL!$C$27, 0.0021, 0)</f>
        <v>33.731299999999997</v>
      </c>
      <c r="I153" s="17">
        <f>33.7292 * CHOOSE(CONTROL!$C$9, $D$9, 100%, $F$9) + CHOOSE(CONTROL!$C$27, 0.0021, 0)</f>
        <v>33.731299999999997</v>
      </c>
      <c r="J153" s="17">
        <f>33.7292 * CHOOSE(CONTROL!$C$9, $D$9, 100%, $F$9) + CHOOSE(CONTROL!$C$27, 0.0021, 0)</f>
        <v>33.731299999999997</v>
      </c>
      <c r="K153" s="17">
        <f>33.7292 * CHOOSE(CONTROL!$C$9, $D$9, 100%, $F$9) + CHOOSE(CONTROL!$C$27, 0.0021, 0)</f>
        <v>33.731299999999997</v>
      </c>
      <c r="L153" s="17"/>
    </row>
    <row r="154" spans="1:12" ht="15" x14ac:dyDescent="0.2">
      <c r="A154" s="16">
        <v>45597</v>
      </c>
      <c r="B154" s="17">
        <f>34.3008 * CHOOSE(CONTROL!$C$9, $D$9, 100%, $F$9) + CHOOSE(CONTROL!$C$27, 0.0021, 0)</f>
        <v>34.302900000000001</v>
      </c>
      <c r="C154" s="17">
        <f>33.8686 * CHOOSE(CONTROL!$C$9, $D$9, 100%, $F$9) + CHOOSE(CONTROL!$C$27, 0.0021, 0)</f>
        <v>33.870699999999999</v>
      </c>
      <c r="D154" s="17">
        <f>33.8686 * CHOOSE(CONTROL!$C$9, $D$9, 100%, $F$9) + CHOOSE(CONTROL!$C$27, 0.0021, 0)</f>
        <v>33.870699999999999</v>
      </c>
      <c r="E154" s="17">
        <f>33.7319 * CHOOSE(CONTROL!$C$9, $D$9, 100%, $F$9) + CHOOSE(CONTROL!$C$27, 0.0021, 0)</f>
        <v>33.734000000000002</v>
      </c>
      <c r="F154" s="17">
        <f>33.7319 * CHOOSE(CONTROL!$C$9, $D$9, 100%, $F$9) + CHOOSE(CONTROL!$C$27, 0.0021, 0)</f>
        <v>33.734000000000002</v>
      </c>
      <c r="G154" s="17">
        <f>34.0033 * CHOOSE(CONTROL!$C$9, $D$9, 100%, $F$9) + CHOOSE(CONTROL!$C$27, 0.0021, 0)</f>
        <v>34.005400000000002</v>
      </c>
      <c r="H154" s="17">
        <f>33.8686 * CHOOSE(CONTROL!$C$9, $D$9, 100%, $F$9) + CHOOSE(CONTROL!$C$27, 0.0021, 0)</f>
        <v>33.870699999999999</v>
      </c>
      <c r="I154" s="17">
        <f>33.8686 * CHOOSE(CONTROL!$C$9, $D$9, 100%, $F$9) + CHOOSE(CONTROL!$C$27, 0.0021, 0)</f>
        <v>33.870699999999999</v>
      </c>
      <c r="J154" s="17">
        <f>33.8686 * CHOOSE(CONTROL!$C$9, $D$9, 100%, $F$9) + CHOOSE(CONTROL!$C$27, 0.0021, 0)</f>
        <v>33.870699999999999</v>
      </c>
      <c r="K154" s="17">
        <f>33.8686 * CHOOSE(CONTROL!$C$9, $D$9, 100%, $F$9) + CHOOSE(CONTROL!$C$27, 0.0021, 0)</f>
        <v>33.870699999999999</v>
      </c>
      <c r="L154" s="17"/>
    </row>
    <row r="155" spans="1:12" ht="15" x14ac:dyDescent="0.2">
      <c r="A155" s="16">
        <v>45627</v>
      </c>
      <c r="B155" s="17">
        <f>33.7379 * CHOOSE(CONTROL!$C$9, $D$9, 100%, $F$9) + CHOOSE(CONTROL!$C$27, 0.0021, 0)</f>
        <v>33.74</v>
      </c>
      <c r="C155" s="17">
        <f>33.3056 * CHOOSE(CONTROL!$C$9, $D$9, 100%, $F$9) + CHOOSE(CONTROL!$C$27, 0.0021, 0)</f>
        <v>33.307699999999997</v>
      </c>
      <c r="D155" s="17">
        <f>33.3056 * CHOOSE(CONTROL!$C$9, $D$9, 100%, $F$9) + CHOOSE(CONTROL!$C$27, 0.0021, 0)</f>
        <v>33.307699999999997</v>
      </c>
      <c r="E155" s="17">
        <f>33.169 * CHOOSE(CONTROL!$C$9, $D$9, 100%, $F$9) + CHOOSE(CONTROL!$C$27, 0.0021, 0)</f>
        <v>33.171099999999996</v>
      </c>
      <c r="F155" s="17">
        <f>33.169 * CHOOSE(CONTROL!$C$9, $D$9, 100%, $F$9) + CHOOSE(CONTROL!$C$27, 0.0021, 0)</f>
        <v>33.171099999999996</v>
      </c>
      <c r="G155" s="17">
        <f>33.4403 * CHOOSE(CONTROL!$C$9, $D$9, 100%, $F$9) + CHOOSE(CONTROL!$C$27, 0.0021, 0)</f>
        <v>33.442399999999999</v>
      </c>
      <c r="H155" s="17">
        <f>33.3056 * CHOOSE(CONTROL!$C$9, $D$9, 100%, $F$9) + CHOOSE(CONTROL!$C$27, 0.0021, 0)</f>
        <v>33.307699999999997</v>
      </c>
      <c r="I155" s="17">
        <f>33.3056 * CHOOSE(CONTROL!$C$9, $D$9, 100%, $F$9) + CHOOSE(CONTROL!$C$27, 0.0021, 0)</f>
        <v>33.307699999999997</v>
      </c>
      <c r="J155" s="17">
        <f>33.3056 * CHOOSE(CONTROL!$C$9, $D$9, 100%, $F$9) + CHOOSE(CONTROL!$C$27, 0.0021, 0)</f>
        <v>33.307699999999997</v>
      </c>
      <c r="K155" s="17">
        <f>33.3056 * CHOOSE(CONTROL!$C$9, $D$9, 100%, $F$9) + CHOOSE(CONTROL!$C$27, 0.0021, 0)</f>
        <v>33.307699999999997</v>
      </c>
      <c r="L155" s="17"/>
    </row>
    <row r="156" spans="1:12" ht="15" x14ac:dyDescent="0.2">
      <c r="A156" s="16">
        <v>45658</v>
      </c>
      <c r="B156" s="17">
        <f>33.4543 * CHOOSE(CONTROL!$C$9, $D$9, 100%, $F$9) + CHOOSE(CONTROL!$C$27, 0.0021, 0)</f>
        <v>33.456400000000002</v>
      </c>
      <c r="C156" s="17">
        <f>33.022 * CHOOSE(CONTROL!$C$9, $D$9, 100%, $F$9) + CHOOSE(CONTROL!$C$27, 0.0021, 0)</f>
        <v>33.024099999999997</v>
      </c>
      <c r="D156" s="17">
        <f>33.022 * CHOOSE(CONTROL!$C$9, $D$9, 100%, $F$9) + CHOOSE(CONTROL!$C$27, 0.0021, 0)</f>
        <v>33.024099999999997</v>
      </c>
      <c r="E156" s="17">
        <f>32.8854 * CHOOSE(CONTROL!$C$9, $D$9, 100%, $F$9) + CHOOSE(CONTROL!$C$27, 0.0021, 0)</f>
        <v>32.887499999999996</v>
      </c>
      <c r="F156" s="17">
        <f>32.8854 * CHOOSE(CONTROL!$C$9, $D$9, 100%, $F$9) + CHOOSE(CONTROL!$C$27, 0.0021, 0)</f>
        <v>32.887499999999996</v>
      </c>
      <c r="G156" s="17">
        <f>33.1568 * CHOOSE(CONTROL!$C$9, $D$9, 100%, $F$9) + CHOOSE(CONTROL!$C$27, 0.0021, 0)</f>
        <v>33.158899999999996</v>
      </c>
      <c r="H156" s="17">
        <f>33.022 * CHOOSE(CONTROL!$C$9, $D$9, 100%, $F$9) + CHOOSE(CONTROL!$C$27, 0.0021, 0)</f>
        <v>33.024099999999997</v>
      </c>
      <c r="I156" s="17">
        <f>33.022 * CHOOSE(CONTROL!$C$9, $D$9, 100%, $F$9) + CHOOSE(CONTROL!$C$27, 0.0021, 0)</f>
        <v>33.024099999999997</v>
      </c>
      <c r="J156" s="17">
        <f>33.022 * CHOOSE(CONTROL!$C$9, $D$9, 100%, $F$9) + CHOOSE(CONTROL!$C$27, 0.0021, 0)</f>
        <v>33.024099999999997</v>
      </c>
      <c r="K156" s="17">
        <f>33.022 * CHOOSE(CONTROL!$C$9, $D$9, 100%, $F$9) + CHOOSE(CONTROL!$C$27, 0.0021, 0)</f>
        <v>33.024099999999997</v>
      </c>
      <c r="L156" s="17"/>
    </row>
    <row r="157" spans="1:12" ht="15" x14ac:dyDescent="0.2">
      <c r="A157" s="16">
        <v>45689</v>
      </c>
      <c r="B157" s="17">
        <f>32.6352 * CHOOSE(CONTROL!$C$9, $D$9, 100%, $F$9) + CHOOSE(CONTROL!$C$27, 0.0021, 0)</f>
        <v>32.637299999999996</v>
      </c>
      <c r="C157" s="17">
        <f>32.203 * CHOOSE(CONTROL!$C$9, $D$9, 100%, $F$9) + CHOOSE(CONTROL!$C$27, 0.0021, 0)</f>
        <v>32.205100000000002</v>
      </c>
      <c r="D157" s="17">
        <f>32.203 * CHOOSE(CONTROL!$C$9, $D$9, 100%, $F$9) + CHOOSE(CONTROL!$C$27, 0.0021, 0)</f>
        <v>32.205100000000002</v>
      </c>
      <c r="E157" s="17">
        <f>32.0663 * CHOOSE(CONTROL!$C$9, $D$9, 100%, $F$9) + CHOOSE(CONTROL!$C$27, 0.0021, 0)</f>
        <v>32.068399999999997</v>
      </c>
      <c r="F157" s="17">
        <f>32.0663 * CHOOSE(CONTROL!$C$9, $D$9, 100%, $F$9) + CHOOSE(CONTROL!$C$27, 0.0021, 0)</f>
        <v>32.068399999999997</v>
      </c>
      <c r="G157" s="17">
        <f>32.3377 * CHOOSE(CONTROL!$C$9, $D$9, 100%, $F$9) + CHOOSE(CONTROL!$C$27, 0.0021, 0)</f>
        <v>32.339799999999997</v>
      </c>
      <c r="H157" s="17">
        <f>32.203 * CHOOSE(CONTROL!$C$9, $D$9, 100%, $F$9) + CHOOSE(CONTROL!$C$27, 0.0021, 0)</f>
        <v>32.205100000000002</v>
      </c>
      <c r="I157" s="17">
        <f>32.203 * CHOOSE(CONTROL!$C$9, $D$9, 100%, $F$9) + CHOOSE(CONTROL!$C$27, 0.0021, 0)</f>
        <v>32.205100000000002</v>
      </c>
      <c r="J157" s="17">
        <f>32.203 * CHOOSE(CONTROL!$C$9, $D$9, 100%, $F$9) + CHOOSE(CONTROL!$C$27, 0.0021, 0)</f>
        <v>32.205100000000002</v>
      </c>
      <c r="K157" s="17">
        <f>32.203 * CHOOSE(CONTROL!$C$9, $D$9, 100%, $F$9) + CHOOSE(CONTROL!$C$27, 0.0021, 0)</f>
        <v>32.205100000000002</v>
      </c>
      <c r="L157" s="17"/>
    </row>
    <row r="158" spans="1:12" ht="15" x14ac:dyDescent="0.2">
      <c r="A158" s="16">
        <v>45717</v>
      </c>
      <c r="B158" s="17">
        <f>32.3324 * CHOOSE(CONTROL!$C$9, $D$9, 100%, $F$9) + CHOOSE(CONTROL!$C$27, 0.0021, 0)</f>
        <v>32.334499999999998</v>
      </c>
      <c r="C158" s="17">
        <f>31.9001 * CHOOSE(CONTROL!$C$9, $D$9, 100%, $F$9) + CHOOSE(CONTROL!$C$27, 0.0021, 0)</f>
        <v>31.902199999999997</v>
      </c>
      <c r="D158" s="17">
        <f>31.9001 * CHOOSE(CONTROL!$C$9, $D$9, 100%, $F$9) + CHOOSE(CONTROL!$C$27, 0.0021, 0)</f>
        <v>31.902199999999997</v>
      </c>
      <c r="E158" s="17">
        <f>31.7635 * CHOOSE(CONTROL!$C$9, $D$9, 100%, $F$9) + CHOOSE(CONTROL!$C$27, 0.0021, 0)</f>
        <v>31.765599999999999</v>
      </c>
      <c r="F158" s="17">
        <f>31.7635 * CHOOSE(CONTROL!$C$9, $D$9, 100%, $F$9) + CHOOSE(CONTROL!$C$27, 0.0021, 0)</f>
        <v>31.765599999999999</v>
      </c>
      <c r="G158" s="17">
        <f>32.0349 * CHOOSE(CONTROL!$C$9, $D$9, 100%, $F$9) + CHOOSE(CONTROL!$C$27, 0.0021, 0)</f>
        <v>32.036999999999999</v>
      </c>
      <c r="H158" s="17">
        <f>31.9001 * CHOOSE(CONTROL!$C$9, $D$9, 100%, $F$9) + CHOOSE(CONTROL!$C$27, 0.0021, 0)</f>
        <v>31.902199999999997</v>
      </c>
      <c r="I158" s="17">
        <f>31.9001 * CHOOSE(CONTROL!$C$9, $D$9, 100%, $F$9) + CHOOSE(CONTROL!$C$27, 0.0021, 0)</f>
        <v>31.902199999999997</v>
      </c>
      <c r="J158" s="17">
        <f>31.9001 * CHOOSE(CONTROL!$C$9, $D$9, 100%, $F$9) + CHOOSE(CONTROL!$C$27, 0.0021, 0)</f>
        <v>31.902199999999997</v>
      </c>
      <c r="K158" s="17">
        <f>31.9001 * CHOOSE(CONTROL!$C$9, $D$9, 100%, $F$9) + CHOOSE(CONTROL!$C$27, 0.0021, 0)</f>
        <v>31.902199999999997</v>
      </c>
      <c r="L158" s="17"/>
    </row>
    <row r="159" spans="1:12" ht="15" x14ac:dyDescent="0.2">
      <c r="A159" s="16">
        <v>45748</v>
      </c>
      <c r="B159" s="17">
        <f>31.9571 * CHOOSE(CONTROL!$C$9, $D$9, 100%, $F$9) + CHOOSE(CONTROL!$C$27, 0.0021, 0)</f>
        <v>31.959199999999999</v>
      </c>
      <c r="C159" s="17">
        <f>31.5249 * CHOOSE(CONTROL!$C$9, $D$9, 100%, $F$9) + CHOOSE(CONTROL!$C$27, 0.0021, 0)</f>
        <v>31.526999999999997</v>
      </c>
      <c r="D159" s="17">
        <f>31.5249 * CHOOSE(CONTROL!$C$9, $D$9, 100%, $F$9) + CHOOSE(CONTROL!$C$27, 0.0021, 0)</f>
        <v>31.526999999999997</v>
      </c>
      <c r="E159" s="17">
        <f>31.3882 * CHOOSE(CONTROL!$C$9, $D$9, 100%, $F$9) + CHOOSE(CONTROL!$C$27, 0.0021, 0)</f>
        <v>31.3903</v>
      </c>
      <c r="F159" s="17">
        <f>31.3882 * CHOOSE(CONTROL!$C$9, $D$9, 100%, $F$9) + CHOOSE(CONTROL!$C$27, 0.0021, 0)</f>
        <v>31.3903</v>
      </c>
      <c r="G159" s="17">
        <f>31.6596 * CHOOSE(CONTROL!$C$9, $D$9, 100%, $F$9) + CHOOSE(CONTROL!$C$27, 0.0021, 0)</f>
        <v>31.6617</v>
      </c>
      <c r="H159" s="17">
        <f>31.5249 * CHOOSE(CONTROL!$C$9, $D$9, 100%, $F$9) + CHOOSE(CONTROL!$C$27, 0.0021, 0)</f>
        <v>31.526999999999997</v>
      </c>
      <c r="I159" s="17">
        <f>31.5249 * CHOOSE(CONTROL!$C$9, $D$9, 100%, $F$9) + CHOOSE(CONTROL!$C$27, 0.0021, 0)</f>
        <v>31.526999999999997</v>
      </c>
      <c r="J159" s="17">
        <f>31.5249 * CHOOSE(CONTROL!$C$9, $D$9, 100%, $F$9) + CHOOSE(CONTROL!$C$27, 0.0021, 0)</f>
        <v>31.526999999999997</v>
      </c>
      <c r="K159" s="17">
        <f>31.5249 * CHOOSE(CONTROL!$C$9, $D$9, 100%, $F$9) + CHOOSE(CONTROL!$C$27, 0.0021, 0)</f>
        <v>31.526999999999997</v>
      </c>
      <c r="L159" s="17"/>
    </row>
    <row r="160" spans="1:12" ht="15" x14ac:dyDescent="0.2">
      <c r="A160" s="16">
        <v>45778</v>
      </c>
      <c r="B160" s="17">
        <f>32.6425 * CHOOSE(CONTROL!$C$9, $D$9, 100%, $F$9) + CHOOSE(CONTROL!$C$27, 0.0021, 0)</f>
        <v>32.644599999999997</v>
      </c>
      <c r="C160" s="17">
        <f>32.2102 * CHOOSE(CONTROL!$C$9, $D$9, 100%, $F$9) + CHOOSE(CONTROL!$C$27, 0.0021, 0)</f>
        <v>32.212299999999999</v>
      </c>
      <c r="D160" s="17">
        <f>32.2102 * CHOOSE(CONTROL!$C$9, $D$9, 100%, $F$9) + CHOOSE(CONTROL!$C$27, 0.0021, 0)</f>
        <v>32.212299999999999</v>
      </c>
      <c r="E160" s="17">
        <f>32.0736 * CHOOSE(CONTROL!$C$9, $D$9, 100%, $F$9) + CHOOSE(CONTROL!$C$27, 0.0021, 0)</f>
        <v>32.075699999999998</v>
      </c>
      <c r="F160" s="17">
        <f>32.0736 * CHOOSE(CONTROL!$C$9, $D$9, 100%, $F$9) + CHOOSE(CONTROL!$C$27, 0.0021, 0)</f>
        <v>32.075699999999998</v>
      </c>
      <c r="G160" s="17">
        <f>32.345 * CHOOSE(CONTROL!$C$9, $D$9, 100%, $F$9) + CHOOSE(CONTROL!$C$27, 0.0021, 0)</f>
        <v>32.347099999999998</v>
      </c>
      <c r="H160" s="17">
        <f>32.2102 * CHOOSE(CONTROL!$C$9, $D$9, 100%, $F$9) + CHOOSE(CONTROL!$C$27, 0.0021, 0)</f>
        <v>32.212299999999999</v>
      </c>
      <c r="I160" s="17">
        <f>32.2102 * CHOOSE(CONTROL!$C$9, $D$9, 100%, $F$9) + CHOOSE(CONTROL!$C$27, 0.0021, 0)</f>
        <v>32.212299999999999</v>
      </c>
      <c r="J160" s="17">
        <f>32.2102 * CHOOSE(CONTROL!$C$9, $D$9, 100%, $F$9) + CHOOSE(CONTROL!$C$27, 0.0021, 0)</f>
        <v>32.212299999999999</v>
      </c>
      <c r="K160" s="17">
        <f>32.2102 * CHOOSE(CONTROL!$C$9, $D$9, 100%, $F$9) + CHOOSE(CONTROL!$C$27, 0.0021, 0)</f>
        <v>32.212299999999999</v>
      </c>
      <c r="L160" s="17"/>
    </row>
    <row r="161" spans="1:12" ht="15" x14ac:dyDescent="0.2">
      <c r="A161" s="16">
        <v>45809</v>
      </c>
      <c r="B161" s="17">
        <f>33.0797 * CHOOSE(CONTROL!$C$9, $D$9, 100%, $F$9) + CHOOSE(CONTROL!$C$27, 0.0021, 0)</f>
        <v>33.081800000000001</v>
      </c>
      <c r="C161" s="17">
        <f>32.6474 * CHOOSE(CONTROL!$C$9, $D$9, 100%, $F$9) + CHOOSE(CONTROL!$C$27, 0.0021, 0)</f>
        <v>32.649499999999996</v>
      </c>
      <c r="D161" s="17">
        <f>32.6474 * CHOOSE(CONTROL!$C$9, $D$9, 100%, $F$9) + CHOOSE(CONTROL!$C$27, 0.0021, 0)</f>
        <v>32.649499999999996</v>
      </c>
      <c r="E161" s="17">
        <f>32.5108 * CHOOSE(CONTROL!$C$9, $D$9, 100%, $F$9) + CHOOSE(CONTROL!$C$27, 0.0021, 0)</f>
        <v>32.512900000000002</v>
      </c>
      <c r="F161" s="17">
        <f>32.5108 * CHOOSE(CONTROL!$C$9, $D$9, 100%, $F$9) + CHOOSE(CONTROL!$C$27, 0.0021, 0)</f>
        <v>32.512900000000002</v>
      </c>
      <c r="G161" s="17">
        <f>32.7821 * CHOOSE(CONTROL!$C$9, $D$9, 100%, $F$9) + CHOOSE(CONTROL!$C$27, 0.0021, 0)</f>
        <v>32.784199999999998</v>
      </c>
      <c r="H161" s="17">
        <f>32.6474 * CHOOSE(CONTROL!$C$9, $D$9, 100%, $F$9) + CHOOSE(CONTROL!$C$27, 0.0021, 0)</f>
        <v>32.649499999999996</v>
      </c>
      <c r="I161" s="17">
        <f>32.6474 * CHOOSE(CONTROL!$C$9, $D$9, 100%, $F$9) + CHOOSE(CONTROL!$C$27, 0.0021, 0)</f>
        <v>32.649499999999996</v>
      </c>
      <c r="J161" s="17">
        <f>32.6474 * CHOOSE(CONTROL!$C$9, $D$9, 100%, $F$9) + CHOOSE(CONTROL!$C$27, 0.0021, 0)</f>
        <v>32.649499999999996</v>
      </c>
      <c r="K161" s="17">
        <f>32.6474 * CHOOSE(CONTROL!$C$9, $D$9, 100%, $F$9) + CHOOSE(CONTROL!$C$27, 0.0021, 0)</f>
        <v>32.649499999999996</v>
      </c>
      <c r="L161" s="17"/>
    </row>
    <row r="162" spans="1:12" ht="15" x14ac:dyDescent="0.2">
      <c r="A162" s="16">
        <v>45839</v>
      </c>
      <c r="B162" s="17">
        <f>33.7624 * CHOOSE(CONTROL!$C$9, $D$9, 100%, $F$9) + CHOOSE(CONTROL!$C$27, 0.0021, 0)</f>
        <v>33.764499999999998</v>
      </c>
      <c r="C162" s="17">
        <f>33.3302 * CHOOSE(CONTROL!$C$9, $D$9, 100%, $F$9) + CHOOSE(CONTROL!$C$27, 0.0021, 0)</f>
        <v>33.332299999999996</v>
      </c>
      <c r="D162" s="17">
        <f>33.3302 * CHOOSE(CONTROL!$C$9, $D$9, 100%, $F$9) + CHOOSE(CONTROL!$C$27, 0.0021, 0)</f>
        <v>33.332299999999996</v>
      </c>
      <c r="E162" s="17">
        <f>33.1935 * CHOOSE(CONTROL!$C$9, $D$9, 100%, $F$9) + CHOOSE(CONTROL!$C$27, 0.0021, 0)</f>
        <v>33.195599999999999</v>
      </c>
      <c r="F162" s="17">
        <f>33.1935 * CHOOSE(CONTROL!$C$9, $D$9, 100%, $F$9) + CHOOSE(CONTROL!$C$27, 0.0021, 0)</f>
        <v>33.195599999999999</v>
      </c>
      <c r="G162" s="17">
        <f>33.4649 * CHOOSE(CONTROL!$C$9, $D$9, 100%, $F$9) + CHOOSE(CONTROL!$C$27, 0.0021, 0)</f>
        <v>33.466999999999999</v>
      </c>
      <c r="H162" s="17">
        <f>33.3302 * CHOOSE(CONTROL!$C$9, $D$9, 100%, $F$9) + CHOOSE(CONTROL!$C$27, 0.0021, 0)</f>
        <v>33.332299999999996</v>
      </c>
      <c r="I162" s="17">
        <f>33.3302 * CHOOSE(CONTROL!$C$9, $D$9, 100%, $F$9) + CHOOSE(CONTROL!$C$27, 0.0021, 0)</f>
        <v>33.332299999999996</v>
      </c>
      <c r="J162" s="17">
        <f>33.3302 * CHOOSE(CONTROL!$C$9, $D$9, 100%, $F$9) + CHOOSE(CONTROL!$C$27, 0.0021, 0)</f>
        <v>33.332299999999996</v>
      </c>
      <c r="K162" s="17">
        <f>33.3302 * CHOOSE(CONTROL!$C$9, $D$9, 100%, $F$9) + CHOOSE(CONTROL!$C$27, 0.0021, 0)</f>
        <v>33.332299999999996</v>
      </c>
      <c r="L162" s="17"/>
    </row>
    <row r="163" spans="1:12" ht="15" x14ac:dyDescent="0.2">
      <c r="A163" s="16">
        <v>45870</v>
      </c>
      <c r="B163" s="17">
        <f>34.0167 * CHOOSE(CONTROL!$C$9, $D$9, 100%, $F$9) + CHOOSE(CONTROL!$C$27, 0.0021, 0)</f>
        <v>34.018799999999999</v>
      </c>
      <c r="C163" s="17">
        <f>33.5845 * CHOOSE(CONTROL!$C$9, $D$9, 100%, $F$9) + CHOOSE(CONTROL!$C$27, 0.0021, 0)</f>
        <v>33.586599999999997</v>
      </c>
      <c r="D163" s="17">
        <f>33.5845 * CHOOSE(CONTROL!$C$9, $D$9, 100%, $F$9) + CHOOSE(CONTROL!$C$27, 0.0021, 0)</f>
        <v>33.586599999999997</v>
      </c>
      <c r="E163" s="17">
        <f>33.4478 * CHOOSE(CONTROL!$C$9, $D$9, 100%, $F$9) + CHOOSE(CONTROL!$C$27, 0.0021, 0)</f>
        <v>33.4499</v>
      </c>
      <c r="F163" s="17">
        <f>33.4478 * CHOOSE(CONTROL!$C$9, $D$9, 100%, $F$9) + CHOOSE(CONTROL!$C$27, 0.0021, 0)</f>
        <v>33.4499</v>
      </c>
      <c r="G163" s="17">
        <f>33.7192 * CHOOSE(CONTROL!$C$9, $D$9, 100%, $F$9) + CHOOSE(CONTROL!$C$27, 0.0021, 0)</f>
        <v>33.721299999999999</v>
      </c>
      <c r="H163" s="17">
        <f>33.5845 * CHOOSE(CONTROL!$C$9, $D$9, 100%, $F$9) + CHOOSE(CONTROL!$C$27, 0.0021, 0)</f>
        <v>33.586599999999997</v>
      </c>
      <c r="I163" s="17">
        <f>33.5845 * CHOOSE(CONTROL!$C$9, $D$9, 100%, $F$9) + CHOOSE(CONTROL!$C$27, 0.0021, 0)</f>
        <v>33.586599999999997</v>
      </c>
      <c r="J163" s="17">
        <f>33.5845 * CHOOSE(CONTROL!$C$9, $D$9, 100%, $F$9) + CHOOSE(CONTROL!$C$27, 0.0021, 0)</f>
        <v>33.586599999999997</v>
      </c>
      <c r="K163" s="17">
        <f>33.5845 * CHOOSE(CONTROL!$C$9, $D$9, 100%, $F$9) + CHOOSE(CONTROL!$C$27, 0.0021, 0)</f>
        <v>33.586599999999997</v>
      </c>
      <c r="L163" s="17"/>
    </row>
    <row r="164" spans="1:12" ht="15" x14ac:dyDescent="0.2">
      <c r="A164" s="16">
        <v>45901</v>
      </c>
      <c r="B164" s="17">
        <f>34.7285 * CHOOSE(CONTROL!$C$9, $D$9, 100%, $F$9) + CHOOSE(CONTROL!$C$27, 0.0021, 0)</f>
        <v>34.730599999999995</v>
      </c>
      <c r="C164" s="17">
        <f>34.2962 * CHOOSE(CONTROL!$C$9, $D$9, 100%, $F$9) + CHOOSE(CONTROL!$C$27, 0.0021, 0)</f>
        <v>34.298299999999998</v>
      </c>
      <c r="D164" s="17">
        <f>34.2962 * CHOOSE(CONTROL!$C$9, $D$9, 100%, $F$9) + CHOOSE(CONTROL!$C$27, 0.0021, 0)</f>
        <v>34.298299999999998</v>
      </c>
      <c r="E164" s="17">
        <f>34.1596 * CHOOSE(CONTROL!$C$9, $D$9, 100%, $F$9) + CHOOSE(CONTROL!$C$27, 0.0021, 0)</f>
        <v>34.161699999999996</v>
      </c>
      <c r="F164" s="17">
        <f>34.1596 * CHOOSE(CONTROL!$C$9, $D$9, 100%, $F$9) + CHOOSE(CONTROL!$C$27, 0.0021, 0)</f>
        <v>34.161699999999996</v>
      </c>
      <c r="G164" s="17">
        <f>34.431 * CHOOSE(CONTROL!$C$9, $D$9, 100%, $F$9) + CHOOSE(CONTROL!$C$27, 0.0021, 0)</f>
        <v>34.433099999999996</v>
      </c>
      <c r="H164" s="17">
        <f>34.2962 * CHOOSE(CONTROL!$C$9, $D$9, 100%, $F$9) + CHOOSE(CONTROL!$C$27, 0.0021, 0)</f>
        <v>34.298299999999998</v>
      </c>
      <c r="I164" s="17">
        <f>34.2962 * CHOOSE(CONTROL!$C$9, $D$9, 100%, $F$9) + CHOOSE(CONTROL!$C$27, 0.0021, 0)</f>
        <v>34.298299999999998</v>
      </c>
      <c r="J164" s="17">
        <f>34.2962 * CHOOSE(CONTROL!$C$9, $D$9, 100%, $F$9) + CHOOSE(CONTROL!$C$27, 0.0021, 0)</f>
        <v>34.298299999999998</v>
      </c>
      <c r="K164" s="17">
        <f>34.2962 * CHOOSE(CONTROL!$C$9, $D$9, 100%, $F$9) + CHOOSE(CONTROL!$C$27, 0.0021, 0)</f>
        <v>34.298299999999998</v>
      </c>
      <c r="L164" s="17"/>
    </row>
    <row r="165" spans="1:12" ht="15" x14ac:dyDescent="0.2">
      <c r="A165" s="16">
        <v>45931</v>
      </c>
      <c r="B165" s="17">
        <f>35.6153 * CHOOSE(CONTROL!$C$9, $D$9, 100%, $F$9) + CHOOSE(CONTROL!$C$27, 0.0021, 0)</f>
        <v>35.617399999999996</v>
      </c>
      <c r="C165" s="17">
        <f>35.183 * CHOOSE(CONTROL!$C$9, $D$9, 100%, $F$9) + CHOOSE(CONTROL!$C$27, 0.0021, 0)</f>
        <v>35.185099999999998</v>
      </c>
      <c r="D165" s="17">
        <f>35.183 * CHOOSE(CONTROL!$C$9, $D$9, 100%, $F$9) + CHOOSE(CONTROL!$C$27, 0.0021, 0)</f>
        <v>35.185099999999998</v>
      </c>
      <c r="E165" s="17">
        <f>35.0464 * CHOOSE(CONTROL!$C$9, $D$9, 100%, $F$9) + CHOOSE(CONTROL!$C$27, 0.0021, 0)</f>
        <v>35.048499999999997</v>
      </c>
      <c r="F165" s="17">
        <f>35.0464 * CHOOSE(CONTROL!$C$9, $D$9, 100%, $F$9) + CHOOSE(CONTROL!$C$27, 0.0021, 0)</f>
        <v>35.048499999999997</v>
      </c>
      <c r="G165" s="17">
        <f>35.3177 * CHOOSE(CONTROL!$C$9, $D$9, 100%, $F$9) + CHOOSE(CONTROL!$C$27, 0.0021, 0)</f>
        <v>35.319800000000001</v>
      </c>
      <c r="H165" s="17">
        <f>35.183 * CHOOSE(CONTROL!$C$9, $D$9, 100%, $F$9) + CHOOSE(CONTROL!$C$27, 0.0021, 0)</f>
        <v>35.185099999999998</v>
      </c>
      <c r="I165" s="17">
        <f>35.183 * CHOOSE(CONTROL!$C$9, $D$9, 100%, $F$9) + CHOOSE(CONTROL!$C$27, 0.0021, 0)</f>
        <v>35.185099999999998</v>
      </c>
      <c r="J165" s="17">
        <f>35.183 * CHOOSE(CONTROL!$C$9, $D$9, 100%, $F$9) + CHOOSE(CONTROL!$C$27, 0.0021, 0)</f>
        <v>35.185099999999998</v>
      </c>
      <c r="K165" s="17">
        <f>35.183 * CHOOSE(CONTROL!$C$9, $D$9, 100%, $F$9) + CHOOSE(CONTROL!$C$27, 0.0021, 0)</f>
        <v>35.185099999999998</v>
      </c>
      <c r="L165" s="17"/>
    </row>
    <row r="166" spans="1:12" ht="15" x14ac:dyDescent="0.2">
      <c r="A166" s="16">
        <v>45962</v>
      </c>
      <c r="B166" s="17">
        <f>35.761 * CHOOSE(CONTROL!$C$9, $D$9, 100%, $F$9) + CHOOSE(CONTROL!$C$27, 0.0021, 0)</f>
        <v>35.763100000000001</v>
      </c>
      <c r="C166" s="17">
        <f>35.3288 * CHOOSE(CONTROL!$C$9, $D$9, 100%, $F$9) + CHOOSE(CONTROL!$C$27, 0.0021, 0)</f>
        <v>35.3309</v>
      </c>
      <c r="D166" s="17">
        <f>35.3288 * CHOOSE(CONTROL!$C$9, $D$9, 100%, $F$9) + CHOOSE(CONTROL!$C$27, 0.0021, 0)</f>
        <v>35.3309</v>
      </c>
      <c r="E166" s="17">
        <f>35.1921 * CHOOSE(CONTROL!$C$9, $D$9, 100%, $F$9) + CHOOSE(CONTROL!$C$27, 0.0021, 0)</f>
        <v>35.194200000000002</v>
      </c>
      <c r="F166" s="17">
        <f>35.1921 * CHOOSE(CONTROL!$C$9, $D$9, 100%, $F$9) + CHOOSE(CONTROL!$C$27, 0.0021, 0)</f>
        <v>35.194200000000002</v>
      </c>
      <c r="G166" s="17">
        <f>35.4635 * CHOOSE(CONTROL!$C$9, $D$9, 100%, $F$9) + CHOOSE(CONTROL!$C$27, 0.0021, 0)</f>
        <v>35.465600000000002</v>
      </c>
      <c r="H166" s="17">
        <f>35.3288 * CHOOSE(CONTROL!$C$9, $D$9, 100%, $F$9) + CHOOSE(CONTROL!$C$27, 0.0021, 0)</f>
        <v>35.3309</v>
      </c>
      <c r="I166" s="17">
        <f>35.3288 * CHOOSE(CONTROL!$C$9, $D$9, 100%, $F$9) + CHOOSE(CONTROL!$C$27, 0.0021, 0)</f>
        <v>35.3309</v>
      </c>
      <c r="J166" s="17">
        <f>35.3288 * CHOOSE(CONTROL!$C$9, $D$9, 100%, $F$9) + CHOOSE(CONTROL!$C$27, 0.0021, 0)</f>
        <v>35.3309</v>
      </c>
      <c r="K166" s="17">
        <f>35.3288 * CHOOSE(CONTROL!$C$9, $D$9, 100%, $F$9) + CHOOSE(CONTROL!$C$27, 0.0021, 0)</f>
        <v>35.3309</v>
      </c>
      <c r="L166" s="17"/>
    </row>
    <row r="167" spans="1:12" ht="15" x14ac:dyDescent="0.2">
      <c r="A167" s="16">
        <v>45992</v>
      </c>
      <c r="B167" s="17">
        <f>35.1724 * CHOOSE(CONTROL!$C$9, $D$9, 100%, $F$9) + CHOOSE(CONTROL!$C$27, 0.0021, 0)</f>
        <v>35.174500000000002</v>
      </c>
      <c r="C167" s="17">
        <f>34.7401 * CHOOSE(CONTROL!$C$9, $D$9, 100%, $F$9) + CHOOSE(CONTROL!$C$27, 0.0021, 0)</f>
        <v>34.742199999999997</v>
      </c>
      <c r="D167" s="17">
        <f>34.7401 * CHOOSE(CONTROL!$C$9, $D$9, 100%, $F$9) + CHOOSE(CONTROL!$C$27, 0.0021, 0)</f>
        <v>34.742199999999997</v>
      </c>
      <c r="E167" s="17">
        <f>34.6035 * CHOOSE(CONTROL!$C$9, $D$9, 100%, $F$9) + CHOOSE(CONTROL!$C$27, 0.0021, 0)</f>
        <v>34.605599999999995</v>
      </c>
      <c r="F167" s="17">
        <f>34.6035 * CHOOSE(CONTROL!$C$9, $D$9, 100%, $F$9) + CHOOSE(CONTROL!$C$27, 0.0021, 0)</f>
        <v>34.605599999999995</v>
      </c>
      <c r="G167" s="17">
        <f>34.8749 * CHOOSE(CONTROL!$C$9, $D$9, 100%, $F$9) + CHOOSE(CONTROL!$C$27, 0.0021, 0)</f>
        <v>34.876999999999995</v>
      </c>
      <c r="H167" s="17">
        <f>34.7401 * CHOOSE(CONTROL!$C$9, $D$9, 100%, $F$9) + CHOOSE(CONTROL!$C$27, 0.0021, 0)</f>
        <v>34.742199999999997</v>
      </c>
      <c r="I167" s="17">
        <f>34.7401 * CHOOSE(CONTROL!$C$9, $D$9, 100%, $F$9) + CHOOSE(CONTROL!$C$27, 0.0021, 0)</f>
        <v>34.742199999999997</v>
      </c>
      <c r="J167" s="17">
        <f>34.7401 * CHOOSE(CONTROL!$C$9, $D$9, 100%, $F$9) + CHOOSE(CONTROL!$C$27, 0.0021, 0)</f>
        <v>34.742199999999997</v>
      </c>
      <c r="K167" s="17">
        <f>34.7401 * CHOOSE(CONTROL!$C$9, $D$9, 100%, $F$9) + CHOOSE(CONTROL!$C$27, 0.0021, 0)</f>
        <v>34.742199999999997</v>
      </c>
      <c r="L167" s="17"/>
    </row>
    <row r="168" spans="1:12" ht="15" x14ac:dyDescent="0.2">
      <c r="A168" s="16">
        <v>46023</v>
      </c>
      <c r="B168" s="17">
        <f>34.2754 * CHOOSE(CONTROL!$C$9, $D$9, 100%, $F$9) + CHOOSE(CONTROL!$C$27, 0.0021, 0)</f>
        <v>34.277499999999996</v>
      </c>
      <c r="C168" s="17">
        <f>33.8431 * CHOOSE(CONTROL!$C$9, $D$9, 100%, $F$9) + CHOOSE(CONTROL!$C$27, 0.0021, 0)</f>
        <v>33.845199999999998</v>
      </c>
      <c r="D168" s="17">
        <f>33.8431 * CHOOSE(CONTROL!$C$9, $D$9, 100%, $F$9) + CHOOSE(CONTROL!$C$27, 0.0021, 0)</f>
        <v>33.845199999999998</v>
      </c>
      <c r="E168" s="17">
        <f>33.7065 * CHOOSE(CONTROL!$C$9, $D$9, 100%, $F$9) + CHOOSE(CONTROL!$C$27, 0.0021, 0)</f>
        <v>33.708599999999997</v>
      </c>
      <c r="F168" s="17">
        <f>33.7065 * CHOOSE(CONTROL!$C$9, $D$9, 100%, $F$9) + CHOOSE(CONTROL!$C$27, 0.0021, 0)</f>
        <v>33.708599999999997</v>
      </c>
      <c r="G168" s="17">
        <f>33.9778 * CHOOSE(CONTROL!$C$9, $D$9, 100%, $F$9) + CHOOSE(CONTROL!$C$27, 0.0021, 0)</f>
        <v>33.979900000000001</v>
      </c>
      <c r="H168" s="17">
        <f>33.8431 * CHOOSE(CONTROL!$C$9, $D$9, 100%, $F$9) + CHOOSE(CONTROL!$C$27, 0.0021, 0)</f>
        <v>33.845199999999998</v>
      </c>
      <c r="I168" s="17">
        <f>33.8431 * CHOOSE(CONTROL!$C$9, $D$9, 100%, $F$9) + CHOOSE(CONTROL!$C$27, 0.0021, 0)</f>
        <v>33.845199999999998</v>
      </c>
      <c r="J168" s="17">
        <f>33.8431 * CHOOSE(CONTROL!$C$9, $D$9, 100%, $F$9) + CHOOSE(CONTROL!$C$27, 0.0021, 0)</f>
        <v>33.845199999999998</v>
      </c>
      <c r="K168" s="17">
        <f>33.8431 * CHOOSE(CONTROL!$C$9, $D$9, 100%, $F$9) + CHOOSE(CONTROL!$C$27, 0.0021, 0)</f>
        <v>33.845199999999998</v>
      </c>
      <c r="L168" s="17"/>
    </row>
    <row r="169" spans="1:12" ht="15" x14ac:dyDescent="0.2">
      <c r="A169" s="16">
        <v>46054</v>
      </c>
      <c r="B169" s="17">
        <f>33.4347 * CHOOSE(CONTROL!$C$9, $D$9, 100%, $F$9) + CHOOSE(CONTROL!$C$27, 0.0021, 0)</f>
        <v>33.436799999999998</v>
      </c>
      <c r="C169" s="17">
        <f>33.0025 * CHOOSE(CONTROL!$C$9, $D$9, 100%, $F$9) + CHOOSE(CONTROL!$C$27, 0.0021, 0)</f>
        <v>33.004599999999996</v>
      </c>
      <c r="D169" s="17">
        <f>33.0025 * CHOOSE(CONTROL!$C$9, $D$9, 100%, $F$9) + CHOOSE(CONTROL!$C$27, 0.0021, 0)</f>
        <v>33.004599999999996</v>
      </c>
      <c r="E169" s="17">
        <f>32.8658 * CHOOSE(CONTROL!$C$9, $D$9, 100%, $F$9) + CHOOSE(CONTROL!$C$27, 0.0021, 0)</f>
        <v>32.867899999999999</v>
      </c>
      <c r="F169" s="17">
        <f>32.8658 * CHOOSE(CONTROL!$C$9, $D$9, 100%, $F$9) + CHOOSE(CONTROL!$C$27, 0.0021, 0)</f>
        <v>32.867899999999999</v>
      </c>
      <c r="G169" s="17">
        <f>33.1372 * CHOOSE(CONTROL!$C$9, $D$9, 100%, $F$9) + CHOOSE(CONTROL!$C$27, 0.0021, 0)</f>
        <v>33.139299999999999</v>
      </c>
      <c r="H169" s="17">
        <f>33.0025 * CHOOSE(CONTROL!$C$9, $D$9, 100%, $F$9) + CHOOSE(CONTROL!$C$27, 0.0021, 0)</f>
        <v>33.004599999999996</v>
      </c>
      <c r="I169" s="17">
        <f>33.0025 * CHOOSE(CONTROL!$C$9, $D$9, 100%, $F$9) + CHOOSE(CONTROL!$C$27, 0.0021, 0)</f>
        <v>33.004599999999996</v>
      </c>
      <c r="J169" s="17">
        <f>33.0025 * CHOOSE(CONTROL!$C$9, $D$9, 100%, $F$9) + CHOOSE(CONTROL!$C$27, 0.0021, 0)</f>
        <v>33.004599999999996</v>
      </c>
      <c r="K169" s="17">
        <f>33.0025 * CHOOSE(CONTROL!$C$9, $D$9, 100%, $F$9) + CHOOSE(CONTROL!$C$27, 0.0021, 0)</f>
        <v>33.004599999999996</v>
      </c>
      <c r="L169" s="17"/>
    </row>
    <row r="170" spans="1:12" ht="15" x14ac:dyDescent="0.2">
      <c r="A170" s="16">
        <v>46082</v>
      </c>
      <c r="B170" s="17">
        <f>33.1239 * CHOOSE(CONTROL!$C$9, $D$9, 100%, $F$9) + CHOOSE(CONTROL!$C$27, 0.0021, 0)</f>
        <v>33.125999999999998</v>
      </c>
      <c r="C170" s="17">
        <f>32.6917 * CHOOSE(CONTROL!$C$9, $D$9, 100%, $F$9) + CHOOSE(CONTROL!$C$27, 0.0021, 0)</f>
        <v>32.693799999999996</v>
      </c>
      <c r="D170" s="17">
        <f>32.6917 * CHOOSE(CONTROL!$C$9, $D$9, 100%, $F$9) + CHOOSE(CONTROL!$C$27, 0.0021, 0)</f>
        <v>32.693799999999996</v>
      </c>
      <c r="E170" s="17">
        <f>32.555 * CHOOSE(CONTROL!$C$9, $D$9, 100%, $F$9) + CHOOSE(CONTROL!$C$27, 0.0021, 0)</f>
        <v>32.557099999999998</v>
      </c>
      <c r="F170" s="17">
        <f>32.555 * CHOOSE(CONTROL!$C$9, $D$9, 100%, $F$9) + CHOOSE(CONTROL!$C$27, 0.0021, 0)</f>
        <v>32.557099999999998</v>
      </c>
      <c r="G170" s="17">
        <f>32.8264 * CHOOSE(CONTROL!$C$9, $D$9, 100%, $F$9) + CHOOSE(CONTROL!$C$27, 0.0021, 0)</f>
        <v>32.828499999999998</v>
      </c>
      <c r="H170" s="17">
        <f>32.6917 * CHOOSE(CONTROL!$C$9, $D$9, 100%, $F$9) + CHOOSE(CONTROL!$C$27, 0.0021, 0)</f>
        <v>32.693799999999996</v>
      </c>
      <c r="I170" s="17">
        <f>32.6917 * CHOOSE(CONTROL!$C$9, $D$9, 100%, $F$9) + CHOOSE(CONTROL!$C$27, 0.0021, 0)</f>
        <v>32.693799999999996</v>
      </c>
      <c r="J170" s="17">
        <f>32.6917 * CHOOSE(CONTROL!$C$9, $D$9, 100%, $F$9) + CHOOSE(CONTROL!$C$27, 0.0021, 0)</f>
        <v>32.693799999999996</v>
      </c>
      <c r="K170" s="17">
        <f>32.6917 * CHOOSE(CONTROL!$C$9, $D$9, 100%, $F$9) + CHOOSE(CONTROL!$C$27, 0.0021, 0)</f>
        <v>32.693799999999996</v>
      </c>
      <c r="L170" s="17"/>
    </row>
    <row r="171" spans="1:12" ht="15" x14ac:dyDescent="0.2">
      <c r="A171" s="16">
        <v>46113</v>
      </c>
      <c r="B171" s="17">
        <f>32.7388 * CHOOSE(CONTROL!$C$9, $D$9, 100%, $F$9) + CHOOSE(CONTROL!$C$27, 0.0021, 0)</f>
        <v>32.740899999999996</v>
      </c>
      <c r="C171" s="17">
        <f>32.3065 * CHOOSE(CONTROL!$C$9, $D$9, 100%, $F$9) + CHOOSE(CONTROL!$C$27, 0.0021, 0)</f>
        <v>32.308599999999998</v>
      </c>
      <c r="D171" s="17">
        <f>32.3065 * CHOOSE(CONTROL!$C$9, $D$9, 100%, $F$9) + CHOOSE(CONTROL!$C$27, 0.0021, 0)</f>
        <v>32.308599999999998</v>
      </c>
      <c r="E171" s="17">
        <f>32.1699 * CHOOSE(CONTROL!$C$9, $D$9, 100%, $F$9) + CHOOSE(CONTROL!$C$27, 0.0021, 0)</f>
        <v>32.171999999999997</v>
      </c>
      <c r="F171" s="17">
        <f>32.1699 * CHOOSE(CONTROL!$C$9, $D$9, 100%, $F$9) + CHOOSE(CONTROL!$C$27, 0.0021, 0)</f>
        <v>32.171999999999997</v>
      </c>
      <c r="G171" s="17">
        <f>32.4412 * CHOOSE(CONTROL!$C$9, $D$9, 100%, $F$9) + CHOOSE(CONTROL!$C$27, 0.0021, 0)</f>
        <v>32.443300000000001</v>
      </c>
      <c r="H171" s="17">
        <f>32.3065 * CHOOSE(CONTROL!$C$9, $D$9, 100%, $F$9) + CHOOSE(CONTROL!$C$27, 0.0021, 0)</f>
        <v>32.308599999999998</v>
      </c>
      <c r="I171" s="17">
        <f>32.3065 * CHOOSE(CONTROL!$C$9, $D$9, 100%, $F$9) + CHOOSE(CONTROL!$C$27, 0.0021, 0)</f>
        <v>32.308599999999998</v>
      </c>
      <c r="J171" s="17">
        <f>32.3065 * CHOOSE(CONTROL!$C$9, $D$9, 100%, $F$9) + CHOOSE(CONTROL!$C$27, 0.0021, 0)</f>
        <v>32.308599999999998</v>
      </c>
      <c r="K171" s="17">
        <f>32.3065 * CHOOSE(CONTROL!$C$9, $D$9, 100%, $F$9) + CHOOSE(CONTROL!$C$27, 0.0021, 0)</f>
        <v>32.308599999999998</v>
      </c>
      <c r="L171" s="17"/>
    </row>
    <row r="172" spans="1:12" ht="15" x14ac:dyDescent="0.2">
      <c r="A172" s="16">
        <v>46143</v>
      </c>
      <c r="B172" s="17">
        <f>33.4422 * CHOOSE(CONTROL!$C$9, $D$9, 100%, $F$9) + CHOOSE(CONTROL!$C$27, 0.0021, 0)</f>
        <v>33.444299999999998</v>
      </c>
      <c r="C172" s="17">
        <f>33.0099 * CHOOSE(CONTROL!$C$9, $D$9, 100%, $F$9) + CHOOSE(CONTROL!$C$27, 0.0021, 0)</f>
        <v>33.012</v>
      </c>
      <c r="D172" s="17">
        <f>33.0099 * CHOOSE(CONTROL!$C$9, $D$9, 100%, $F$9) + CHOOSE(CONTROL!$C$27, 0.0021, 0)</f>
        <v>33.012</v>
      </c>
      <c r="E172" s="17">
        <f>32.8733 * CHOOSE(CONTROL!$C$9, $D$9, 100%, $F$9) + CHOOSE(CONTROL!$C$27, 0.0021, 0)</f>
        <v>32.875399999999999</v>
      </c>
      <c r="F172" s="17">
        <f>32.8733 * CHOOSE(CONTROL!$C$9, $D$9, 100%, $F$9) + CHOOSE(CONTROL!$C$27, 0.0021, 0)</f>
        <v>32.875399999999999</v>
      </c>
      <c r="G172" s="17">
        <f>33.1447 * CHOOSE(CONTROL!$C$9, $D$9, 100%, $F$9) + CHOOSE(CONTROL!$C$27, 0.0021, 0)</f>
        <v>33.146799999999999</v>
      </c>
      <c r="H172" s="17">
        <f>33.0099 * CHOOSE(CONTROL!$C$9, $D$9, 100%, $F$9) + CHOOSE(CONTROL!$C$27, 0.0021, 0)</f>
        <v>33.012</v>
      </c>
      <c r="I172" s="17">
        <f>33.0099 * CHOOSE(CONTROL!$C$9, $D$9, 100%, $F$9) + CHOOSE(CONTROL!$C$27, 0.0021, 0)</f>
        <v>33.012</v>
      </c>
      <c r="J172" s="17">
        <f>33.0099 * CHOOSE(CONTROL!$C$9, $D$9, 100%, $F$9) + CHOOSE(CONTROL!$C$27, 0.0021, 0)</f>
        <v>33.012</v>
      </c>
      <c r="K172" s="17">
        <f>33.0099 * CHOOSE(CONTROL!$C$9, $D$9, 100%, $F$9) + CHOOSE(CONTROL!$C$27, 0.0021, 0)</f>
        <v>33.012</v>
      </c>
      <c r="L172" s="17"/>
    </row>
    <row r="173" spans="1:12" ht="15" x14ac:dyDescent="0.2">
      <c r="A173" s="16">
        <v>46174</v>
      </c>
      <c r="B173" s="17">
        <f>33.8909 * CHOOSE(CONTROL!$C$9, $D$9, 100%, $F$9) + CHOOSE(CONTROL!$C$27, 0.0021, 0)</f>
        <v>33.893000000000001</v>
      </c>
      <c r="C173" s="17">
        <f>33.4586 * CHOOSE(CONTROL!$C$9, $D$9, 100%, $F$9) + CHOOSE(CONTROL!$C$27, 0.0021, 0)</f>
        <v>33.460699999999996</v>
      </c>
      <c r="D173" s="17">
        <f>33.4586 * CHOOSE(CONTROL!$C$9, $D$9, 100%, $F$9) + CHOOSE(CONTROL!$C$27, 0.0021, 0)</f>
        <v>33.460699999999996</v>
      </c>
      <c r="E173" s="17">
        <f>33.322 * CHOOSE(CONTROL!$C$9, $D$9, 100%, $F$9) + CHOOSE(CONTROL!$C$27, 0.0021, 0)</f>
        <v>33.324100000000001</v>
      </c>
      <c r="F173" s="17">
        <f>33.322 * CHOOSE(CONTROL!$C$9, $D$9, 100%, $F$9) + CHOOSE(CONTROL!$C$27, 0.0021, 0)</f>
        <v>33.324100000000001</v>
      </c>
      <c r="G173" s="17">
        <f>33.5934 * CHOOSE(CONTROL!$C$9, $D$9, 100%, $F$9) + CHOOSE(CONTROL!$C$27, 0.0021, 0)</f>
        <v>33.595500000000001</v>
      </c>
      <c r="H173" s="17">
        <f>33.4586 * CHOOSE(CONTROL!$C$9, $D$9, 100%, $F$9) + CHOOSE(CONTROL!$C$27, 0.0021, 0)</f>
        <v>33.460699999999996</v>
      </c>
      <c r="I173" s="17">
        <f>33.4586 * CHOOSE(CONTROL!$C$9, $D$9, 100%, $F$9) + CHOOSE(CONTROL!$C$27, 0.0021, 0)</f>
        <v>33.460699999999996</v>
      </c>
      <c r="J173" s="17">
        <f>33.4586 * CHOOSE(CONTROL!$C$9, $D$9, 100%, $F$9) + CHOOSE(CONTROL!$C$27, 0.0021, 0)</f>
        <v>33.460699999999996</v>
      </c>
      <c r="K173" s="17">
        <f>33.4586 * CHOOSE(CONTROL!$C$9, $D$9, 100%, $F$9) + CHOOSE(CONTROL!$C$27, 0.0021, 0)</f>
        <v>33.460699999999996</v>
      </c>
      <c r="L173" s="17"/>
    </row>
    <row r="174" spans="1:12" ht="15" x14ac:dyDescent="0.2">
      <c r="A174" s="16">
        <v>46204</v>
      </c>
      <c r="B174" s="17">
        <f>34.5917 * CHOOSE(CONTROL!$C$9, $D$9, 100%, $F$9) + CHOOSE(CONTROL!$C$27, 0.0021, 0)</f>
        <v>34.593800000000002</v>
      </c>
      <c r="C174" s="17">
        <f>34.1594 * CHOOSE(CONTROL!$C$9, $D$9, 100%, $F$9) + CHOOSE(CONTROL!$C$27, 0.0021, 0)</f>
        <v>34.161499999999997</v>
      </c>
      <c r="D174" s="17">
        <f>34.1594 * CHOOSE(CONTROL!$C$9, $D$9, 100%, $F$9) + CHOOSE(CONTROL!$C$27, 0.0021, 0)</f>
        <v>34.161499999999997</v>
      </c>
      <c r="E174" s="17">
        <f>34.0227 * CHOOSE(CONTROL!$C$9, $D$9, 100%, $F$9) + CHOOSE(CONTROL!$C$27, 0.0021, 0)</f>
        <v>34.024799999999999</v>
      </c>
      <c r="F174" s="17">
        <f>34.0227 * CHOOSE(CONTROL!$C$9, $D$9, 100%, $F$9) + CHOOSE(CONTROL!$C$27, 0.0021, 0)</f>
        <v>34.024799999999999</v>
      </c>
      <c r="G174" s="17">
        <f>34.2941 * CHOOSE(CONTROL!$C$9, $D$9, 100%, $F$9) + CHOOSE(CONTROL!$C$27, 0.0021, 0)</f>
        <v>34.296199999999999</v>
      </c>
      <c r="H174" s="17">
        <f>34.1594 * CHOOSE(CONTROL!$C$9, $D$9, 100%, $F$9) + CHOOSE(CONTROL!$C$27, 0.0021, 0)</f>
        <v>34.161499999999997</v>
      </c>
      <c r="I174" s="17">
        <f>34.1594 * CHOOSE(CONTROL!$C$9, $D$9, 100%, $F$9) + CHOOSE(CONTROL!$C$27, 0.0021, 0)</f>
        <v>34.161499999999997</v>
      </c>
      <c r="J174" s="17">
        <f>34.1594 * CHOOSE(CONTROL!$C$9, $D$9, 100%, $F$9) + CHOOSE(CONTROL!$C$27, 0.0021, 0)</f>
        <v>34.161499999999997</v>
      </c>
      <c r="K174" s="17">
        <f>34.1594 * CHOOSE(CONTROL!$C$9, $D$9, 100%, $F$9) + CHOOSE(CONTROL!$C$27, 0.0021, 0)</f>
        <v>34.161499999999997</v>
      </c>
      <c r="L174" s="17"/>
    </row>
    <row r="175" spans="1:12" ht="15" x14ac:dyDescent="0.2">
      <c r="A175" s="16">
        <v>46235</v>
      </c>
      <c r="B175" s="17">
        <f>34.8526 * CHOOSE(CONTROL!$C$9, $D$9, 100%, $F$9) + CHOOSE(CONTROL!$C$27, 0.0021, 0)</f>
        <v>34.854700000000001</v>
      </c>
      <c r="C175" s="17">
        <f>34.4204 * CHOOSE(CONTROL!$C$9, $D$9, 100%, $F$9) + CHOOSE(CONTROL!$C$27, 0.0021, 0)</f>
        <v>34.422499999999999</v>
      </c>
      <c r="D175" s="17">
        <f>34.4204 * CHOOSE(CONTROL!$C$9, $D$9, 100%, $F$9) + CHOOSE(CONTROL!$C$27, 0.0021, 0)</f>
        <v>34.422499999999999</v>
      </c>
      <c r="E175" s="17">
        <f>34.2837 * CHOOSE(CONTROL!$C$9, $D$9, 100%, $F$9) + CHOOSE(CONTROL!$C$27, 0.0021, 0)</f>
        <v>34.285800000000002</v>
      </c>
      <c r="F175" s="17">
        <f>34.2837 * CHOOSE(CONTROL!$C$9, $D$9, 100%, $F$9) + CHOOSE(CONTROL!$C$27, 0.0021, 0)</f>
        <v>34.285800000000002</v>
      </c>
      <c r="G175" s="17">
        <f>34.5551 * CHOOSE(CONTROL!$C$9, $D$9, 100%, $F$9) + CHOOSE(CONTROL!$C$27, 0.0021, 0)</f>
        <v>34.557200000000002</v>
      </c>
      <c r="H175" s="17">
        <f>34.4204 * CHOOSE(CONTROL!$C$9, $D$9, 100%, $F$9) + CHOOSE(CONTROL!$C$27, 0.0021, 0)</f>
        <v>34.422499999999999</v>
      </c>
      <c r="I175" s="17">
        <f>34.4204 * CHOOSE(CONTROL!$C$9, $D$9, 100%, $F$9) + CHOOSE(CONTROL!$C$27, 0.0021, 0)</f>
        <v>34.422499999999999</v>
      </c>
      <c r="J175" s="17">
        <f>34.4204 * CHOOSE(CONTROL!$C$9, $D$9, 100%, $F$9) + CHOOSE(CONTROL!$C$27, 0.0021, 0)</f>
        <v>34.422499999999999</v>
      </c>
      <c r="K175" s="17">
        <f>34.4204 * CHOOSE(CONTROL!$C$9, $D$9, 100%, $F$9) + CHOOSE(CONTROL!$C$27, 0.0021, 0)</f>
        <v>34.422499999999999</v>
      </c>
      <c r="L175" s="17"/>
    </row>
    <row r="176" spans="1:12" ht="15" x14ac:dyDescent="0.2">
      <c r="A176" s="16">
        <v>46266</v>
      </c>
      <c r="B176" s="17">
        <f>35.5832 * CHOOSE(CONTROL!$C$9, $D$9, 100%, $F$9) + CHOOSE(CONTROL!$C$27, 0.0021, 0)</f>
        <v>35.585299999999997</v>
      </c>
      <c r="C176" s="17">
        <f>35.1509 * CHOOSE(CONTROL!$C$9, $D$9, 100%, $F$9) + CHOOSE(CONTROL!$C$27, 0.0021, 0)</f>
        <v>35.152999999999999</v>
      </c>
      <c r="D176" s="17">
        <f>35.1509 * CHOOSE(CONTROL!$C$9, $D$9, 100%, $F$9) + CHOOSE(CONTROL!$C$27, 0.0021, 0)</f>
        <v>35.152999999999999</v>
      </c>
      <c r="E176" s="17">
        <f>35.0142 * CHOOSE(CONTROL!$C$9, $D$9, 100%, $F$9) + CHOOSE(CONTROL!$C$27, 0.0021, 0)</f>
        <v>35.016300000000001</v>
      </c>
      <c r="F176" s="17">
        <f>35.0142 * CHOOSE(CONTROL!$C$9, $D$9, 100%, $F$9) + CHOOSE(CONTROL!$C$27, 0.0021, 0)</f>
        <v>35.016300000000001</v>
      </c>
      <c r="G176" s="17">
        <f>35.2856 * CHOOSE(CONTROL!$C$9, $D$9, 100%, $F$9) + CHOOSE(CONTROL!$C$27, 0.0021, 0)</f>
        <v>35.287700000000001</v>
      </c>
      <c r="H176" s="17">
        <f>35.1509 * CHOOSE(CONTROL!$C$9, $D$9, 100%, $F$9) + CHOOSE(CONTROL!$C$27, 0.0021, 0)</f>
        <v>35.152999999999999</v>
      </c>
      <c r="I176" s="17">
        <f>35.1509 * CHOOSE(CONTROL!$C$9, $D$9, 100%, $F$9) + CHOOSE(CONTROL!$C$27, 0.0021, 0)</f>
        <v>35.152999999999999</v>
      </c>
      <c r="J176" s="17">
        <f>35.1509 * CHOOSE(CONTROL!$C$9, $D$9, 100%, $F$9) + CHOOSE(CONTROL!$C$27, 0.0021, 0)</f>
        <v>35.152999999999999</v>
      </c>
      <c r="K176" s="17">
        <f>35.1509 * CHOOSE(CONTROL!$C$9, $D$9, 100%, $F$9) + CHOOSE(CONTROL!$C$27, 0.0021, 0)</f>
        <v>35.152999999999999</v>
      </c>
      <c r="L176" s="17"/>
    </row>
    <row r="177" spans="1:12" ht="15" x14ac:dyDescent="0.2">
      <c r="A177" s="16">
        <v>46296</v>
      </c>
      <c r="B177" s="17">
        <f>36.4933 * CHOOSE(CONTROL!$C$9, $D$9, 100%, $F$9) + CHOOSE(CONTROL!$C$27, 0.0021, 0)</f>
        <v>36.495399999999997</v>
      </c>
      <c r="C177" s="17">
        <f>36.0611 * CHOOSE(CONTROL!$C$9, $D$9, 100%, $F$9) + CHOOSE(CONTROL!$C$27, 0.0021, 0)</f>
        <v>36.063200000000002</v>
      </c>
      <c r="D177" s="17">
        <f>36.0611 * CHOOSE(CONTROL!$C$9, $D$9, 100%, $F$9) + CHOOSE(CONTROL!$C$27, 0.0021, 0)</f>
        <v>36.063200000000002</v>
      </c>
      <c r="E177" s="17">
        <f>35.9244 * CHOOSE(CONTROL!$C$9, $D$9, 100%, $F$9) + CHOOSE(CONTROL!$C$27, 0.0021, 0)</f>
        <v>35.926499999999997</v>
      </c>
      <c r="F177" s="17">
        <f>35.9244 * CHOOSE(CONTROL!$C$9, $D$9, 100%, $F$9) + CHOOSE(CONTROL!$C$27, 0.0021, 0)</f>
        <v>35.926499999999997</v>
      </c>
      <c r="G177" s="17">
        <f>36.1958 * CHOOSE(CONTROL!$C$9, $D$9, 100%, $F$9) + CHOOSE(CONTROL!$C$27, 0.0021, 0)</f>
        <v>36.197899999999997</v>
      </c>
      <c r="H177" s="17">
        <f>36.0611 * CHOOSE(CONTROL!$C$9, $D$9, 100%, $F$9) + CHOOSE(CONTROL!$C$27, 0.0021, 0)</f>
        <v>36.063200000000002</v>
      </c>
      <c r="I177" s="17">
        <f>36.0611 * CHOOSE(CONTROL!$C$9, $D$9, 100%, $F$9) + CHOOSE(CONTROL!$C$27, 0.0021, 0)</f>
        <v>36.063200000000002</v>
      </c>
      <c r="J177" s="17">
        <f>36.0611 * CHOOSE(CONTROL!$C$9, $D$9, 100%, $F$9) + CHOOSE(CONTROL!$C$27, 0.0021, 0)</f>
        <v>36.063200000000002</v>
      </c>
      <c r="K177" s="17">
        <f>36.0611 * CHOOSE(CONTROL!$C$9, $D$9, 100%, $F$9) + CHOOSE(CONTROL!$C$27, 0.0021, 0)</f>
        <v>36.063200000000002</v>
      </c>
      <c r="L177" s="17"/>
    </row>
    <row r="178" spans="1:12" ht="15" x14ac:dyDescent="0.2">
      <c r="A178" s="16">
        <v>46327</v>
      </c>
      <c r="B178" s="17">
        <f>36.6429 * CHOOSE(CONTROL!$C$9, $D$9, 100%, $F$9) + CHOOSE(CONTROL!$C$27, 0.0021, 0)</f>
        <v>36.644999999999996</v>
      </c>
      <c r="C178" s="17">
        <f>36.2107 * CHOOSE(CONTROL!$C$9, $D$9, 100%, $F$9) + CHOOSE(CONTROL!$C$27, 0.0021, 0)</f>
        <v>36.212800000000001</v>
      </c>
      <c r="D178" s="17">
        <f>36.2107 * CHOOSE(CONTROL!$C$9, $D$9, 100%, $F$9) + CHOOSE(CONTROL!$C$27, 0.0021, 0)</f>
        <v>36.212800000000001</v>
      </c>
      <c r="E178" s="17">
        <f>36.074 * CHOOSE(CONTROL!$C$9, $D$9, 100%, $F$9) + CHOOSE(CONTROL!$C$27, 0.0021, 0)</f>
        <v>36.076099999999997</v>
      </c>
      <c r="F178" s="17">
        <f>36.074 * CHOOSE(CONTROL!$C$9, $D$9, 100%, $F$9) + CHOOSE(CONTROL!$C$27, 0.0021, 0)</f>
        <v>36.076099999999997</v>
      </c>
      <c r="G178" s="17">
        <f>36.3454 * CHOOSE(CONTROL!$C$9, $D$9, 100%, $F$9) + CHOOSE(CONTROL!$C$27, 0.0021, 0)</f>
        <v>36.347499999999997</v>
      </c>
      <c r="H178" s="17">
        <f>36.2107 * CHOOSE(CONTROL!$C$9, $D$9, 100%, $F$9) + CHOOSE(CONTROL!$C$27, 0.0021, 0)</f>
        <v>36.212800000000001</v>
      </c>
      <c r="I178" s="17">
        <f>36.2107 * CHOOSE(CONTROL!$C$9, $D$9, 100%, $F$9) + CHOOSE(CONTROL!$C$27, 0.0021, 0)</f>
        <v>36.212800000000001</v>
      </c>
      <c r="J178" s="17">
        <f>36.2107 * CHOOSE(CONTROL!$C$9, $D$9, 100%, $F$9) + CHOOSE(CONTROL!$C$27, 0.0021, 0)</f>
        <v>36.212800000000001</v>
      </c>
      <c r="K178" s="17">
        <f>36.2107 * CHOOSE(CONTROL!$C$9, $D$9, 100%, $F$9) + CHOOSE(CONTROL!$C$27, 0.0021, 0)</f>
        <v>36.212800000000001</v>
      </c>
      <c r="L178" s="17"/>
    </row>
    <row r="179" spans="1:12" ht="15" x14ac:dyDescent="0.2">
      <c r="A179" s="16">
        <v>46357</v>
      </c>
      <c r="B179" s="17">
        <f>36.0388 * CHOOSE(CONTROL!$C$9, $D$9, 100%, $F$9) + CHOOSE(CONTROL!$C$27, 0.0021, 0)</f>
        <v>36.040900000000001</v>
      </c>
      <c r="C179" s="17">
        <f>35.6065 * CHOOSE(CONTROL!$C$9, $D$9, 100%, $F$9) + CHOOSE(CONTROL!$C$27, 0.0021, 0)</f>
        <v>35.608599999999996</v>
      </c>
      <c r="D179" s="17">
        <f>35.6065 * CHOOSE(CONTROL!$C$9, $D$9, 100%, $F$9) + CHOOSE(CONTROL!$C$27, 0.0021, 0)</f>
        <v>35.608599999999996</v>
      </c>
      <c r="E179" s="17">
        <f>35.4698 * CHOOSE(CONTROL!$C$9, $D$9, 100%, $F$9) + CHOOSE(CONTROL!$C$27, 0.0021, 0)</f>
        <v>35.471899999999998</v>
      </c>
      <c r="F179" s="17">
        <f>35.4698 * CHOOSE(CONTROL!$C$9, $D$9, 100%, $F$9) + CHOOSE(CONTROL!$C$27, 0.0021, 0)</f>
        <v>35.471899999999998</v>
      </c>
      <c r="G179" s="17">
        <f>35.7412 * CHOOSE(CONTROL!$C$9, $D$9, 100%, $F$9) + CHOOSE(CONTROL!$C$27, 0.0021, 0)</f>
        <v>35.743299999999998</v>
      </c>
      <c r="H179" s="17">
        <f>35.6065 * CHOOSE(CONTROL!$C$9, $D$9, 100%, $F$9) + CHOOSE(CONTROL!$C$27, 0.0021, 0)</f>
        <v>35.608599999999996</v>
      </c>
      <c r="I179" s="17">
        <f>35.6065 * CHOOSE(CONTROL!$C$9, $D$9, 100%, $F$9) + CHOOSE(CONTROL!$C$27, 0.0021, 0)</f>
        <v>35.608599999999996</v>
      </c>
      <c r="J179" s="17">
        <f>35.6065 * CHOOSE(CONTROL!$C$9, $D$9, 100%, $F$9) + CHOOSE(CONTROL!$C$27, 0.0021, 0)</f>
        <v>35.608599999999996</v>
      </c>
      <c r="K179" s="17">
        <f>35.6065 * CHOOSE(CONTROL!$C$9, $D$9, 100%, $F$9) + CHOOSE(CONTROL!$C$27, 0.0021, 0)</f>
        <v>35.608599999999996</v>
      </c>
      <c r="L179" s="17"/>
    </row>
    <row r="180" spans="1:12" ht="15" x14ac:dyDescent="0.2">
      <c r="A180" s="16">
        <v>46388</v>
      </c>
      <c r="B180" s="17">
        <f>35.0784 * CHOOSE(CONTROL!$C$9, $D$9, 100%, $F$9) + CHOOSE(CONTROL!$C$27, 0.0021, 0)</f>
        <v>35.080500000000001</v>
      </c>
      <c r="C180" s="17">
        <f>34.6461 * CHOOSE(CONTROL!$C$9, $D$9, 100%, $F$9) + CHOOSE(CONTROL!$C$27, 0.0021, 0)</f>
        <v>34.648199999999996</v>
      </c>
      <c r="D180" s="17">
        <f>34.6461 * CHOOSE(CONTROL!$C$9, $D$9, 100%, $F$9) + CHOOSE(CONTROL!$C$27, 0.0021, 0)</f>
        <v>34.648199999999996</v>
      </c>
      <c r="E180" s="17">
        <f>34.5095 * CHOOSE(CONTROL!$C$9, $D$9, 100%, $F$9) + CHOOSE(CONTROL!$C$27, 0.0021, 0)</f>
        <v>34.511600000000001</v>
      </c>
      <c r="F180" s="17">
        <f>34.5095 * CHOOSE(CONTROL!$C$9, $D$9, 100%, $F$9) + CHOOSE(CONTROL!$C$27, 0.0021, 0)</f>
        <v>34.511600000000001</v>
      </c>
      <c r="G180" s="17">
        <f>34.7809 * CHOOSE(CONTROL!$C$9, $D$9, 100%, $F$9) + CHOOSE(CONTROL!$C$27, 0.0021, 0)</f>
        <v>34.783000000000001</v>
      </c>
      <c r="H180" s="17">
        <f>34.6461 * CHOOSE(CONTROL!$C$9, $D$9, 100%, $F$9) + CHOOSE(CONTROL!$C$27, 0.0021, 0)</f>
        <v>34.648199999999996</v>
      </c>
      <c r="I180" s="17">
        <f>34.6461 * CHOOSE(CONTROL!$C$9, $D$9, 100%, $F$9) + CHOOSE(CONTROL!$C$27, 0.0021, 0)</f>
        <v>34.648199999999996</v>
      </c>
      <c r="J180" s="17">
        <f>34.6461 * CHOOSE(CONTROL!$C$9, $D$9, 100%, $F$9) + CHOOSE(CONTROL!$C$27, 0.0021, 0)</f>
        <v>34.648199999999996</v>
      </c>
      <c r="K180" s="17">
        <f>34.6461 * CHOOSE(CONTROL!$C$9, $D$9, 100%, $F$9) + CHOOSE(CONTROL!$C$27, 0.0021, 0)</f>
        <v>34.648199999999996</v>
      </c>
      <c r="L180" s="17"/>
    </row>
    <row r="181" spans="1:12" ht="15" x14ac:dyDescent="0.2">
      <c r="A181" s="16">
        <v>46419</v>
      </c>
      <c r="B181" s="17">
        <f>34.2166 * CHOOSE(CONTROL!$C$9, $D$9, 100%, $F$9) + CHOOSE(CONTROL!$C$27, 0.0021, 0)</f>
        <v>34.218699999999998</v>
      </c>
      <c r="C181" s="17">
        <f>33.7844 * CHOOSE(CONTROL!$C$9, $D$9, 100%, $F$9) + CHOOSE(CONTROL!$C$27, 0.0021, 0)</f>
        <v>33.786499999999997</v>
      </c>
      <c r="D181" s="17">
        <f>33.7844 * CHOOSE(CONTROL!$C$9, $D$9, 100%, $F$9) + CHOOSE(CONTROL!$C$27, 0.0021, 0)</f>
        <v>33.786499999999997</v>
      </c>
      <c r="E181" s="17">
        <f>33.6477 * CHOOSE(CONTROL!$C$9, $D$9, 100%, $F$9) + CHOOSE(CONTROL!$C$27, 0.0021, 0)</f>
        <v>33.649799999999999</v>
      </c>
      <c r="F181" s="17">
        <f>33.6477 * CHOOSE(CONTROL!$C$9, $D$9, 100%, $F$9) + CHOOSE(CONTROL!$C$27, 0.0021, 0)</f>
        <v>33.649799999999999</v>
      </c>
      <c r="G181" s="17">
        <f>33.9191 * CHOOSE(CONTROL!$C$9, $D$9, 100%, $F$9) + CHOOSE(CONTROL!$C$27, 0.0021, 0)</f>
        <v>33.921199999999999</v>
      </c>
      <c r="H181" s="17">
        <f>33.7844 * CHOOSE(CONTROL!$C$9, $D$9, 100%, $F$9) + CHOOSE(CONTROL!$C$27, 0.0021, 0)</f>
        <v>33.786499999999997</v>
      </c>
      <c r="I181" s="17">
        <f>33.7844 * CHOOSE(CONTROL!$C$9, $D$9, 100%, $F$9) + CHOOSE(CONTROL!$C$27, 0.0021, 0)</f>
        <v>33.786499999999997</v>
      </c>
      <c r="J181" s="17">
        <f>33.7844 * CHOOSE(CONTROL!$C$9, $D$9, 100%, $F$9) + CHOOSE(CONTROL!$C$27, 0.0021, 0)</f>
        <v>33.786499999999997</v>
      </c>
      <c r="K181" s="17">
        <f>33.7844 * CHOOSE(CONTROL!$C$9, $D$9, 100%, $F$9) + CHOOSE(CONTROL!$C$27, 0.0021, 0)</f>
        <v>33.786499999999997</v>
      </c>
      <c r="L181" s="17"/>
    </row>
    <row r="182" spans="1:12" ht="15" x14ac:dyDescent="0.2">
      <c r="A182" s="16">
        <v>46447</v>
      </c>
      <c r="B182" s="17">
        <f>33.898 * CHOOSE(CONTROL!$C$9, $D$9, 100%, $F$9) + CHOOSE(CONTROL!$C$27, 0.0021, 0)</f>
        <v>33.900100000000002</v>
      </c>
      <c r="C182" s="17">
        <f>33.4658 * CHOOSE(CONTROL!$C$9, $D$9, 100%, $F$9) + CHOOSE(CONTROL!$C$27, 0.0021, 0)</f>
        <v>33.4679</v>
      </c>
      <c r="D182" s="17">
        <f>33.4658 * CHOOSE(CONTROL!$C$9, $D$9, 100%, $F$9) + CHOOSE(CONTROL!$C$27, 0.0021, 0)</f>
        <v>33.4679</v>
      </c>
      <c r="E182" s="17">
        <f>33.3291 * CHOOSE(CONTROL!$C$9, $D$9, 100%, $F$9) + CHOOSE(CONTROL!$C$27, 0.0021, 0)</f>
        <v>33.331199999999995</v>
      </c>
      <c r="F182" s="17">
        <f>33.3291 * CHOOSE(CONTROL!$C$9, $D$9, 100%, $F$9) + CHOOSE(CONTROL!$C$27, 0.0021, 0)</f>
        <v>33.331199999999995</v>
      </c>
      <c r="G182" s="17">
        <f>33.6005 * CHOOSE(CONTROL!$C$9, $D$9, 100%, $F$9) + CHOOSE(CONTROL!$C$27, 0.0021, 0)</f>
        <v>33.602599999999995</v>
      </c>
      <c r="H182" s="17">
        <f>33.4658 * CHOOSE(CONTROL!$C$9, $D$9, 100%, $F$9) + CHOOSE(CONTROL!$C$27, 0.0021, 0)</f>
        <v>33.4679</v>
      </c>
      <c r="I182" s="17">
        <f>33.4658 * CHOOSE(CONTROL!$C$9, $D$9, 100%, $F$9) + CHOOSE(CONTROL!$C$27, 0.0021, 0)</f>
        <v>33.4679</v>
      </c>
      <c r="J182" s="17">
        <f>33.4658 * CHOOSE(CONTROL!$C$9, $D$9, 100%, $F$9) + CHOOSE(CONTROL!$C$27, 0.0021, 0)</f>
        <v>33.4679</v>
      </c>
      <c r="K182" s="17">
        <f>33.4658 * CHOOSE(CONTROL!$C$9, $D$9, 100%, $F$9) + CHOOSE(CONTROL!$C$27, 0.0021, 0)</f>
        <v>33.4679</v>
      </c>
      <c r="L182" s="17"/>
    </row>
    <row r="183" spans="1:12" ht="15" x14ac:dyDescent="0.2">
      <c r="A183" s="16">
        <v>46478</v>
      </c>
      <c r="B183" s="17">
        <f>33.5032 * CHOOSE(CONTROL!$C$9, $D$9, 100%, $F$9) + CHOOSE(CONTROL!$C$27, 0.0021, 0)</f>
        <v>33.505299999999998</v>
      </c>
      <c r="C183" s="17">
        <f>33.0709 * CHOOSE(CONTROL!$C$9, $D$9, 100%, $F$9) + CHOOSE(CONTROL!$C$27, 0.0021, 0)</f>
        <v>33.073</v>
      </c>
      <c r="D183" s="17">
        <f>33.0709 * CHOOSE(CONTROL!$C$9, $D$9, 100%, $F$9) + CHOOSE(CONTROL!$C$27, 0.0021, 0)</f>
        <v>33.073</v>
      </c>
      <c r="E183" s="17">
        <f>32.9343 * CHOOSE(CONTROL!$C$9, $D$9, 100%, $F$9) + CHOOSE(CONTROL!$C$27, 0.0021, 0)</f>
        <v>32.936399999999999</v>
      </c>
      <c r="F183" s="17">
        <f>32.9343 * CHOOSE(CONTROL!$C$9, $D$9, 100%, $F$9) + CHOOSE(CONTROL!$C$27, 0.0021, 0)</f>
        <v>32.936399999999999</v>
      </c>
      <c r="G183" s="17">
        <f>33.2057 * CHOOSE(CONTROL!$C$9, $D$9, 100%, $F$9) + CHOOSE(CONTROL!$C$27, 0.0021, 0)</f>
        <v>33.207799999999999</v>
      </c>
      <c r="H183" s="17">
        <f>33.0709 * CHOOSE(CONTROL!$C$9, $D$9, 100%, $F$9) + CHOOSE(CONTROL!$C$27, 0.0021, 0)</f>
        <v>33.073</v>
      </c>
      <c r="I183" s="17">
        <f>33.0709 * CHOOSE(CONTROL!$C$9, $D$9, 100%, $F$9) + CHOOSE(CONTROL!$C$27, 0.0021, 0)</f>
        <v>33.073</v>
      </c>
      <c r="J183" s="17">
        <f>33.0709 * CHOOSE(CONTROL!$C$9, $D$9, 100%, $F$9) + CHOOSE(CONTROL!$C$27, 0.0021, 0)</f>
        <v>33.073</v>
      </c>
      <c r="K183" s="17">
        <f>33.0709 * CHOOSE(CONTROL!$C$9, $D$9, 100%, $F$9) + CHOOSE(CONTROL!$C$27, 0.0021, 0)</f>
        <v>33.073</v>
      </c>
      <c r="L183" s="17"/>
    </row>
    <row r="184" spans="1:12" ht="15" x14ac:dyDescent="0.2">
      <c r="A184" s="16">
        <v>46508</v>
      </c>
      <c r="B184" s="17">
        <f>34.2243 * CHOOSE(CONTROL!$C$9, $D$9, 100%, $F$9) + CHOOSE(CONTROL!$C$27, 0.0021, 0)</f>
        <v>34.226399999999998</v>
      </c>
      <c r="C184" s="17">
        <f>33.792 * CHOOSE(CONTROL!$C$9, $D$9, 100%, $F$9) + CHOOSE(CONTROL!$C$27, 0.0021, 0)</f>
        <v>33.7941</v>
      </c>
      <c r="D184" s="17">
        <f>33.792 * CHOOSE(CONTROL!$C$9, $D$9, 100%, $F$9) + CHOOSE(CONTROL!$C$27, 0.0021, 0)</f>
        <v>33.7941</v>
      </c>
      <c r="E184" s="17">
        <f>33.6554 * CHOOSE(CONTROL!$C$9, $D$9, 100%, $F$9) + CHOOSE(CONTROL!$C$27, 0.0021, 0)</f>
        <v>33.657499999999999</v>
      </c>
      <c r="F184" s="17">
        <f>33.6554 * CHOOSE(CONTROL!$C$9, $D$9, 100%, $F$9) + CHOOSE(CONTROL!$C$27, 0.0021, 0)</f>
        <v>33.657499999999999</v>
      </c>
      <c r="G184" s="17">
        <f>33.9267 * CHOOSE(CONTROL!$C$9, $D$9, 100%, $F$9) + CHOOSE(CONTROL!$C$27, 0.0021, 0)</f>
        <v>33.928799999999995</v>
      </c>
      <c r="H184" s="17">
        <f>33.792 * CHOOSE(CONTROL!$C$9, $D$9, 100%, $F$9) + CHOOSE(CONTROL!$C$27, 0.0021, 0)</f>
        <v>33.7941</v>
      </c>
      <c r="I184" s="17">
        <f>33.792 * CHOOSE(CONTROL!$C$9, $D$9, 100%, $F$9) + CHOOSE(CONTROL!$C$27, 0.0021, 0)</f>
        <v>33.7941</v>
      </c>
      <c r="J184" s="17">
        <f>33.792 * CHOOSE(CONTROL!$C$9, $D$9, 100%, $F$9) + CHOOSE(CONTROL!$C$27, 0.0021, 0)</f>
        <v>33.7941</v>
      </c>
      <c r="K184" s="17">
        <f>33.792 * CHOOSE(CONTROL!$C$9, $D$9, 100%, $F$9) + CHOOSE(CONTROL!$C$27, 0.0021, 0)</f>
        <v>33.7941</v>
      </c>
      <c r="L184" s="17"/>
    </row>
    <row r="185" spans="1:12" ht="15" x14ac:dyDescent="0.2">
      <c r="A185" s="16">
        <v>46539</v>
      </c>
      <c r="B185" s="17">
        <f>34.6842 * CHOOSE(CONTROL!$C$9, $D$9, 100%, $F$9) + CHOOSE(CONTROL!$C$27, 0.0021, 0)</f>
        <v>34.686299999999996</v>
      </c>
      <c r="C185" s="17">
        <f>34.252 * CHOOSE(CONTROL!$C$9, $D$9, 100%, $F$9) + CHOOSE(CONTROL!$C$27, 0.0021, 0)</f>
        <v>34.254100000000001</v>
      </c>
      <c r="D185" s="17">
        <f>34.252 * CHOOSE(CONTROL!$C$9, $D$9, 100%, $F$9) + CHOOSE(CONTROL!$C$27, 0.0021, 0)</f>
        <v>34.254100000000001</v>
      </c>
      <c r="E185" s="17">
        <f>34.1153 * CHOOSE(CONTROL!$C$9, $D$9, 100%, $F$9) + CHOOSE(CONTROL!$C$27, 0.0021, 0)</f>
        <v>34.117399999999996</v>
      </c>
      <c r="F185" s="17">
        <f>34.1153 * CHOOSE(CONTROL!$C$9, $D$9, 100%, $F$9) + CHOOSE(CONTROL!$C$27, 0.0021, 0)</f>
        <v>34.117399999999996</v>
      </c>
      <c r="G185" s="17">
        <f>34.3867 * CHOOSE(CONTROL!$C$9, $D$9, 100%, $F$9) + CHOOSE(CONTROL!$C$27, 0.0021, 0)</f>
        <v>34.388799999999996</v>
      </c>
      <c r="H185" s="17">
        <f>34.252 * CHOOSE(CONTROL!$C$9, $D$9, 100%, $F$9) + CHOOSE(CONTROL!$C$27, 0.0021, 0)</f>
        <v>34.254100000000001</v>
      </c>
      <c r="I185" s="17">
        <f>34.252 * CHOOSE(CONTROL!$C$9, $D$9, 100%, $F$9) + CHOOSE(CONTROL!$C$27, 0.0021, 0)</f>
        <v>34.254100000000001</v>
      </c>
      <c r="J185" s="17">
        <f>34.252 * CHOOSE(CONTROL!$C$9, $D$9, 100%, $F$9) + CHOOSE(CONTROL!$C$27, 0.0021, 0)</f>
        <v>34.254100000000001</v>
      </c>
      <c r="K185" s="17">
        <f>34.252 * CHOOSE(CONTROL!$C$9, $D$9, 100%, $F$9) + CHOOSE(CONTROL!$C$27, 0.0021, 0)</f>
        <v>34.254100000000001</v>
      </c>
      <c r="L185" s="17"/>
    </row>
    <row r="186" spans="1:12" ht="15" x14ac:dyDescent="0.2">
      <c r="A186" s="16">
        <v>46569</v>
      </c>
      <c r="B186" s="17">
        <f>35.4026 * CHOOSE(CONTROL!$C$9, $D$9, 100%, $F$9) + CHOOSE(CONTROL!$C$27, 0.0021, 0)</f>
        <v>35.404699999999998</v>
      </c>
      <c r="C186" s="17">
        <f>34.9703 * CHOOSE(CONTROL!$C$9, $D$9, 100%, $F$9) + CHOOSE(CONTROL!$C$27, 0.0021, 0)</f>
        <v>34.9724</v>
      </c>
      <c r="D186" s="17">
        <f>34.9703 * CHOOSE(CONTROL!$C$9, $D$9, 100%, $F$9) + CHOOSE(CONTROL!$C$27, 0.0021, 0)</f>
        <v>34.9724</v>
      </c>
      <c r="E186" s="17">
        <f>34.8337 * CHOOSE(CONTROL!$C$9, $D$9, 100%, $F$9) + CHOOSE(CONTROL!$C$27, 0.0021, 0)</f>
        <v>34.835799999999999</v>
      </c>
      <c r="F186" s="17">
        <f>34.8337 * CHOOSE(CONTROL!$C$9, $D$9, 100%, $F$9) + CHOOSE(CONTROL!$C$27, 0.0021, 0)</f>
        <v>34.835799999999999</v>
      </c>
      <c r="G186" s="17">
        <f>35.1051 * CHOOSE(CONTROL!$C$9, $D$9, 100%, $F$9) + CHOOSE(CONTROL!$C$27, 0.0021, 0)</f>
        <v>35.107199999999999</v>
      </c>
      <c r="H186" s="17">
        <f>34.9703 * CHOOSE(CONTROL!$C$9, $D$9, 100%, $F$9) + CHOOSE(CONTROL!$C$27, 0.0021, 0)</f>
        <v>34.9724</v>
      </c>
      <c r="I186" s="17">
        <f>34.9703 * CHOOSE(CONTROL!$C$9, $D$9, 100%, $F$9) + CHOOSE(CONTROL!$C$27, 0.0021, 0)</f>
        <v>34.9724</v>
      </c>
      <c r="J186" s="17">
        <f>34.9703 * CHOOSE(CONTROL!$C$9, $D$9, 100%, $F$9) + CHOOSE(CONTROL!$C$27, 0.0021, 0)</f>
        <v>34.9724</v>
      </c>
      <c r="K186" s="17">
        <f>34.9703 * CHOOSE(CONTROL!$C$9, $D$9, 100%, $F$9) + CHOOSE(CONTROL!$C$27, 0.0021, 0)</f>
        <v>34.9724</v>
      </c>
      <c r="L186" s="17"/>
    </row>
    <row r="187" spans="1:12" ht="15" x14ac:dyDescent="0.2">
      <c r="A187" s="16">
        <v>46600</v>
      </c>
      <c r="B187" s="17">
        <f>35.6701 * CHOOSE(CONTROL!$C$9, $D$9, 100%, $F$9) + CHOOSE(CONTROL!$C$27, 0.0021, 0)</f>
        <v>35.672199999999997</v>
      </c>
      <c r="C187" s="17">
        <f>35.2379 * CHOOSE(CONTROL!$C$9, $D$9, 100%, $F$9) + CHOOSE(CONTROL!$C$27, 0.0021, 0)</f>
        <v>35.24</v>
      </c>
      <c r="D187" s="17">
        <f>35.2379 * CHOOSE(CONTROL!$C$9, $D$9, 100%, $F$9) + CHOOSE(CONTROL!$C$27, 0.0021, 0)</f>
        <v>35.24</v>
      </c>
      <c r="E187" s="17">
        <f>35.1012 * CHOOSE(CONTROL!$C$9, $D$9, 100%, $F$9) + CHOOSE(CONTROL!$C$27, 0.0021, 0)</f>
        <v>35.103299999999997</v>
      </c>
      <c r="F187" s="17">
        <f>35.1012 * CHOOSE(CONTROL!$C$9, $D$9, 100%, $F$9) + CHOOSE(CONTROL!$C$27, 0.0021, 0)</f>
        <v>35.103299999999997</v>
      </c>
      <c r="G187" s="17">
        <f>35.3726 * CHOOSE(CONTROL!$C$9, $D$9, 100%, $F$9) + CHOOSE(CONTROL!$C$27, 0.0021, 0)</f>
        <v>35.374699999999997</v>
      </c>
      <c r="H187" s="17">
        <f>35.2379 * CHOOSE(CONTROL!$C$9, $D$9, 100%, $F$9) + CHOOSE(CONTROL!$C$27, 0.0021, 0)</f>
        <v>35.24</v>
      </c>
      <c r="I187" s="17">
        <f>35.2379 * CHOOSE(CONTROL!$C$9, $D$9, 100%, $F$9) + CHOOSE(CONTROL!$C$27, 0.0021, 0)</f>
        <v>35.24</v>
      </c>
      <c r="J187" s="17">
        <f>35.2379 * CHOOSE(CONTROL!$C$9, $D$9, 100%, $F$9) + CHOOSE(CONTROL!$C$27, 0.0021, 0)</f>
        <v>35.24</v>
      </c>
      <c r="K187" s="17">
        <f>35.2379 * CHOOSE(CONTROL!$C$9, $D$9, 100%, $F$9) + CHOOSE(CONTROL!$C$27, 0.0021, 0)</f>
        <v>35.24</v>
      </c>
      <c r="L187" s="17"/>
    </row>
    <row r="188" spans="1:12" ht="15" x14ac:dyDescent="0.2">
      <c r="A188" s="16">
        <v>46631</v>
      </c>
      <c r="B188" s="17">
        <f>36.419 * CHOOSE(CONTROL!$C$9, $D$9, 100%, $F$9) + CHOOSE(CONTROL!$C$27, 0.0021, 0)</f>
        <v>36.421099999999996</v>
      </c>
      <c r="C188" s="17">
        <f>35.9867 * CHOOSE(CONTROL!$C$9, $D$9, 100%, $F$9) + CHOOSE(CONTROL!$C$27, 0.0021, 0)</f>
        <v>35.988799999999998</v>
      </c>
      <c r="D188" s="17">
        <f>35.9867 * CHOOSE(CONTROL!$C$9, $D$9, 100%, $F$9) + CHOOSE(CONTROL!$C$27, 0.0021, 0)</f>
        <v>35.988799999999998</v>
      </c>
      <c r="E188" s="17">
        <f>35.8501 * CHOOSE(CONTROL!$C$9, $D$9, 100%, $F$9) + CHOOSE(CONTROL!$C$27, 0.0021, 0)</f>
        <v>35.852199999999996</v>
      </c>
      <c r="F188" s="17">
        <f>35.8501 * CHOOSE(CONTROL!$C$9, $D$9, 100%, $F$9) + CHOOSE(CONTROL!$C$27, 0.0021, 0)</f>
        <v>35.852199999999996</v>
      </c>
      <c r="G188" s="17">
        <f>36.1215 * CHOOSE(CONTROL!$C$9, $D$9, 100%, $F$9) + CHOOSE(CONTROL!$C$27, 0.0021, 0)</f>
        <v>36.123599999999996</v>
      </c>
      <c r="H188" s="17">
        <f>35.9867 * CHOOSE(CONTROL!$C$9, $D$9, 100%, $F$9) + CHOOSE(CONTROL!$C$27, 0.0021, 0)</f>
        <v>35.988799999999998</v>
      </c>
      <c r="I188" s="17">
        <f>35.9867 * CHOOSE(CONTROL!$C$9, $D$9, 100%, $F$9) + CHOOSE(CONTROL!$C$27, 0.0021, 0)</f>
        <v>35.988799999999998</v>
      </c>
      <c r="J188" s="17">
        <f>35.9867 * CHOOSE(CONTROL!$C$9, $D$9, 100%, $F$9) + CHOOSE(CONTROL!$C$27, 0.0021, 0)</f>
        <v>35.988799999999998</v>
      </c>
      <c r="K188" s="17">
        <f>35.9867 * CHOOSE(CONTROL!$C$9, $D$9, 100%, $F$9) + CHOOSE(CONTROL!$C$27, 0.0021, 0)</f>
        <v>35.988799999999998</v>
      </c>
      <c r="L188" s="17"/>
    </row>
    <row r="189" spans="1:12" ht="15" x14ac:dyDescent="0.2">
      <c r="A189" s="16">
        <v>46661</v>
      </c>
      <c r="B189" s="17">
        <f>37.352 * CHOOSE(CONTROL!$C$9, $D$9, 100%, $F$9) + CHOOSE(CONTROL!$C$27, 0.0021, 0)</f>
        <v>37.354099999999995</v>
      </c>
      <c r="C189" s="17">
        <f>36.9197 * CHOOSE(CONTROL!$C$9, $D$9, 100%, $F$9) + CHOOSE(CONTROL!$C$27, 0.0021, 0)</f>
        <v>36.921799999999998</v>
      </c>
      <c r="D189" s="17">
        <f>36.9197 * CHOOSE(CONTROL!$C$9, $D$9, 100%, $F$9) + CHOOSE(CONTROL!$C$27, 0.0021, 0)</f>
        <v>36.921799999999998</v>
      </c>
      <c r="E189" s="17">
        <f>36.7831 * CHOOSE(CONTROL!$C$9, $D$9, 100%, $F$9) + CHOOSE(CONTROL!$C$27, 0.0021, 0)</f>
        <v>36.785199999999996</v>
      </c>
      <c r="F189" s="17">
        <f>36.7831 * CHOOSE(CONTROL!$C$9, $D$9, 100%, $F$9) + CHOOSE(CONTROL!$C$27, 0.0021, 0)</f>
        <v>36.785199999999996</v>
      </c>
      <c r="G189" s="17">
        <f>37.0545 * CHOOSE(CONTROL!$C$9, $D$9, 100%, $F$9) + CHOOSE(CONTROL!$C$27, 0.0021, 0)</f>
        <v>37.056599999999996</v>
      </c>
      <c r="H189" s="17">
        <f>36.9197 * CHOOSE(CONTROL!$C$9, $D$9, 100%, $F$9) + CHOOSE(CONTROL!$C$27, 0.0021, 0)</f>
        <v>36.921799999999998</v>
      </c>
      <c r="I189" s="17">
        <f>36.9197 * CHOOSE(CONTROL!$C$9, $D$9, 100%, $F$9) + CHOOSE(CONTROL!$C$27, 0.0021, 0)</f>
        <v>36.921799999999998</v>
      </c>
      <c r="J189" s="17">
        <f>36.9197 * CHOOSE(CONTROL!$C$9, $D$9, 100%, $F$9) + CHOOSE(CONTROL!$C$27, 0.0021, 0)</f>
        <v>36.921799999999998</v>
      </c>
      <c r="K189" s="17">
        <f>36.9197 * CHOOSE(CONTROL!$C$9, $D$9, 100%, $F$9) + CHOOSE(CONTROL!$C$27, 0.0021, 0)</f>
        <v>36.921799999999998</v>
      </c>
      <c r="L189" s="17"/>
    </row>
    <row r="190" spans="1:12" ht="15" x14ac:dyDescent="0.2">
      <c r="A190" s="16">
        <v>46692</v>
      </c>
      <c r="B190" s="17">
        <f>37.5054 * CHOOSE(CONTROL!$C$9, $D$9, 100%, $F$9) + CHOOSE(CONTROL!$C$27, 0.0021, 0)</f>
        <v>37.5075</v>
      </c>
      <c r="C190" s="17">
        <f>37.0731 * CHOOSE(CONTROL!$C$9, $D$9, 100%, $F$9) + CHOOSE(CONTROL!$C$27, 0.0021, 0)</f>
        <v>37.075199999999995</v>
      </c>
      <c r="D190" s="17">
        <f>37.0731 * CHOOSE(CONTROL!$C$9, $D$9, 100%, $F$9) + CHOOSE(CONTROL!$C$27, 0.0021, 0)</f>
        <v>37.075199999999995</v>
      </c>
      <c r="E190" s="17">
        <f>36.9365 * CHOOSE(CONTROL!$C$9, $D$9, 100%, $F$9) + CHOOSE(CONTROL!$C$27, 0.0021, 0)</f>
        <v>36.938600000000001</v>
      </c>
      <c r="F190" s="17">
        <f>36.9365 * CHOOSE(CONTROL!$C$9, $D$9, 100%, $F$9) + CHOOSE(CONTROL!$C$27, 0.0021, 0)</f>
        <v>36.938600000000001</v>
      </c>
      <c r="G190" s="17">
        <f>37.2078 * CHOOSE(CONTROL!$C$9, $D$9, 100%, $F$9) + CHOOSE(CONTROL!$C$27, 0.0021, 0)</f>
        <v>37.209899999999998</v>
      </c>
      <c r="H190" s="17">
        <f>37.0731 * CHOOSE(CONTROL!$C$9, $D$9, 100%, $F$9) + CHOOSE(CONTROL!$C$27, 0.0021, 0)</f>
        <v>37.075199999999995</v>
      </c>
      <c r="I190" s="17">
        <f>37.0731 * CHOOSE(CONTROL!$C$9, $D$9, 100%, $F$9) + CHOOSE(CONTROL!$C$27, 0.0021, 0)</f>
        <v>37.075199999999995</v>
      </c>
      <c r="J190" s="17">
        <f>37.0731 * CHOOSE(CONTROL!$C$9, $D$9, 100%, $F$9) + CHOOSE(CONTROL!$C$27, 0.0021, 0)</f>
        <v>37.075199999999995</v>
      </c>
      <c r="K190" s="17">
        <f>37.0731 * CHOOSE(CONTROL!$C$9, $D$9, 100%, $F$9) + CHOOSE(CONTROL!$C$27, 0.0021, 0)</f>
        <v>37.075199999999995</v>
      </c>
      <c r="L190" s="17"/>
    </row>
    <row r="191" spans="1:12" ht="15" x14ac:dyDescent="0.2">
      <c r="A191" s="16">
        <v>46722</v>
      </c>
      <c r="B191" s="17">
        <f>36.886 * CHOOSE(CONTROL!$C$9, $D$9, 100%, $F$9) + CHOOSE(CONTROL!$C$27, 0.0021, 0)</f>
        <v>36.888100000000001</v>
      </c>
      <c r="C191" s="17">
        <f>36.4538 * CHOOSE(CONTROL!$C$9, $D$9, 100%, $F$9) + CHOOSE(CONTROL!$C$27, 0.0021, 0)</f>
        <v>36.4559</v>
      </c>
      <c r="D191" s="17">
        <f>36.4538 * CHOOSE(CONTROL!$C$9, $D$9, 100%, $F$9) + CHOOSE(CONTROL!$C$27, 0.0021, 0)</f>
        <v>36.4559</v>
      </c>
      <c r="E191" s="17">
        <f>36.3171 * CHOOSE(CONTROL!$C$9, $D$9, 100%, $F$9) + CHOOSE(CONTROL!$C$27, 0.0021, 0)</f>
        <v>36.319200000000002</v>
      </c>
      <c r="F191" s="17">
        <f>36.3171 * CHOOSE(CONTROL!$C$9, $D$9, 100%, $F$9) + CHOOSE(CONTROL!$C$27, 0.0021, 0)</f>
        <v>36.319200000000002</v>
      </c>
      <c r="G191" s="17">
        <f>36.5885 * CHOOSE(CONTROL!$C$9, $D$9, 100%, $F$9) + CHOOSE(CONTROL!$C$27, 0.0021, 0)</f>
        <v>36.590600000000002</v>
      </c>
      <c r="H191" s="17">
        <f>36.4538 * CHOOSE(CONTROL!$C$9, $D$9, 100%, $F$9) + CHOOSE(CONTROL!$C$27, 0.0021, 0)</f>
        <v>36.4559</v>
      </c>
      <c r="I191" s="17">
        <f>36.4538 * CHOOSE(CONTROL!$C$9, $D$9, 100%, $F$9) + CHOOSE(CONTROL!$C$27, 0.0021, 0)</f>
        <v>36.4559</v>
      </c>
      <c r="J191" s="17">
        <f>36.4538 * CHOOSE(CONTROL!$C$9, $D$9, 100%, $F$9) + CHOOSE(CONTROL!$C$27, 0.0021, 0)</f>
        <v>36.4559</v>
      </c>
      <c r="K191" s="17">
        <f>36.4538 * CHOOSE(CONTROL!$C$9, $D$9, 100%, $F$9) + CHOOSE(CONTROL!$C$27, 0.0021, 0)</f>
        <v>36.4559</v>
      </c>
      <c r="L191" s="17"/>
    </row>
    <row r="192" spans="1:12" ht="15" x14ac:dyDescent="0.2">
      <c r="A192" s="16">
        <v>46753</v>
      </c>
      <c r="B192" s="17">
        <f>35.836 * CHOOSE(CONTROL!$C$9, $D$9, 100%, $F$9) + CHOOSE(CONTROL!$C$27, 0.0021, 0)</f>
        <v>35.838099999999997</v>
      </c>
      <c r="C192" s="17">
        <f>35.4037 * CHOOSE(CONTROL!$C$9, $D$9, 100%, $F$9) + CHOOSE(CONTROL!$C$27, 0.0021, 0)</f>
        <v>35.405799999999999</v>
      </c>
      <c r="D192" s="17">
        <f>35.4037 * CHOOSE(CONTROL!$C$9, $D$9, 100%, $F$9) + CHOOSE(CONTROL!$C$27, 0.0021, 0)</f>
        <v>35.405799999999999</v>
      </c>
      <c r="E192" s="17">
        <f>35.2671 * CHOOSE(CONTROL!$C$9, $D$9, 100%, $F$9) + CHOOSE(CONTROL!$C$27, 0.0021, 0)</f>
        <v>35.269199999999998</v>
      </c>
      <c r="F192" s="17">
        <f>35.2671 * CHOOSE(CONTROL!$C$9, $D$9, 100%, $F$9) + CHOOSE(CONTROL!$C$27, 0.0021, 0)</f>
        <v>35.269199999999998</v>
      </c>
      <c r="G192" s="17">
        <f>35.5385 * CHOOSE(CONTROL!$C$9, $D$9, 100%, $F$9) + CHOOSE(CONTROL!$C$27, 0.0021, 0)</f>
        <v>35.540599999999998</v>
      </c>
      <c r="H192" s="17">
        <f>35.4037 * CHOOSE(CONTROL!$C$9, $D$9, 100%, $F$9) + CHOOSE(CONTROL!$C$27, 0.0021, 0)</f>
        <v>35.405799999999999</v>
      </c>
      <c r="I192" s="17">
        <f>35.4037 * CHOOSE(CONTROL!$C$9, $D$9, 100%, $F$9) + CHOOSE(CONTROL!$C$27, 0.0021, 0)</f>
        <v>35.405799999999999</v>
      </c>
      <c r="J192" s="17">
        <f>35.4037 * CHOOSE(CONTROL!$C$9, $D$9, 100%, $F$9) + CHOOSE(CONTROL!$C$27, 0.0021, 0)</f>
        <v>35.405799999999999</v>
      </c>
      <c r="K192" s="17">
        <f>35.4037 * CHOOSE(CONTROL!$C$9, $D$9, 100%, $F$9) + CHOOSE(CONTROL!$C$27, 0.0021, 0)</f>
        <v>35.405799999999999</v>
      </c>
      <c r="L192" s="17"/>
    </row>
    <row r="193" spans="1:12" ht="15" x14ac:dyDescent="0.2">
      <c r="A193" s="16">
        <v>46784</v>
      </c>
      <c r="B193" s="17">
        <f>34.9543 * CHOOSE(CONTROL!$C$9, $D$9, 100%, $F$9) + CHOOSE(CONTROL!$C$27, 0.0021, 0)</f>
        <v>34.956400000000002</v>
      </c>
      <c r="C193" s="17">
        <f>34.5221 * CHOOSE(CONTROL!$C$9, $D$9, 100%, $F$9) + CHOOSE(CONTROL!$C$27, 0.0021, 0)</f>
        <v>34.5242</v>
      </c>
      <c r="D193" s="17">
        <f>34.5221 * CHOOSE(CONTROL!$C$9, $D$9, 100%, $F$9) + CHOOSE(CONTROL!$C$27, 0.0021, 0)</f>
        <v>34.5242</v>
      </c>
      <c r="E193" s="17">
        <f>34.3854 * CHOOSE(CONTROL!$C$9, $D$9, 100%, $F$9) + CHOOSE(CONTROL!$C$27, 0.0021, 0)</f>
        <v>34.387499999999996</v>
      </c>
      <c r="F193" s="17">
        <f>34.3854 * CHOOSE(CONTROL!$C$9, $D$9, 100%, $F$9) + CHOOSE(CONTROL!$C$27, 0.0021, 0)</f>
        <v>34.387499999999996</v>
      </c>
      <c r="G193" s="17">
        <f>34.6568 * CHOOSE(CONTROL!$C$9, $D$9, 100%, $F$9) + CHOOSE(CONTROL!$C$27, 0.0021, 0)</f>
        <v>34.658899999999996</v>
      </c>
      <c r="H193" s="17">
        <f>34.5221 * CHOOSE(CONTROL!$C$9, $D$9, 100%, $F$9) + CHOOSE(CONTROL!$C$27, 0.0021, 0)</f>
        <v>34.5242</v>
      </c>
      <c r="I193" s="17">
        <f>34.5221 * CHOOSE(CONTROL!$C$9, $D$9, 100%, $F$9) + CHOOSE(CONTROL!$C$27, 0.0021, 0)</f>
        <v>34.5242</v>
      </c>
      <c r="J193" s="17">
        <f>34.5221 * CHOOSE(CONTROL!$C$9, $D$9, 100%, $F$9) + CHOOSE(CONTROL!$C$27, 0.0021, 0)</f>
        <v>34.5242</v>
      </c>
      <c r="K193" s="17">
        <f>34.5221 * CHOOSE(CONTROL!$C$9, $D$9, 100%, $F$9) + CHOOSE(CONTROL!$C$27, 0.0021, 0)</f>
        <v>34.5242</v>
      </c>
      <c r="L193" s="17"/>
    </row>
    <row r="194" spans="1:12" ht="15" x14ac:dyDescent="0.2">
      <c r="A194" s="16">
        <v>46813</v>
      </c>
      <c r="B194" s="17">
        <f>34.6283 * CHOOSE(CONTROL!$C$9, $D$9, 100%, $F$9) + CHOOSE(CONTROL!$C$27, 0.0021, 0)</f>
        <v>34.630400000000002</v>
      </c>
      <c r="C194" s="17">
        <f>34.1961 * CHOOSE(CONTROL!$C$9, $D$9, 100%, $F$9) + CHOOSE(CONTROL!$C$27, 0.0021, 0)</f>
        <v>34.1982</v>
      </c>
      <c r="D194" s="17">
        <f>34.1961 * CHOOSE(CONTROL!$C$9, $D$9, 100%, $F$9) + CHOOSE(CONTROL!$C$27, 0.0021, 0)</f>
        <v>34.1982</v>
      </c>
      <c r="E194" s="17">
        <f>34.0594 * CHOOSE(CONTROL!$C$9, $D$9, 100%, $F$9) + CHOOSE(CONTROL!$C$27, 0.0021, 0)</f>
        <v>34.061499999999995</v>
      </c>
      <c r="F194" s="17">
        <f>34.0594 * CHOOSE(CONTROL!$C$9, $D$9, 100%, $F$9) + CHOOSE(CONTROL!$C$27, 0.0021, 0)</f>
        <v>34.061499999999995</v>
      </c>
      <c r="G194" s="17">
        <f>34.3308 * CHOOSE(CONTROL!$C$9, $D$9, 100%, $F$9) + CHOOSE(CONTROL!$C$27, 0.0021, 0)</f>
        <v>34.332900000000002</v>
      </c>
      <c r="H194" s="17">
        <f>34.1961 * CHOOSE(CONTROL!$C$9, $D$9, 100%, $F$9) + CHOOSE(CONTROL!$C$27, 0.0021, 0)</f>
        <v>34.1982</v>
      </c>
      <c r="I194" s="17">
        <f>34.1961 * CHOOSE(CONTROL!$C$9, $D$9, 100%, $F$9) + CHOOSE(CONTROL!$C$27, 0.0021, 0)</f>
        <v>34.1982</v>
      </c>
      <c r="J194" s="17">
        <f>34.1961 * CHOOSE(CONTROL!$C$9, $D$9, 100%, $F$9) + CHOOSE(CONTROL!$C$27, 0.0021, 0)</f>
        <v>34.1982</v>
      </c>
      <c r="K194" s="17">
        <f>34.1961 * CHOOSE(CONTROL!$C$9, $D$9, 100%, $F$9) + CHOOSE(CONTROL!$C$27, 0.0021, 0)</f>
        <v>34.1982</v>
      </c>
      <c r="L194" s="17"/>
    </row>
    <row r="195" spans="1:12" ht="15" x14ac:dyDescent="0.2">
      <c r="A195" s="16">
        <v>46844</v>
      </c>
      <c r="B195" s="17">
        <f>34.2244 * CHOOSE(CONTROL!$C$9, $D$9, 100%, $F$9) + CHOOSE(CONTROL!$C$27, 0.0021, 0)</f>
        <v>34.226500000000001</v>
      </c>
      <c r="C195" s="17">
        <f>33.7922 * CHOOSE(CONTROL!$C$9, $D$9, 100%, $F$9) + CHOOSE(CONTROL!$C$27, 0.0021, 0)</f>
        <v>33.7943</v>
      </c>
      <c r="D195" s="17">
        <f>33.7922 * CHOOSE(CONTROL!$C$9, $D$9, 100%, $F$9) + CHOOSE(CONTROL!$C$27, 0.0021, 0)</f>
        <v>33.7943</v>
      </c>
      <c r="E195" s="17">
        <f>33.6555 * CHOOSE(CONTROL!$C$9, $D$9, 100%, $F$9) + CHOOSE(CONTROL!$C$27, 0.0021, 0)</f>
        <v>33.657600000000002</v>
      </c>
      <c r="F195" s="17">
        <f>33.6555 * CHOOSE(CONTROL!$C$9, $D$9, 100%, $F$9) + CHOOSE(CONTROL!$C$27, 0.0021, 0)</f>
        <v>33.657600000000002</v>
      </c>
      <c r="G195" s="17">
        <f>33.9269 * CHOOSE(CONTROL!$C$9, $D$9, 100%, $F$9) + CHOOSE(CONTROL!$C$27, 0.0021, 0)</f>
        <v>33.929000000000002</v>
      </c>
      <c r="H195" s="17">
        <f>33.7922 * CHOOSE(CONTROL!$C$9, $D$9, 100%, $F$9) + CHOOSE(CONTROL!$C$27, 0.0021, 0)</f>
        <v>33.7943</v>
      </c>
      <c r="I195" s="17">
        <f>33.7922 * CHOOSE(CONTROL!$C$9, $D$9, 100%, $F$9) + CHOOSE(CONTROL!$C$27, 0.0021, 0)</f>
        <v>33.7943</v>
      </c>
      <c r="J195" s="17">
        <f>33.7922 * CHOOSE(CONTROL!$C$9, $D$9, 100%, $F$9) + CHOOSE(CONTROL!$C$27, 0.0021, 0)</f>
        <v>33.7943</v>
      </c>
      <c r="K195" s="17">
        <f>33.7922 * CHOOSE(CONTROL!$C$9, $D$9, 100%, $F$9) + CHOOSE(CONTROL!$C$27, 0.0021, 0)</f>
        <v>33.7943</v>
      </c>
      <c r="L195" s="17"/>
    </row>
    <row r="196" spans="1:12" ht="15" x14ac:dyDescent="0.2">
      <c r="A196" s="16">
        <v>46874</v>
      </c>
      <c r="B196" s="17">
        <f>34.9621 * CHOOSE(CONTROL!$C$9, $D$9, 100%, $F$9) + CHOOSE(CONTROL!$C$27, 0.0021, 0)</f>
        <v>34.964199999999998</v>
      </c>
      <c r="C196" s="17">
        <f>34.5299 * CHOOSE(CONTROL!$C$9, $D$9, 100%, $F$9) + CHOOSE(CONTROL!$C$27, 0.0021, 0)</f>
        <v>34.531999999999996</v>
      </c>
      <c r="D196" s="17">
        <f>34.5299 * CHOOSE(CONTROL!$C$9, $D$9, 100%, $F$9) + CHOOSE(CONTROL!$C$27, 0.0021, 0)</f>
        <v>34.531999999999996</v>
      </c>
      <c r="E196" s="17">
        <f>34.3932 * CHOOSE(CONTROL!$C$9, $D$9, 100%, $F$9) + CHOOSE(CONTROL!$C$27, 0.0021, 0)</f>
        <v>34.395299999999999</v>
      </c>
      <c r="F196" s="17">
        <f>34.3932 * CHOOSE(CONTROL!$C$9, $D$9, 100%, $F$9) + CHOOSE(CONTROL!$C$27, 0.0021, 0)</f>
        <v>34.395299999999999</v>
      </c>
      <c r="G196" s="17">
        <f>34.6646 * CHOOSE(CONTROL!$C$9, $D$9, 100%, $F$9) + CHOOSE(CONTROL!$C$27, 0.0021, 0)</f>
        <v>34.666699999999999</v>
      </c>
      <c r="H196" s="17">
        <f>34.5299 * CHOOSE(CONTROL!$C$9, $D$9, 100%, $F$9) + CHOOSE(CONTROL!$C$27, 0.0021, 0)</f>
        <v>34.531999999999996</v>
      </c>
      <c r="I196" s="17">
        <f>34.5299 * CHOOSE(CONTROL!$C$9, $D$9, 100%, $F$9) + CHOOSE(CONTROL!$C$27, 0.0021, 0)</f>
        <v>34.531999999999996</v>
      </c>
      <c r="J196" s="17">
        <f>34.5299 * CHOOSE(CONTROL!$C$9, $D$9, 100%, $F$9) + CHOOSE(CONTROL!$C$27, 0.0021, 0)</f>
        <v>34.531999999999996</v>
      </c>
      <c r="K196" s="17">
        <f>34.5299 * CHOOSE(CONTROL!$C$9, $D$9, 100%, $F$9) + CHOOSE(CONTROL!$C$27, 0.0021, 0)</f>
        <v>34.531999999999996</v>
      </c>
      <c r="L196" s="17"/>
    </row>
    <row r="197" spans="1:12" ht="15" x14ac:dyDescent="0.2">
      <c r="A197" s="16">
        <v>46905</v>
      </c>
      <c r="B197" s="17">
        <f>35.4327 * CHOOSE(CONTROL!$C$9, $D$9, 100%, $F$9) + CHOOSE(CONTROL!$C$27, 0.0021, 0)</f>
        <v>35.434799999999996</v>
      </c>
      <c r="C197" s="17">
        <f>35.0005 * CHOOSE(CONTROL!$C$9, $D$9, 100%, $F$9) + CHOOSE(CONTROL!$C$27, 0.0021, 0)</f>
        <v>35.002600000000001</v>
      </c>
      <c r="D197" s="17">
        <f>35.0005 * CHOOSE(CONTROL!$C$9, $D$9, 100%, $F$9) + CHOOSE(CONTROL!$C$27, 0.0021, 0)</f>
        <v>35.002600000000001</v>
      </c>
      <c r="E197" s="17">
        <f>34.8638 * CHOOSE(CONTROL!$C$9, $D$9, 100%, $F$9) + CHOOSE(CONTROL!$C$27, 0.0021, 0)</f>
        <v>34.865899999999996</v>
      </c>
      <c r="F197" s="17">
        <f>34.8638 * CHOOSE(CONTROL!$C$9, $D$9, 100%, $F$9) + CHOOSE(CONTROL!$C$27, 0.0021, 0)</f>
        <v>34.865899999999996</v>
      </c>
      <c r="G197" s="17">
        <f>35.1352 * CHOOSE(CONTROL!$C$9, $D$9, 100%, $F$9) + CHOOSE(CONTROL!$C$27, 0.0021, 0)</f>
        <v>35.137299999999996</v>
      </c>
      <c r="H197" s="17">
        <f>35.0005 * CHOOSE(CONTROL!$C$9, $D$9, 100%, $F$9) + CHOOSE(CONTROL!$C$27, 0.0021, 0)</f>
        <v>35.002600000000001</v>
      </c>
      <c r="I197" s="17">
        <f>35.0005 * CHOOSE(CONTROL!$C$9, $D$9, 100%, $F$9) + CHOOSE(CONTROL!$C$27, 0.0021, 0)</f>
        <v>35.002600000000001</v>
      </c>
      <c r="J197" s="17">
        <f>35.0005 * CHOOSE(CONTROL!$C$9, $D$9, 100%, $F$9) + CHOOSE(CONTROL!$C$27, 0.0021, 0)</f>
        <v>35.002600000000001</v>
      </c>
      <c r="K197" s="17">
        <f>35.0005 * CHOOSE(CONTROL!$C$9, $D$9, 100%, $F$9) + CHOOSE(CONTROL!$C$27, 0.0021, 0)</f>
        <v>35.002600000000001</v>
      </c>
      <c r="L197" s="17"/>
    </row>
    <row r="198" spans="1:12" ht="15" x14ac:dyDescent="0.2">
      <c r="A198" s="16">
        <v>46935</v>
      </c>
      <c r="B198" s="17">
        <f>36.1677 * CHOOSE(CONTROL!$C$9, $D$9, 100%, $F$9) + CHOOSE(CONTROL!$C$27, 0.0021, 0)</f>
        <v>36.169800000000002</v>
      </c>
      <c r="C198" s="17">
        <f>35.7354 * CHOOSE(CONTROL!$C$9, $D$9, 100%, $F$9) + CHOOSE(CONTROL!$C$27, 0.0021, 0)</f>
        <v>35.737499999999997</v>
      </c>
      <c r="D198" s="17">
        <f>35.7354 * CHOOSE(CONTROL!$C$9, $D$9, 100%, $F$9) + CHOOSE(CONTROL!$C$27, 0.0021, 0)</f>
        <v>35.737499999999997</v>
      </c>
      <c r="E198" s="17">
        <f>35.5988 * CHOOSE(CONTROL!$C$9, $D$9, 100%, $F$9) + CHOOSE(CONTROL!$C$27, 0.0021, 0)</f>
        <v>35.600899999999996</v>
      </c>
      <c r="F198" s="17">
        <f>35.5988 * CHOOSE(CONTROL!$C$9, $D$9, 100%, $F$9) + CHOOSE(CONTROL!$C$27, 0.0021, 0)</f>
        <v>35.600899999999996</v>
      </c>
      <c r="G198" s="17">
        <f>35.8702 * CHOOSE(CONTROL!$C$9, $D$9, 100%, $F$9) + CHOOSE(CONTROL!$C$27, 0.0021, 0)</f>
        <v>35.872299999999996</v>
      </c>
      <c r="H198" s="17">
        <f>35.7354 * CHOOSE(CONTROL!$C$9, $D$9, 100%, $F$9) + CHOOSE(CONTROL!$C$27, 0.0021, 0)</f>
        <v>35.737499999999997</v>
      </c>
      <c r="I198" s="17">
        <f>35.7354 * CHOOSE(CONTROL!$C$9, $D$9, 100%, $F$9) + CHOOSE(CONTROL!$C$27, 0.0021, 0)</f>
        <v>35.737499999999997</v>
      </c>
      <c r="J198" s="17">
        <f>35.7354 * CHOOSE(CONTROL!$C$9, $D$9, 100%, $F$9) + CHOOSE(CONTROL!$C$27, 0.0021, 0)</f>
        <v>35.737499999999997</v>
      </c>
      <c r="K198" s="17">
        <f>35.7354 * CHOOSE(CONTROL!$C$9, $D$9, 100%, $F$9) + CHOOSE(CONTROL!$C$27, 0.0021, 0)</f>
        <v>35.737499999999997</v>
      </c>
      <c r="L198" s="17"/>
    </row>
    <row r="199" spans="1:12" ht="15" x14ac:dyDescent="0.2">
      <c r="A199" s="16">
        <v>46966</v>
      </c>
      <c r="B199" s="17">
        <f>36.4414 * CHOOSE(CONTROL!$C$9, $D$9, 100%, $F$9) + CHOOSE(CONTROL!$C$27, 0.0021, 0)</f>
        <v>36.4435</v>
      </c>
      <c r="C199" s="17">
        <f>36.0091 * CHOOSE(CONTROL!$C$9, $D$9, 100%, $F$9) + CHOOSE(CONTROL!$C$27, 0.0021, 0)</f>
        <v>36.011199999999995</v>
      </c>
      <c r="D199" s="17">
        <f>36.0091 * CHOOSE(CONTROL!$C$9, $D$9, 100%, $F$9) + CHOOSE(CONTROL!$C$27, 0.0021, 0)</f>
        <v>36.011199999999995</v>
      </c>
      <c r="E199" s="17">
        <f>35.8725 * CHOOSE(CONTROL!$C$9, $D$9, 100%, $F$9) + CHOOSE(CONTROL!$C$27, 0.0021, 0)</f>
        <v>35.874600000000001</v>
      </c>
      <c r="F199" s="17">
        <f>35.8725 * CHOOSE(CONTROL!$C$9, $D$9, 100%, $F$9) + CHOOSE(CONTROL!$C$27, 0.0021, 0)</f>
        <v>35.874600000000001</v>
      </c>
      <c r="G199" s="17">
        <f>36.1439 * CHOOSE(CONTROL!$C$9, $D$9, 100%, $F$9) + CHOOSE(CONTROL!$C$27, 0.0021, 0)</f>
        <v>36.146000000000001</v>
      </c>
      <c r="H199" s="17">
        <f>36.0091 * CHOOSE(CONTROL!$C$9, $D$9, 100%, $F$9) + CHOOSE(CONTROL!$C$27, 0.0021, 0)</f>
        <v>36.011199999999995</v>
      </c>
      <c r="I199" s="17">
        <f>36.0091 * CHOOSE(CONTROL!$C$9, $D$9, 100%, $F$9) + CHOOSE(CONTROL!$C$27, 0.0021, 0)</f>
        <v>36.011199999999995</v>
      </c>
      <c r="J199" s="17">
        <f>36.0091 * CHOOSE(CONTROL!$C$9, $D$9, 100%, $F$9) + CHOOSE(CONTROL!$C$27, 0.0021, 0)</f>
        <v>36.011199999999995</v>
      </c>
      <c r="K199" s="17">
        <f>36.0091 * CHOOSE(CONTROL!$C$9, $D$9, 100%, $F$9) + CHOOSE(CONTROL!$C$27, 0.0021, 0)</f>
        <v>36.011199999999995</v>
      </c>
      <c r="L199" s="17"/>
    </row>
    <row r="200" spans="1:12" ht="15" x14ac:dyDescent="0.2">
      <c r="A200" s="16">
        <v>46997</v>
      </c>
      <c r="B200" s="17">
        <f>37.2076 * CHOOSE(CONTROL!$C$9, $D$9, 100%, $F$9) + CHOOSE(CONTROL!$C$27, 0.0021, 0)</f>
        <v>37.209699999999998</v>
      </c>
      <c r="C200" s="17">
        <f>36.7753 * CHOOSE(CONTROL!$C$9, $D$9, 100%, $F$9) + CHOOSE(CONTROL!$C$27, 0.0021, 0)</f>
        <v>36.7774</v>
      </c>
      <c r="D200" s="17">
        <f>36.7753 * CHOOSE(CONTROL!$C$9, $D$9, 100%, $F$9) + CHOOSE(CONTROL!$C$27, 0.0021, 0)</f>
        <v>36.7774</v>
      </c>
      <c r="E200" s="17">
        <f>36.6387 * CHOOSE(CONTROL!$C$9, $D$9, 100%, $F$9) + CHOOSE(CONTROL!$C$27, 0.0021, 0)</f>
        <v>36.640799999999999</v>
      </c>
      <c r="F200" s="17">
        <f>36.6387 * CHOOSE(CONTROL!$C$9, $D$9, 100%, $F$9) + CHOOSE(CONTROL!$C$27, 0.0021, 0)</f>
        <v>36.640799999999999</v>
      </c>
      <c r="G200" s="17">
        <f>36.91 * CHOOSE(CONTROL!$C$9, $D$9, 100%, $F$9) + CHOOSE(CONTROL!$C$27, 0.0021, 0)</f>
        <v>36.912099999999995</v>
      </c>
      <c r="H200" s="17">
        <f>36.7753 * CHOOSE(CONTROL!$C$9, $D$9, 100%, $F$9) + CHOOSE(CONTROL!$C$27, 0.0021, 0)</f>
        <v>36.7774</v>
      </c>
      <c r="I200" s="17">
        <f>36.7753 * CHOOSE(CONTROL!$C$9, $D$9, 100%, $F$9) + CHOOSE(CONTROL!$C$27, 0.0021, 0)</f>
        <v>36.7774</v>
      </c>
      <c r="J200" s="17">
        <f>36.7753 * CHOOSE(CONTROL!$C$9, $D$9, 100%, $F$9) + CHOOSE(CONTROL!$C$27, 0.0021, 0)</f>
        <v>36.7774</v>
      </c>
      <c r="K200" s="17">
        <f>36.7753 * CHOOSE(CONTROL!$C$9, $D$9, 100%, $F$9) + CHOOSE(CONTROL!$C$27, 0.0021, 0)</f>
        <v>36.7774</v>
      </c>
      <c r="L200" s="17"/>
    </row>
    <row r="201" spans="1:12" ht="15" x14ac:dyDescent="0.2">
      <c r="A201" s="16">
        <v>47027</v>
      </c>
      <c r="B201" s="17">
        <f>38.1621 * CHOOSE(CONTROL!$C$9, $D$9, 100%, $F$9) + CHOOSE(CONTROL!$C$27, 0.0021, 0)</f>
        <v>38.164200000000001</v>
      </c>
      <c r="C201" s="17">
        <f>37.7299 * CHOOSE(CONTROL!$C$9, $D$9, 100%, $F$9) + CHOOSE(CONTROL!$C$27, 0.0021, 0)</f>
        <v>37.731999999999999</v>
      </c>
      <c r="D201" s="17">
        <f>37.7299 * CHOOSE(CONTROL!$C$9, $D$9, 100%, $F$9) + CHOOSE(CONTROL!$C$27, 0.0021, 0)</f>
        <v>37.731999999999999</v>
      </c>
      <c r="E201" s="17">
        <f>37.5932 * CHOOSE(CONTROL!$C$9, $D$9, 100%, $F$9) + CHOOSE(CONTROL!$C$27, 0.0021, 0)</f>
        <v>37.595300000000002</v>
      </c>
      <c r="F201" s="17">
        <f>37.5932 * CHOOSE(CONTROL!$C$9, $D$9, 100%, $F$9) + CHOOSE(CONTROL!$C$27, 0.0021, 0)</f>
        <v>37.595300000000002</v>
      </c>
      <c r="G201" s="17">
        <f>37.8646 * CHOOSE(CONTROL!$C$9, $D$9, 100%, $F$9) + CHOOSE(CONTROL!$C$27, 0.0021, 0)</f>
        <v>37.866700000000002</v>
      </c>
      <c r="H201" s="17">
        <f>37.7299 * CHOOSE(CONTROL!$C$9, $D$9, 100%, $F$9) + CHOOSE(CONTROL!$C$27, 0.0021, 0)</f>
        <v>37.731999999999999</v>
      </c>
      <c r="I201" s="17">
        <f>37.7299 * CHOOSE(CONTROL!$C$9, $D$9, 100%, $F$9) + CHOOSE(CONTROL!$C$27, 0.0021, 0)</f>
        <v>37.731999999999999</v>
      </c>
      <c r="J201" s="17">
        <f>37.7299 * CHOOSE(CONTROL!$C$9, $D$9, 100%, $F$9) + CHOOSE(CONTROL!$C$27, 0.0021, 0)</f>
        <v>37.731999999999999</v>
      </c>
      <c r="K201" s="17">
        <f>37.7299 * CHOOSE(CONTROL!$C$9, $D$9, 100%, $F$9) + CHOOSE(CONTROL!$C$27, 0.0021, 0)</f>
        <v>37.731999999999999</v>
      </c>
      <c r="L201" s="17"/>
    </row>
    <row r="202" spans="1:12" ht="15" x14ac:dyDescent="0.2">
      <c r="A202" s="16">
        <v>47058</v>
      </c>
      <c r="B202" s="17">
        <f>38.3191 * CHOOSE(CONTROL!$C$9, $D$9, 100%, $F$9) + CHOOSE(CONTROL!$C$27, 0.0021, 0)</f>
        <v>38.321199999999997</v>
      </c>
      <c r="C202" s="17">
        <f>37.8868 * CHOOSE(CONTROL!$C$9, $D$9, 100%, $F$9) + CHOOSE(CONTROL!$C$27, 0.0021, 0)</f>
        <v>37.8889</v>
      </c>
      <c r="D202" s="17">
        <f>37.8868 * CHOOSE(CONTROL!$C$9, $D$9, 100%, $F$9) + CHOOSE(CONTROL!$C$27, 0.0021, 0)</f>
        <v>37.8889</v>
      </c>
      <c r="E202" s="17">
        <f>37.7501 * CHOOSE(CONTROL!$C$9, $D$9, 100%, $F$9) + CHOOSE(CONTROL!$C$27, 0.0021, 0)</f>
        <v>37.752200000000002</v>
      </c>
      <c r="F202" s="17">
        <f>37.7501 * CHOOSE(CONTROL!$C$9, $D$9, 100%, $F$9) + CHOOSE(CONTROL!$C$27, 0.0021, 0)</f>
        <v>37.752200000000002</v>
      </c>
      <c r="G202" s="17">
        <f>38.0215 * CHOOSE(CONTROL!$C$9, $D$9, 100%, $F$9) + CHOOSE(CONTROL!$C$27, 0.0021, 0)</f>
        <v>38.023600000000002</v>
      </c>
      <c r="H202" s="17">
        <f>37.8868 * CHOOSE(CONTROL!$C$9, $D$9, 100%, $F$9) + CHOOSE(CONTROL!$C$27, 0.0021, 0)</f>
        <v>37.8889</v>
      </c>
      <c r="I202" s="17">
        <f>37.8868 * CHOOSE(CONTROL!$C$9, $D$9, 100%, $F$9) + CHOOSE(CONTROL!$C$27, 0.0021, 0)</f>
        <v>37.8889</v>
      </c>
      <c r="J202" s="17">
        <f>37.8868 * CHOOSE(CONTROL!$C$9, $D$9, 100%, $F$9) + CHOOSE(CONTROL!$C$27, 0.0021, 0)</f>
        <v>37.8889</v>
      </c>
      <c r="K202" s="17">
        <f>37.8868 * CHOOSE(CONTROL!$C$9, $D$9, 100%, $F$9) + CHOOSE(CONTROL!$C$27, 0.0021, 0)</f>
        <v>37.8889</v>
      </c>
      <c r="L202" s="17"/>
    </row>
    <row r="203" spans="1:12" ht="15" x14ac:dyDescent="0.2">
      <c r="A203" s="16">
        <v>47088</v>
      </c>
      <c r="B203" s="17">
        <f>37.6854 * CHOOSE(CONTROL!$C$9, $D$9, 100%, $F$9) + CHOOSE(CONTROL!$C$27, 0.0021, 0)</f>
        <v>37.6875</v>
      </c>
      <c r="C203" s="17">
        <f>37.2532 * CHOOSE(CONTROL!$C$9, $D$9, 100%, $F$9) + CHOOSE(CONTROL!$C$27, 0.0021, 0)</f>
        <v>37.255299999999998</v>
      </c>
      <c r="D203" s="17">
        <f>37.2532 * CHOOSE(CONTROL!$C$9, $D$9, 100%, $F$9) + CHOOSE(CONTROL!$C$27, 0.0021, 0)</f>
        <v>37.255299999999998</v>
      </c>
      <c r="E203" s="17">
        <f>37.1165 * CHOOSE(CONTROL!$C$9, $D$9, 100%, $F$9) + CHOOSE(CONTROL!$C$27, 0.0021, 0)</f>
        <v>37.118600000000001</v>
      </c>
      <c r="F203" s="17">
        <f>37.1165 * CHOOSE(CONTROL!$C$9, $D$9, 100%, $F$9) + CHOOSE(CONTROL!$C$27, 0.0021, 0)</f>
        <v>37.118600000000001</v>
      </c>
      <c r="G203" s="17">
        <f>37.3879 * CHOOSE(CONTROL!$C$9, $D$9, 100%, $F$9) + CHOOSE(CONTROL!$C$27, 0.0021, 0)</f>
        <v>37.39</v>
      </c>
      <c r="H203" s="17">
        <f>37.2532 * CHOOSE(CONTROL!$C$9, $D$9, 100%, $F$9) + CHOOSE(CONTROL!$C$27, 0.0021, 0)</f>
        <v>37.255299999999998</v>
      </c>
      <c r="I203" s="17">
        <f>37.2532 * CHOOSE(CONTROL!$C$9, $D$9, 100%, $F$9) + CHOOSE(CONTROL!$C$27, 0.0021, 0)</f>
        <v>37.255299999999998</v>
      </c>
      <c r="J203" s="17">
        <f>37.2532 * CHOOSE(CONTROL!$C$9, $D$9, 100%, $F$9) + CHOOSE(CONTROL!$C$27, 0.0021, 0)</f>
        <v>37.255299999999998</v>
      </c>
      <c r="K203" s="17">
        <f>37.2532 * CHOOSE(CONTROL!$C$9, $D$9, 100%, $F$9) + CHOOSE(CONTROL!$C$27, 0.0021, 0)</f>
        <v>37.255299999999998</v>
      </c>
      <c r="L203" s="17"/>
    </row>
    <row r="204" spans="1:12" ht="15" x14ac:dyDescent="0.2">
      <c r="A204" s="16">
        <v>47119</v>
      </c>
      <c r="B204" s="17">
        <f>36.6297 * CHOOSE(CONTROL!$C$9, $D$9, 100%, $F$9) + CHOOSE(CONTROL!$C$27, 0.0021, 0)</f>
        <v>36.631799999999998</v>
      </c>
      <c r="C204" s="17">
        <f>36.1975 * CHOOSE(CONTROL!$C$9, $D$9, 100%, $F$9) + CHOOSE(CONTROL!$C$27, 0.0021, 0)</f>
        <v>36.199599999999997</v>
      </c>
      <c r="D204" s="17">
        <f>36.1975 * CHOOSE(CONTROL!$C$9, $D$9, 100%, $F$9) + CHOOSE(CONTROL!$C$27, 0.0021, 0)</f>
        <v>36.199599999999997</v>
      </c>
      <c r="E204" s="17">
        <f>36.0608 * CHOOSE(CONTROL!$C$9, $D$9, 100%, $F$9) + CHOOSE(CONTROL!$C$27, 0.0021, 0)</f>
        <v>36.062899999999999</v>
      </c>
      <c r="F204" s="17">
        <f>36.0608 * CHOOSE(CONTROL!$C$9, $D$9, 100%, $F$9) + CHOOSE(CONTROL!$C$27, 0.0021, 0)</f>
        <v>36.062899999999999</v>
      </c>
      <c r="G204" s="17">
        <f>36.3322 * CHOOSE(CONTROL!$C$9, $D$9, 100%, $F$9) + CHOOSE(CONTROL!$C$27, 0.0021, 0)</f>
        <v>36.334299999999999</v>
      </c>
      <c r="H204" s="17">
        <f>36.1975 * CHOOSE(CONTROL!$C$9, $D$9, 100%, $F$9) + CHOOSE(CONTROL!$C$27, 0.0021, 0)</f>
        <v>36.199599999999997</v>
      </c>
      <c r="I204" s="17">
        <f>36.1975 * CHOOSE(CONTROL!$C$9, $D$9, 100%, $F$9) + CHOOSE(CONTROL!$C$27, 0.0021, 0)</f>
        <v>36.199599999999997</v>
      </c>
      <c r="J204" s="17">
        <f>36.1975 * CHOOSE(CONTROL!$C$9, $D$9, 100%, $F$9) + CHOOSE(CONTROL!$C$27, 0.0021, 0)</f>
        <v>36.199599999999997</v>
      </c>
      <c r="K204" s="17">
        <f>36.1975 * CHOOSE(CONTROL!$C$9, $D$9, 100%, $F$9) + CHOOSE(CONTROL!$C$27, 0.0021, 0)</f>
        <v>36.199599999999997</v>
      </c>
      <c r="L204" s="17"/>
    </row>
    <row r="205" spans="1:12" ht="15" x14ac:dyDescent="0.2">
      <c r="A205" s="16">
        <v>47150</v>
      </c>
      <c r="B205" s="17">
        <f>35.7272 * CHOOSE(CONTROL!$C$9, $D$9, 100%, $F$9) + CHOOSE(CONTROL!$C$27, 0.0021, 0)</f>
        <v>35.729300000000002</v>
      </c>
      <c r="C205" s="17">
        <f>35.295 * CHOOSE(CONTROL!$C$9, $D$9, 100%, $F$9) + CHOOSE(CONTROL!$C$27, 0.0021, 0)</f>
        <v>35.2971</v>
      </c>
      <c r="D205" s="17">
        <f>35.295 * CHOOSE(CONTROL!$C$9, $D$9, 100%, $F$9) + CHOOSE(CONTROL!$C$27, 0.0021, 0)</f>
        <v>35.2971</v>
      </c>
      <c r="E205" s="17">
        <f>35.1583 * CHOOSE(CONTROL!$C$9, $D$9, 100%, $F$9) + CHOOSE(CONTROL!$C$27, 0.0021, 0)</f>
        <v>35.160399999999996</v>
      </c>
      <c r="F205" s="17">
        <f>35.1583 * CHOOSE(CONTROL!$C$9, $D$9, 100%, $F$9) + CHOOSE(CONTROL!$C$27, 0.0021, 0)</f>
        <v>35.160399999999996</v>
      </c>
      <c r="G205" s="17">
        <f>35.4297 * CHOOSE(CONTROL!$C$9, $D$9, 100%, $F$9) + CHOOSE(CONTROL!$C$27, 0.0021, 0)</f>
        <v>35.431799999999996</v>
      </c>
      <c r="H205" s="17">
        <f>35.295 * CHOOSE(CONTROL!$C$9, $D$9, 100%, $F$9) + CHOOSE(CONTROL!$C$27, 0.0021, 0)</f>
        <v>35.2971</v>
      </c>
      <c r="I205" s="17">
        <f>35.295 * CHOOSE(CONTROL!$C$9, $D$9, 100%, $F$9) + CHOOSE(CONTROL!$C$27, 0.0021, 0)</f>
        <v>35.2971</v>
      </c>
      <c r="J205" s="17">
        <f>35.295 * CHOOSE(CONTROL!$C$9, $D$9, 100%, $F$9) + CHOOSE(CONTROL!$C$27, 0.0021, 0)</f>
        <v>35.2971</v>
      </c>
      <c r="K205" s="17">
        <f>35.295 * CHOOSE(CONTROL!$C$9, $D$9, 100%, $F$9) + CHOOSE(CONTROL!$C$27, 0.0021, 0)</f>
        <v>35.2971</v>
      </c>
      <c r="L205" s="17"/>
    </row>
    <row r="206" spans="1:12" ht="15" x14ac:dyDescent="0.2">
      <c r="A206" s="16">
        <v>47178</v>
      </c>
      <c r="B206" s="17">
        <f>35.3935 * CHOOSE(CONTROL!$C$9, $D$9, 100%, $F$9) + CHOOSE(CONTROL!$C$27, 0.0021, 0)</f>
        <v>35.395600000000002</v>
      </c>
      <c r="C206" s="17">
        <f>34.9613 * CHOOSE(CONTROL!$C$9, $D$9, 100%, $F$9) + CHOOSE(CONTROL!$C$27, 0.0021, 0)</f>
        <v>34.9634</v>
      </c>
      <c r="D206" s="17">
        <f>34.9613 * CHOOSE(CONTROL!$C$9, $D$9, 100%, $F$9) + CHOOSE(CONTROL!$C$27, 0.0021, 0)</f>
        <v>34.9634</v>
      </c>
      <c r="E206" s="17">
        <f>34.8246 * CHOOSE(CONTROL!$C$9, $D$9, 100%, $F$9) + CHOOSE(CONTROL!$C$27, 0.0021, 0)</f>
        <v>34.826699999999995</v>
      </c>
      <c r="F206" s="17">
        <f>34.8246 * CHOOSE(CONTROL!$C$9, $D$9, 100%, $F$9) + CHOOSE(CONTROL!$C$27, 0.0021, 0)</f>
        <v>34.826699999999995</v>
      </c>
      <c r="G206" s="17">
        <f>35.096 * CHOOSE(CONTROL!$C$9, $D$9, 100%, $F$9) + CHOOSE(CONTROL!$C$27, 0.0021, 0)</f>
        <v>35.098099999999995</v>
      </c>
      <c r="H206" s="17">
        <f>34.9613 * CHOOSE(CONTROL!$C$9, $D$9, 100%, $F$9) + CHOOSE(CONTROL!$C$27, 0.0021, 0)</f>
        <v>34.9634</v>
      </c>
      <c r="I206" s="17">
        <f>34.9613 * CHOOSE(CONTROL!$C$9, $D$9, 100%, $F$9) + CHOOSE(CONTROL!$C$27, 0.0021, 0)</f>
        <v>34.9634</v>
      </c>
      <c r="J206" s="17">
        <f>34.9613 * CHOOSE(CONTROL!$C$9, $D$9, 100%, $F$9) + CHOOSE(CONTROL!$C$27, 0.0021, 0)</f>
        <v>34.9634</v>
      </c>
      <c r="K206" s="17">
        <f>34.9613 * CHOOSE(CONTROL!$C$9, $D$9, 100%, $F$9) + CHOOSE(CONTROL!$C$27, 0.0021, 0)</f>
        <v>34.9634</v>
      </c>
      <c r="L206" s="17"/>
    </row>
    <row r="207" spans="1:12" ht="15" x14ac:dyDescent="0.2">
      <c r="A207" s="16">
        <v>47209</v>
      </c>
      <c r="B207" s="17">
        <f>34.98 * CHOOSE(CONTROL!$C$9, $D$9, 100%, $F$9) + CHOOSE(CONTROL!$C$27, 0.0021, 0)</f>
        <v>34.982099999999996</v>
      </c>
      <c r="C207" s="17">
        <f>34.5478 * CHOOSE(CONTROL!$C$9, $D$9, 100%, $F$9) + CHOOSE(CONTROL!$C$27, 0.0021, 0)</f>
        <v>34.549900000000001</v>
      </c>
      <c r="D207" s="17">
        <f>34.5478 * CHOOSE(CONTROL!$C$9, $D$9, 100%, $F$9) + CHOOSE(CONTROL!$C$27, 0.0021, 0)</f>
        <v>34.549900000000001</v>
      </c>
      <c r="E207" s="17">
        <f>34.4111 * CHOOSE(CONTROL!$C$9, $D$9, 100%, $F$9) + CHOOSE(CONTROL!$C$27, 0.0021, 0)</f>
        <v>34.413199999999996</v>
      </c>
      <c r="F207" s="17">
        <f>34.4111 * CHOOSE(CONTROL!$C$9, $D$9, 100%, $F$9) + CHOOSE(CONTROL!$C$27, 0.0021, 0)</f>
        <v>34.413199999999996</v>
      </c>
      <c r="G207" s="17">
        <f>34.6825 * CHOOSE(CONTROL!$C$9, $D$9, 100%, $F$9) + CHOOSE(CONTROL!$C$27, 0.0021, 0)</f>
        <v>34.684599999999996</v>
      </c>
      <c r="H207" s="17">
        <f>34.5478 * CHOOSE(CONTROL!$C$9, $D$9, 100%, $F$9) + CHOOSE(CONTROL!$C$27, 0.0021, 0)</f>
        <v>34.549900000000001</v>
      </c>
      <c r="I207" s="17">
        <f>34.5478 * CHOOSE(CONTROL!$C$9, $D$9, 100%, $F$9) + CHOOSE(CONTROL!$C$27, 0.0021, 0)</f>
        <v>34.549900000000001</v>
      </c>
      <c r="J207" s="17">
        <f>34.5478 * CHOOSE(CONTROL!$C$9, $D$9, 100%, $F$9) + CHOOSE(CONTROL!$C$27, 0.0021, 0)</f>
        <v>34.549900000000001</v>
      </c>
      <c r="K207" s="17">
        <f>34.5478 * CHOOSE(CONTROL!$C$9, $D$9, 100%, $F$9) + CHOOSE(CONTROL!$C$27, 0.0021, 0)</f>
        <v>34.549900000000001</v>
      </c>
      <c r="L207" s="17"/>
    </row>
    <row r="208" spans="1:12" ht="15" x14ac:dyDescent="0.2">
      <c r="A208" s="16">
        <v>47239</v>
      </c>
      <c r="B208" s="17">
        <f>35.7352 * CHOOSE(CONTROL!$C$9, $D$9, 100%, $F$9) + CHOOSE(CONTROL!$C$27, 0.0021, 0)</f>
        <v>35.737299999999998</v>
      </c>
      <c r="C208" s="17">
        <f>35.303 * CHOOSE(CONTROL!$C$9, $D$9, 100%, $F$9) + CHOOSE(CONTROL!$C$27, 0.0021, 0)</f>
        <v>35.305099999999996</v>
      </c>
      <c r="D208" s="17">
        <f>35.303 * CHOOSE(CONTROL!$C$9, $D$9, 100%, $F$9) + CHOOSE(CONTROL!$C$27, 0.0021, 0)</f>
        <v>35.305099999999996</v>
      </c>
      <c r="E208" s="17">
        <f>35.1663 * CHOOSE(CONTROL!$C$9, $D$9, 100%, $F$9) + CHOOSE(CONTROL!$C$27, 0.0021, 0)</f>
        <v>35.168399999999998</v>
      </c>
      <c r="F208" s="17">
        <f>35.1663 * CHOOSE(CONTROL!$C$9, $D$9, 100%, $F$9) + CHOOSE(CONTROL!$C$27, 0.0021, 0)</f>
        <v>35.168399999999998</v>
      </c>
      <c r="G208" s="17">
        <f>35.4377 * CHOOSE(CONTROL!$C$9, $D$9, 100%, $F$9) + CHOOSE(CONTROL!$C$27, 0.0021, 0)</f>
        <v>35.439799999999998</v>
      </c>
      <c r="H208" s="17">
        <f>35.303 * CHOOSE(CONTROL!$C$9, $D$9, 100%, $F$9) + CHOOSE(CONTROL!$C$27, 0.0021, 0)</f>
        <v>35.305099999999996</v>
      </c>
      <c r="I208" s="17">
        <f>35.303 * CHOOSE(CONTROL!$C$9, $D$9, 100%, $F$9) + CHOOSE(CONTROL!$C$27, 0.0021, 0)</f>
        <v>35.305099999999996</v>
      </c>
      <c r="J208" s="17">
        <f>35.303 * CHOOSE(CONTROL!$C$9, $D$9, 100%, $F$9) + CHOOSE(CONTROL!$C$27, 0.0021, 0)</f>
        <v>35.305099999999996</v>
      </c>
      <c r="K208" s="17">
        <f>35.303 * CHOOSE(CONTROL!$C$9, $D$9, 100%, $F$9) + CHOOSE(CONTROL!$C$27, 0.0021, 0)</f>
        <v>35.305099999999996</v>
      </c>
      <c r="L208" s="17"/>
    </row>
    <row r="209" spans="1:12" ht="15" x14ac:dyDescent="0.2">
      <c r="A209" s="16">
        <v>47270</v>
      </c>
      <c r="B209" s="17">
        <f>36.2169 * CHOOSE(CONTROL!$C$9, $D$9, 100%, $F$9) + CHOOSE(CONTROL!$C$27, 0.0021, 0)</f>
        <v>36.219000000000001</v>
      </c>
      <c r="C209" s="17">
        <f>35.7847 * CHOOSE(CONTROL!$C$9, $D$9, 100%, $F$9) + CHOOSE(CONTROL!$C$27, 0.0021, 0)</f>
        <v>35.786799999999999</v>
      </c>
      <c r="D209" s="17">
        <f>35.7847 * CHOOSE(CONTROL!$C$9, $D$9, 100%, $F$9) + CHOOSE(CONTROL!$C$27, 0.0021, 0)</f>
        <v>35.786799999999999</v>
      </c>
      <c r="E209" s="17">
        <f>35.648 * CHOOSE(CONTROL!$C$9, $D$9, 100%, $F$9) + CHOOSE(CONTROL!$C$27, 0.0021, 0)</f>
        <v>35.650100000000002</v>
      </c>
      <c r="F209" s="17">
        <f>35.648 * CHOOSE(CONTROL!$C$9, $D$9, 100%, $F$9) + CHOOSE(CONTROL!$C$27, 0.0021, 0)</f>
        <v>35.650100000000002</v>
      </c>
      <c r="G209" s="17">
        <f>35.9194 * CHOOSE(CONTROL!$C$9, $D$9, 100%, $F$9) + CHOOSE(CONTROL!$C$27, 0.0021, 0)</f>
        <v>35.921500000000002</v>
      </c>
      <c r="H209" s="17">
        <f>35.7847 * CHOOSE(CONTROL!$C$9, $D$9, 100%, $F$9) + CHOOSE(CONTROL!$C$27, 0.0021, 0)</f>
        <v>35.786799999999999</v>
      </c>
      <c r="I209" s="17">
        <f>35.7847 * CHOOSE(CONTROL!$C$9, $D$9, 100%, $F$9) + CHOOSE(CONTROL!$C$27, 0.0021, 0)</f>
        <v>35.786799999999999</v>
      </c>
      <c r="J209" s="17">
        <f>35.7847 * CHOOSE(CONTROL!$C$9, $D$9, 100%, $F$9) + CHOOSE(CONTROL!$C$27, 0.0021, 0)</f>
        <v>35.786799999999999</v>
      </c>
      <c r="K209" s="17">
        <f>35.7847 * CHOOSE(CONTROL!$C$9, $D$9, 100%, $F$9) + CHOOSE(CONTROL!$C$27, 0.0021, 0)</f>
        <v>35.786799999999999</v>
      </c>
      <c r="L209" s="17"/>
    </row>
    <row r="210" spans="1:12" ht="15" x14ac:dyDescent="0.2">
      <c r="A210" s="16">
        <v>47300</v>
      </c>
      <c r="B210" s="17">
        <f>36.9693 * CHOOSE(CONTROL!$C$9, $D$9, 100%, $F$9) + CHOOSE(CONTROL!$C$27, 0.0021, 0)</f>
        <v>36.971399999999996</v>
      </c>
      <c r="C210" s="17">
        <f>36.537 * CHOOSE(CONTROL!$C$9, $D$9, 100%, $F$9) + CHOOSE(CONTROL!$C$27, 0.0021, 0)</f>
        <v>36.539099999999998</v>
      </c>
      <c r="D210" s="17">
        <f>36.537 * CHOOSE(CONTROL!$C$9, $D$9, 100%, $F$9) + CHOOSE(CONTROL!$C$27, 0.0021, 0)</f>
        <v>36.539099999999998</v>
      </c>
      <c r="E210" s="17">
        <f>36.4004 * CHOOSE(CONTROL!$C$9, $D$9, 100%, $F$9) + CHOOSE(CONTROL!$C$27, 0.0021, 0)</f>
        <v>36.402499999999996</v>
      </c>
      <c r="F210" s="17">
        <f>36.4004 * CHOOSE(CONTROL!$C$9, $D$9, 100%, $F$9) + CHOOSE(CONTROL!$C$27, 0.0021, 0)</f>
        <v>36.402499999999996</v>
      </c>
      <c r="G210" s="17">
        <f>36.6718 * CHOOSE(CONTROL!$C$9, $D$9, 100%, $F$9) + CHOOSE(CONTROL!$C$27, 0.0021, 0)</f>
        <v>36.673899999999996</v>
      </c>
      <c r="H210" s="17">
        <f>36.537 * CHOOSE(CONTROL!$C$9, $D$9, 100%, $F$9) + CHOOSE(CONTROL!$C$27, 0.0021, 0)</f>
        <v>36.539099999999998</v>
      </c>
      <c r="I210" s="17">
        <f>36.537 * CHOOSE(CONTROL!$C$9, $D$9, 100%, $F$9) + CHOOSE(CONTROL!$C$27, 0.0021, 0)</f>
        <v>36.539099999999998</v>
      </c>
      <c r="J210" s="17">
        <f>36.537 * CHOOSE(CONTROL!$C$9, $D$9, 100%, $F$9) + CHOOSE(CONTROL!$C$27, 0.0021, 0)</f>
        <v>36.539099999999998</v>
      </c>
      <c r="K210" s="17">
        <f>36.537 * CHOOSE(CONTROL!$C$9, $D$9, 100%, $F$9) + CHOOSE(CONTROL!$C$27, 0.0021, 0)</f>
        <v>36.539099999999998</v>
      </c>
      <c r="L210" s="17"/>
    </row>
    <row r="211" spans="1:12" ht="15" x14ac:dyDescent="0.2">
      <c r="A211" s="16">
        <v>47331</v>
      </c>
      <c r="B211" s="17">
        <f>37.2495 * CHOOSE(CONTROL!$C$9, $D$9, 100%, $F$9) + CHOOSE(CONTROL!$C$27, 0.0021, 0)</f>
        <v>37.251599999999996</v>
      </c>
      <c r="C211" s="17">
        <f>36.8172 * CHOOSE(CONTROL!$C$9, $D$9, 100%, $F$9) + CHOOSE(CONTROL!$C$27, 0.0021, 0)</f>
        <v>36.819299999999998</v>
      </c>
      <c r="D211" s="17">
        <f>36.8172 * CHOOSE(CONTROL!$C$9, $D$9, 100%, $F$9) + CHOOSE(CONTROL!$C$27, 0.0021, 0)</f>
        <v>36.819299999999998</v>
      </c>
      <c r="E211" s="17">
        <f>36.6805 * CHOOSE(CONTROL!$C$9, $D$9, 100%, $F$9) + CHOOSE(CONTROL!$C$27, 0.0021, 0)</f>
        <v>36.682600000000001</v>
      </c>
      <c r="F211" s="17">
        <f>36.6805 * CHOOSE(CONTROL!$C$9, $D$9, 100%, $F$9) + CHOOSE(CONTROL!$C$27, 0.0021, 0)</f>
        <v>36.682600000000001</v>
      </c>
      <c r="G211" s="17">
        <f>36.9519 * CHOOSE(CONTROL!$C$9, $D$9, 100%, $F$9) + CHOOSE(CONTROL!$C$27, 0.0021, 0)</f>
        <v>36.954000000000001</v>
      </c>
      <c r="H211" s="17">
        <f>36.8172 * CHOOSE(CONTROL!$C$9, $D$9, 100%, $F$9) + CHOOSE(CONTROL!$C$27, 0.0021, 0)</f>
        <v>36.819299999999998</v>
      </c>
      <c r="I211" s="17">
        <f>36.8172 * CHOOSE(CONTROL!$C$9, $D$9, 100%, $F$9) + CHOOSE(CONTROL!$C$27, 0.0021, 0)</f>
        <v>36.819299999999998</v>
      </c>
      <c r="J211" s="17">
        <f>36.8172 * CHOOSE(CONTROL!$C$9, $D$9, 100%, $F$9) + CHOOSE(CONTROL!$C$27, 0.0021, 0)</f>
        <v>36.819299999999998</v>
      </c>
      <c r="K211" s="17">
        <f>36.8172 * CHOOSE(CONTROL!$C$9, $D$9, 100%, $F$9) + CHOOSE(CONTROL!$C$27, 0.0021, 0)</f>
        <v>36.819299999999998</v>
      </c>
      <c r="L211" s="17"/>
    </row>
    <row r="212" spans="1:12" ht="15" x14ac:dyDescent="0.2">
      <c r="A212" s="16">
        <v>47362</v>
      </c>
      <c r="B212" s="17">
        <f>38.0338 * CHOOSE(CONTROL!$C$9, $D$9, 100%, $F$9) + CHOOSE(CONTROL!$C$27, 0.0021, 0)</f>
        <v>38.035899999999998</v>
      </c>
      <c r="C212" s="17">
        <f>37.6015 * CHOOSE(CONTROL!$C$9, $D$9, 100%, $F$9) + CHOOSE(CONTROL!$C$27, 0.0021, 0)</f>
        <v>37.6036</v>
      </c>
      <c r="D212" s="17">
        <f>37.6015 * CHOOSE(CONTROL!$C$9, $D$9, 100%, $F$9) + CHOOSE(CONTROL!$C$27, 0.0021, 0)</f>
        <v>37.6036</v>
      </c>
      <c r="E212" s="17">
        <f>37.4649 * CHOOSE(CONTROL!$C$9, $D$9, 100%, $F$9) + CHOOSE(CONTROL!$C$27, 0.0021, 0)</f>
        <v>37.466999999999999</v>
      </c>
      <c r="F212" s="17">
        <f>37.4649 * CHOOSE(CONTROL!$C$9, $D$9, 100%, $F$9) + CHOOSE(CONTROL!$C$27, 0.0021, 0)</f>
        <v>37.466999999999999</v>
      </c>
      <c r="G212" s="17">
        <f>37.7362 * CHOOSE(CONTROL!$C$9, $D$9, 100%, $F$9) + CHOOSE(CONTROL!$C$27, 0.0021, 0)</f>
        <v>37.738299999999995</v>
      </c>
      <c r="H212" s="17">
        <f>37.6015 * CHOOSE(CONTROL!$C$9, $D$9, 100%, $F$9) + CHOOSE(CONTROL!$C$27, 0.0021, 0)</f>
        <v>37.6036</v>
      </c>
      <c r="I212" s="17">
        <f>37.6015 * CHOOSE(CONTROL!$C$9, $D$9, 100%, $F$9) + CHOOSE(CONTROL!$C$27, 0.0021, 0)</f>
        <v>37.6036</v>
      </c>
      <c r="J212" s="17">
        <f>37.6015 * CHOOSE(CONTROL!$C$9, $D$9, 100%, $F$9) + CHOOSE(CONTROL!$C$27, 0.0021, 0)</f>
        <v>37.6036</v>
      </c>
      <c r="K212" s="17">
        <f>37.6015 * CHOOSE(CONTROL!$C$9, $D$9, 100%, $F$9) + CHOOSE(CONTROL!$C$27, 0.0021, 0)</f>
        <v>37.6036</v>
      </c>
      <c r="L212" s="17"/>
    </row>
    <row r="213" spans="1:12" ht="15" x14ac:dyDescent="0.2">
      <c r="A213" s="16">
        <v>47392</v>
      </c>
      <c r="B213" s="17">
        <f>39.0109 * CHOOSE(CONTROL!$C$9, $D$9, 100%, $F$9) + CHOOSE(CONTROL!$C$27, 0.0021, 0)</f>
        <v>39.012999999999998</v>
      </c>
      <c r="C213" s="17">
        <f>38.5787 * CHOOSE(CONTROL!$C$9, $D$9, 100%, $F$9) + CHOOSE(CONTROL!$C$27, 0.0021, 0)</f>
        <v>38.580799999999996</v>
      </c>
      <c r="D213" s="17">
        <f>38.5787 * CHOOSE(CONTROL!$C$9, $D$9, 100%, $F$9) + CHOOSE(CONTROL!$C$27, 0.0021, 0)</f>
        <v>38.580799999999996</v>
      </c>
      <c r="E213" s="17">
        <f>38.442 * CHOOSE(CONTROL!$C$9, $D$9, 100%, $F$9) + CHOOSE(CONTROL!$C$27, 0.0021, 0)</f>
        <v>38.444099999999999</v>
      </c>
      <c r="F213" s="17">
        <f>38.442 * CHOOSE(CONTROL!$C$9, $D$9, 100%, $F$9) + CHOOSE(CONTROL!$C$27, 0.0021, 0)</f>
        <v>38.444099999999999</v>
      </c>
      <c r="G213" s="17">
        <f>38.7134 * CHOOSE(CONTROL!$C$9, $D$9, 100%, $F$9) + CHOOSE(CONTROL!$C$27, 0.0021, 0)</f>
        <v>38.715499999999999</v>
      </c>
      <c r="H213" s="17">
        <f>38.5787 * CHOOSE(CONTROL!$C$9, $D$9, 100%, $F$9) + CHOOSE(CONTROL!$C$27, 0.0021, 0)</f>
        <v>38.580799999999996</v>
      </c>
      <c r="I213" s="17">
        <f>38.5787 * CHOOSE(CONTROL!$C$9, $D$9, 100%, $F$9) + CHOOSE(CONTROL!$C$27, 0.0021, 0)</f>
        <v>38.580799999999996</v>
      </c>
      <c r="J213" s="17">
        <f>38.5787 * CHOOSE(CONTROL!$C$9, $D$9, 100%, $F$9) + CHOOSE(CONTROL!$C$27, 0.0021, 0)</f>
        <v>38.580799999999996</v>
      </c>
      <c r="K213" s="17">
        <f>38.5787 * CHOOSE(CONTROL!$C$9, $D$9, 100%, $F$9) + CHOOSE(CONTROL!$C$27, 0.0021, 0)</f>
        <v>38.580799999999996</v>
      </c>
      <c r="L213" s="17"/>
    </row>
    <row r="214" spans="1:12" ht="15" x14ac:dyDescent="0.2">
      <c r="A214" s="16">
        <v>47423</v>
      </c>
      <c r="B214" s="17">
        <f>39.1716 * CHOOSE(CONTROL!$C$9, $D$9, 100%, $F$9) + CHOOSE(CONTROL!$C$27, 0.0021, 0)</f>
        <v>39.173699999999997</v>
      </c>
      <c r="C214" s="17">
        <f>38.7393 * CHOOSE(CONTROL!$C$9, $D$9, 100%, $F$9) + CHOOSE(CONTROL!$C$27, 0.0021, 0)</f>
        <v>38.741399999999999</v>
      </c>
      <c r="D214" s="17">
        <f>38.7393 * CHOOSE(CONTROL!$C$9, $D$9, 100%, $F$9) + CHOOSE(CONTROL!$C$27, 0.0021, 0)</f>
        <v>38.741399999999999</v>
      </c>
      <c r="E214" s="17">
        <f>38.6026 * CHOOSE(CONTROL!$C$9, $D$9, 100%, $F$9) + CHOOSE(CONTROL!$C$27, 0.0021, 0)</f>
        <v>38.604700000000001</v>
      </c>
      <c r="F214" s="17">
        <f>38.6026 * CHOOSE(CONTROL!$C$9, $D$9, 100%, $F$9) + CHOOSE(CONTROL!$C$27, 0.0021, 0)</f>
        <v>38.604700000000001</v>
      </c>
      <c r="G214" s="17">
        <f>38.874 * CHOOSE(CONTROL!$C$9, $D$9, 100%, $F$9) + CHOOSE(CONTROL!$C$27, 0.0021, 0)</f>
        <v>38.876100000000001</v>
      </c>
      <c r="H214" s="17">
        <f>38.7393 * CHOOSE(CONTROL!$C$9, $D$9, 100%, $F$9) + CHOOSE(CONTROL!$C$27, 0.0021, 0)</f>
        <v>38.741399999999999</v>
      </c>
      <c r="I214" s="17">
        <f>38.7393 * CHOOSE(CONTROL!$C$9, $D$9, 100%, $F$9) + CHOOSE(CONTROL!$C$27, 0.0021, 0)</f>
        <v>38.741399999999999</v>
      </c>
      <c r="J214" s="17">
        <f>38.7393 * CHOOSE(CONTROL!$C$9, $D$9, 100%, $F$9) + CHOOSE(CONTROL!$C$27, 0.0021, 0)</f>
        <v>38.741399999999999</v>
      </c>
      <c r="K214" s="17">
        <f>38.7393 * CHOOSE(CONTROL!$C$9, $D$9, 100%, $F$9) + CHOOSE(CONTROL!$C$27, 0.0021, 0)</f>
        <v>38.741399999999999</v>
      </c>
      <c r="L214" s="17"/>
    </row>
    <row r="215" spans="1:12" ht="15" x14ac:dyDescent="0.2">
      <c r="A215" s="16">
        <v>47453</v>
      </c>
      <c r="B215" s="17">
        <f>38.5229 * CHOOSE(CONTROL!$C$9, $D$9, 100%, $F$9) + CHOOSE(CONTROL!$C$27, 0.0021, 0)</f>
        <v>38.524999999999999</v>
      </c>
      <c r="C215" s="17">
        <f>38.0907 * CHOOSE(CONTROL!$C$9, $D$9, 100%, $F$9) + CHOOSE(CONTROL!$C$27, 0.0021, 0)</f>
        <v>38.092799999999997</v>
      </c>
      <c r="D215" s="17">
        <f>38.0907 * CHOOSE(CONTROL!$C$9, $D$9, 100%, $F$9) + CHOOSE(CONTROL!$C$27, 0.0021, 0)</f>
        <v>38.092799999999997</v>
      </c>
      <c r="E215" s="17">
        <f>37.954 * CHOOSE(CONTROL!$C$9, $D$9, 100%, $F$9) + CHOOSE(CONTROL!$C$27, 0.0021, 0)</f>
        <v>37.956099999999999</v>
      </c>
      <c r="F215" s="17">
        <f>37.954 * CHOOSE(CONTROL!$C$9, $D$9, 100%, $F$9) + CHOOSE(CONTROL!$C$27, 0.0021, 0)</f>
        <v>37.956099999999999</v>
      </c>
      <c r="G215" s="17">
        <f>38.2254 * CHOOSE(CONTROL!$C$9, $D$9, 100%, $F$9) + CHOOSE(CONTROL!$C$27, 0.0021, 0)</f>
        <v>38.227499999999999</v>
      </c>
      <c r="H215" s="17">
        <f>38.0907 * CHOOSE(CONTROL!$C$9, $D$9, 100%, $F$9) + CHOOSE(CONTROL!$C$27, 0.0021, 0)</f>
        <v>38.092799999999997</v>
      </c>
      <c r="I215" s="17">
        <f>38.0907 * CHOOSE(CONTROL!$C$9, $D$9, 100%, $F$9) + CHOOSE(CONTROL!$C$27, 0.0021, 0)</f>
        <v>38.092799999999997</v>
      </c>
      <c r="J215" s="17">
        <f>38.0907 * CHOOSE(CONTROL!$C$9, $D$9, 100%, $F$9) + CHOOSE(CONTROL!$C$27, 0.0021, 0)</f>
        <v>38.092799999999997</v>
      </c>
      <c r="K215" s="17">
        <f>38.0907 * CHOOSE(CONTROL!$C$9, $D$9, 100%, $F$9) + CHOOSE(CONTROL!$C$27, 0.0021, 0)</f>
        <v>38.092799999999997</v>
      </c>
      <c r="L215" s="17"/>
    </row>
    <row r="216" spans="1:12" ht="15" x14ac:dyDescent="0.2">
      <c r="A216" s="16">
        <v>47484</v>
      </c>
      <c r="B216" s="17">
        <f>37.4237 * CHOOSE(CONTROL!$C$9, $D$9, 100%, $F$9) + CHOOSE(CONTROL!$C$27, 0.0021, 0)</f>
        <v>37.425799999999995</v>
      </c>
      <c r="C216" s="17">
        <f>36.9914 * CHOOSE(CONTROL!$C$9, $D$9, 100%, $F$9) + CHOOSE(CONTROL!$C$27, 0.0021, 0)</f>
        <v>36.993499999999997</v>
      </c>
      <c r="D216" s="17">
        <f>36.9914 * CHOOSE(CONTROL!$C$9, $D$9, 100%, $F$9) + CHOOSE(CONTROL!$C$27, 0.0021, 0)</f>
        <v>36.993499999999997</v>
      </c>
      <c r="E216" s="17">
        <f>36.8548 * CHOOSE(CONTROL!$C$9, $D$9, 100%, $F$9) + CHOOSE(CONTROL!$C$27, 0.0021, 0)</f>
        <v>36.856899999999996</v>
      </c>
      <c r="F216" s="17">
        <f>36.8548 * CHOOSE(CONTROL!$C$9, $D$9, 100%, $F$9) + CHOOSE(CONTROL!$C$27, 0.0021, 0)</f>
        <v>36.856899999999996</v>
      </c>
      <c r="G216" s="17">
        <f>37.1261 * CHOOSE(CONTROL!$C$9, $D$9, 100%, $F$9) + CHOOSE(CONTROL!$C$27, 0.0021, 0)</f>
        <v>37.1282</v>
      </c>
      <c r="H216" s="17">
        <f>36.9914 * CHOOSE(CONTROL!$C$9, $D$9, 100%, $F$9) + CHOOSE(CONTROL!$C$27, 0.0021, 0)</f>
        <v>36.993499999999997</v>
      </c>
      <c r="I216" s="17">
        <f>36.9914 * CHOOSE(CONTROL!$C$9, $D$9, 100%, $F$9) + CHOOSE(CONTROL!$C$27, 0.0021, 0)</f>
        <v>36.993499999999997</v>
      </c>
      <c r="J216" s="17">
        <f>36.9914 * CHOOSE(CONTROL!$C$9, $D$9, 100%, $F$9) + CHOOSE(CONTROL!$C$27, 0.0021, 0)</f>
        <v>36.993499999999997</v>
      </c>
      <c r="K216" s="17">
        <f>36.9914 * CHOOSE(CONTROL!$C$9, $D$9, 100%, $F$9) + CHOOSE(CONTROL!$C$27, 0.0021, 0)</f>
        <v>36.993499999999997</v>
      </c>
      <c r="L216" s="17"/>
    </row>
    <row r="217" spans="1:12" ht="15" x14ac:dyDescent="0.2">
      <c r="A217" s="16">
        <v>47515</v>
      </c>
      <c r="B217" s="17">
        <f>36.5003 * CHOOSE(CONTROL!$C$9, $D$9, 100%, $F$9) + CHOOSE(CONTROL!$C$27, 0.0021, 0)</f>
        <v>36.502400000000002</v>
      </c>
      <c r="C217" s="17">
        <f>36.068 * CHOOSE(CONTROL!$C$9, $D$9, 100%, $F$9) + CHOOSE(CONTROL!$C$27, 0.0021, 0)</f>
        <v>36.070099999999996</v>
      </c>
      <c r="D217" s="17">
        <f>36.068 * CHOOSE(CONTROL!$C$9, $D$9, 100%, $F$9) + CHOOSE(CONTROL!$C$27, 0.0021, 0)</f>
        <v>36.070099999999996</v>
      </c>
      <c r="E217" s="17">
        <f>35.9314 * CHOOSE(CONTROL!$C$9, $D$9, 100%, $F$9) + CHOOSE(CONTROL!$C$27, 0.0021, 0)</f>
        <v>35.933499999999995</v>
      </c>
      <c r="F217" s="17">
        <f>35.9314 * CHOOSE(CONTROL!$C$9, $D$9, 100%, $F$9) + CHOOSE(CONTROL!$C$27, 0.0021, 0)</f>
        <v>35.933499999999995</v>
      </c>
      <c r="G217" s="17">
        <f>36.2028 * CHOOSE(CONTROL!$C$9, $D$9, 100%, $F$9) + CHOOSE(CONTROL!$C$27, 0.0021, 0)</f>
        <v>36.204900000000002</v>
      </c>
      <c r="H217" s="17">
        <f>36.068 * CHOOSE(CONTROL!$C$9, $D$9, 100%, $F$9) + CHOOSE(CONTROL!$C$27, 0.0021, 0)</f>
        <v>36.070099999999996</v>
      </c>
      <c r="I217" s="17">
        <f>36.068 * CHOOSE(CONTROL!$C$9, $D$9, 100%, $F$9) + CHOOSE(CONTROL!$C$27, 0.0021, 0)</f>
        <v>36.070099999999996</v>
      </c>
      <c r="J217" s="17">
        <f>36.068 * CHOOSE(CONTROL!$C$9, $D$9, 100%, $F$9) + CHOOSE(CONTROL!$C$27, 0.0021, 0)</f>
        <v>36.070099999999996</v>
      </c>
      <c r="K217" s="17">
        <f>36.068 * CHOOSE(CONTROL!$C$9, $D$9, 100%, $F$9) + CHOOSE(CONTROL!$C$27, 0.0021, 0)</f>
        <v>36.070099999999996</v>
      </c>
      <c r="L217" s="17"/>
    </row>
    <row r="218" spans="1:12" ht="15" x14ac:dyDescent="0.2">
      <c r="A218" s="16">
        <v>47543</v>
      </c>
      <c r="B218" s="17">
        <f>36.1589 * CHOOSE(CONTROL!$C$9, $D$9, 100%, $F$9) + CHOOSE(CONTROL!$C$27, 0.0021, 0)</f>
        <v>36.161000000000001</v>
      </c>
      <c r="C218" s="17">
        <f>35.7266 * CHOOSE(CONTROL!$C$9, $D$9, 100%, $F$9) + CHOOSE(CONTROL!$C$27, 0.0021, 0)</f>
        <v>35.728699999999996</v>
      </c>
      <c r="D218" s="17">
        <f>35.7266 * CHOOSE(CONTROL!$C$9, $D$9, 100%, $F$9) + CHOOSE(CONTROL!$C$27, 0.0021, 0)</f>
        <v>35.728699999999996</v>
      </c>
      <c r="E218" s="17">
        <f>35.59 * CHOOSE(CONTROL!$C$9, $D$9, 100%, $F$9) + CHOOSE(CONTROL!$C$27, 0.0021, 0)</f>
        <v>35.592100000000002</v>
      </c>
      <c r="F218" s="17">
        <f>35.59 * CHOOSE(CONTROL!$C$9, $D$9, 100%, $F$9) + CHOOSE(CONTROL!$C$27, 0.0021, 0)</f>
        <v>35.592100000000002</v>
      </c>
      <c r="G218" s="17">
        <f>35.8613 * CHOOSE(CONTROL!$C$9, $D$9, 100%, $F$9) + CHOOSE(CONTROL!$C$27, 0.0021, 0)</f>
        <v>35.863399999999999</v>
      </c>
      <c r="H218" s="17">
        <f>35.7266 * CHOOSE(CONTROL!$C$9, $D$9, 100%, $F$9) + CHOOSE(CONTROL!$C$27, 0.0021, 0)</f>
        <v>35.728699999999996</v>
      </c>
      <c r="I218" s="17">
        <f>35.7266 * CHOOSE(CONTROL!$C$9, $D$9, 100%, $F$9) + CHOOSE(CONTROL!$C$27, 0.0021, 0)</f>
        <v>35.728699999999996</v>
      </c>
      <c r="J218" s="17">
        <f>35.7266 * CHOOSE(CONTROL!$C$9, $D$9, 100%, $F$9) + CHOOSE(CONTROL!$C$27, 0.0021, 0)</f>
        <v>35.728699999999996</v>
      </c>
      <c r="K218" s="17">
        <f>35.7266 * CHOOSE(CONTROL!$C$9, $D$9, 100%, $F$9) + CHOOSE(CONTROL!$C$27, 0.0021, 0)</f>
        <v>35.728699999999996</v>
      </c>
      <c r="L218" s="17"/>
    </row>
    <row r="219" spans="1:12" ht="15" x14ac:dyDescent="0.2">
      <c r="A219" s="16">
        <v>47574</v>
      </c>
      <c r="B219" s="17">
        <f>35.7358 * CHOOSE(CONTROL!$C$9, $D$9, 100%, $F$9) + CHOOSE(CONTROL!$C$27, 0.0021, 0)</f>
        <v>35.737899999999996</v>
      </c>
      <c r="C219" s="17">
        <f>35.3036 * CHOOSE(CONTROL!$C$9, $D$9, 100%, $F$9) + CHOOSE(CONTROL!$C$27, 0.0021, 0)</f>
        <v>35.305700000000002</v>
      </c>
      <c r="D219" s="17">
        <f>35.3036 * CHOOSE(CONTROL!$C$9, $D$9, 100%, $F$9) + CHOOSE(CONTROL!$C$27, 0.0021, 0)</f>
        <v>35.305700000000002</v>
      </c>
      <c r="E219" s="17">
        <f>35.1669 * CHOOSE(CONTROL!$C$9, $D$9, 100%, $F$9) + CHOOSE(CONTROL!$C$27, 0.0021, 0)</f>
        <v>35.168999999999997</v>
      </c>
      <c r="F219" s="17">
        <f>35.1669 * CHOOSE(CONTROL!$C$9, $D$9, 100%, $F$9) + CHOOSE(CONTROL!$C$27, 0.0021, 0)</f>
        <v>35.168999999999997</v>
      </c>
      <c r="G219" s="17">
        <f>35.4383 * CHOOSE(CONTROL!$C$9, $D$9, 100%, $F$9) + CHOOSE(CONTROL!$C$27, 0.0021, 0)</f>
        <v>35.440399999999997</v>
      </c>
      <c r="H219" s="17">
        <f>35.3036 * CHOOSE(CONTROL!$C$9, $D$9, 100%, $F$9) + CHOOSE(CONTROL!$C$27, 0.0021, 0)</f>
        <v>35.305700000000002</v>
      </c>
      <c r="I219" s="17">
        <f>35.3036 * CHOOSE(CONTROL!$C$9, $D$9, 100%, $F$9) + CHOOSE(CONTROL!$C$27, 0.0021, 0)</f>
        <v>35.305700000000002</v>
      </c>
      <c r="J219" s="17">
        <f>35.3036 * CHOOSE(CONTROL!$C$9, $D$9, 100%, $F$9) + CHOOSE(CONTROL!$C$27, 0.0021, 0)</f>
        <v>35.305700000000002</v>
      </c>
      <c r="K219" s="17">
        <f>35.3036 * CHOOSE(CONTROL!$C$9, $D$9, 100%, $F$9) + CHOOSE(CONTROL!$C$27, 0.0021, 0)</f>
        <v>35.305700000000002</v>
      </c>
      <c r="L219" s="17"/>
    </row>
    <row r="220" spans="1:12" ht="15" x14ac:dyDescent="0.2">
      <c r="A220" s="16">
        <v>47604</v>
      </c>
      <c r="B220" s="17">
        <f>36.5085 * CHOOSE(CONTROL!$C$9, $D$9, 100%, $F$9) + CHOOSE(CONTROL!$C$27, 0.0021, 0)</f>
        <v>36.510599999999997</v>
      </c>
      <c r="C220" s="17">
        <f>36.0762 * CHOOSE(CONTROL!$C$9, $D$9, 100%, $F$9) + CHOOSE(CONTROL!$C$27, 0.0021, 0)</f>
        <v>36.078299999999999</v>
      </c>
      <c r="D220" s="17">
        <f>36.0762 * CHOOSE(CONTROL!$C$9, $D$9, 100%, $F$9) + CHOOSE(CONTROL!$C$27, 0.0021, 0)</f>
        <v>36.078299999999999</v>
      </c>
      <c r="E220" s="17">
        <f>35.9396 * CHOOSE(CONTROL!$C$9, $D$9, 100%, $F$9) + CHOOSE(CONTROL!$C$27, 0.0021, 0)</f>
        <v>35.941699999999997</v>
      </c>
      <c r="F220" s="17">
        <f>35.9396 * CHOOSE(CONTROL!$C$9, $D$9, 100%, $F$9) + CHOOSE(CONTROL!$C$27, 0.0021, 0)</f>
        <v>35.941699999999997</v>
      </c>
      <c r="G220" s="17">
        <f>36.2109 * CHOOSE(CONTROL!$C$9, $D$9, 100%, $F$9) + CHOOSE(CONTROL!$C$27, 0.0021, 0)</f>
        <v>36.213000000000001</v>
      </c>
      <c r="H220" s="17">
        <f>36.0762 * CHOOSE(CONTROL!$C$9, $D$9, 100%, $F$9) + CHOOSE(CONTROL!$C$27, 0.0021, 0)</f>
        <v>36.078299999999999</v>
      </c>
      <c r="I220" s="17">
        <f>36.0762 * CHOOSE(CONTROL!$C$9, $D$9, 100%, $F$9) + CHOOSE(CONTROL!$C$27, 0.0021, 0)</f>
        <v>36.078299999999999</v>
      </c>
      <c r="J220" s="17">
        <f>36.0762 * CHOOSE(CONTROL!$C$9, $D$9, 100%, $F$9) + CHOOSE(CONTROL!$C$27, 0.0021, 0)</f>
        <v>36.078299999999999</v>
      </c>
      <c r="K220" s="17">
        <f>36.0762 * CHOOSE(CONTROL!$C$9, $D$9, 100%, $F$9) + CHOOSE(CONTROL!$C$27, 0.0021, 0)</f>
        <v>36.078299999999999</v>
      </c>
      <c r="L220" s="17"/>
    </row>
    <row r="221" spans="1:12" ht="15" x14ac:dyDescent="0.2">
      <c r="A221" s="16">
        <v>47635</v>
      </c>
      <c r="B221" s="17">
        <f>37.0013 * CHOOSE(CONTROL!$C$9, $D$9, 100%, $F$9) + CHOOSE(CONTROL!$C$27, 0.0021, 0)</f>
        <v>37.003399999999999</v>
      </c>
      <c r="C221" s="17">
        <f>36.5691 * CHOOSE(CONTROL!$C$9, $D$9, 100%, $F$9) + CHOOSE(CONTROL!$C$27, 0.0021, 0)</f>
        <v>36.571199999999997</v>
      </c>
      <c r="D221" s="17">
        <f>36.5691 * CHOOSE(CONTROL!$C$9, $D$9, 100%, $F$9) + CHOOSE(CONTROL!$C$27, 0.0021, 0)</f>
        <v>36.571199999999997</v>
      </c>
      <c r="E221" s="17">
        <f>36.4324 * CHOOSE(CONTROL!$C$9, $D$9, 100%, $F$9) + CHOOSE(CONTROL!$C$27, 0.0021, 0)</f>
        <v>36.4345</v>
      </c>
      <c r="F221" s="17">
        <f>36.4324 * CHOOSE(CONTROL!$C$9, $D$9, 100%, $F$9) + CHOOSE(CONTROL!$C$27, 0.0021, 0)</f>
        <v>36.4345</v>
      </c>
      <c r="G221" s="17">
        <f>36.7038 * CHOOSE(CONTROL!$C$9, $D$9, 100%, $F$9) + CHOOSE(CONTROL!$C$27, 0.0021, 0)</f>
        <v>36.7059</v>
      </c>
      <c r="H221" s="17">
        <f>36.5691 * CHOOSE(CONTROL!$C$9, $D$9, 100%, $F$9) + CHOOSE(CONTROL!$C$27, 0.0021, 0)</f>
        <v>36.571199999999997</v>
      </c>
      <c r="I221" s="17">
        <f>36.5691 * CHOOSE(CONTROL!$C$9, $D$9, 100%, $F$9) + CHOOSE(CONTROL!$C$27, 0.0021, 0)</f>
        <v>36.571199999999997</v>
      </c>
      <c r="J221" s="17">
        <f>36.5691 * CHOOSE(CONTROL!$C$9, $D$9, 100%, $F$9) + CHOOSE(CONTROL!$C$27, 0.0021, 0)</f>
        <v>36.571199999999997</v>
      </c>
      <c r="K221" s="17">
        <f>36.5691 * CHOOSE(CONTROL!$C$9, $D$9, 100%, $F$9) + CHOOSE(CONTROL!$C$27, 0.0021, 0)</f>
        <v>36.571199999999997</v>
      </c>
      <c r="L221" s="17"/>
    </row>
    <row r="222" spans="1:12" ht="15" x14ac:dyDescent="0.2">
      <c r="A222" s="16">
        <v>47665</v>
      </c>
      <c r="B222" s="17">
        <f>37.7711 * CHOOSE(CONTROL!$C$9, $D$9, 100%, $F$9) + CHOOSE(CONTROL!$C$27, 0.0021, 0)</f>
        <v>37.773199999999996</v>
      </c>
      <c r="C222" s="17">
        <f>37.3388 * CHOOSE(CONTROL!$C$9, $D$9, 100%, $F$9) + CHOOSE(CONTROL!$C$27, 0.0021, 0)</f>
        <v>37.340899999999998</v>
      </c>
      <c r="D222" s="17">
        <f>37.3388 * CHOOSE(CONTROL!$C$9, $D$9, 100%, $F$9) + CHOOSE(CONTROL!$C$27, 0.0021, 0)</f>
        <v>37.340899999999998</v>
      </c>
      <c r="E222" s="17">
        <f>37.2022 * CHOOSE(CONTROL!$C$9, $D$9, 100%, $F$9) + CHOOSE(CONTROL!$C$27, 0.0021, 0)</f>
        <v>37.204299999999996</v>
      </c>
      <c r="F222" s="17">
        <f>37.2022 * CHOOSE(CONTROL!$C$9, $D$9, 100%, $F$9) + CHOOSE(CONTROL!$C$27, 0.0021, 0)</f>
        <v>37.204299999999996</v>
      </c>
      <c r="G222" s="17">
        <f>37.4735 * CHOOSE(CONTROL!$C$9, $D$9, 100%, $F$9) + CHOOSE(CONTROL!$C$27, 0.0021, 0)</f>
        <v>37.4756</v>
      </c>
      <c r="H222" s="17">
        <f>37.3388 * CHOOSE(CONTROL!$C$9, $D$9, 100%, $F$9) + CHOOSE(CONTROL!$C$27, 0.0021, 0)</f>
        <v>37.340899999999998</v>
      </c>
      <c r="I222" s="17">
        <f>37.3388 * CHOOSE(CONTROL!$C$9, $D$9, 100%, $F$9) + CHOOSE(CONTROL!$C$27, 0.0021, 0)</f>
        <v>37.340899999999998</v>
      </c>
      <c r="J222" s="17">
        <f>37.3388 * CHOOSE(CONTROL!$C$9, $D$9, 100%, $F$9) + CHOOSE(CONTROL!$C$27, 0.0021, 0)</f>
        <v>37.340899999999998</v>
      </c>
      <c r="K222" s="17">
        <f>37.3388 * CHOOSE(CONTROL!$C$9, $D$9, 100%, $F$9) + CHOOSE(CONTROL!$C$27, 0.0021, 0)</f>
        <v>37.340899999999998</v>
      </c>
      <c r="L222" s="17"/>
    </row>
    <row r="223" spans="1:12" ht="15" x14ac:dyDescent="0.2">
      <c r="A223" s="16">
        <v>47696</v>
      </c>
      <c r="B223" s="17">
        <f>37.9842 * CHOOSE(CONTROL!$C$9, $D$9, 100%, $F$9) + CHOOSE(CONTROL!$C$27, 0.0021, 0)</f>
        <v>37.9863</v>
      </c>
      <c r="C223" s="17">
        <f>37.552 * CHOOSE(CONTROL!$C$9, $D$9, 100%, $F$9) + CHOOSE(CONTROL!$C$27, 0.0021, 0)</f>
        <v>37.554099999999998</v>
      </c>
      <c r="D223" s="17">
        <f>37.552 * CHOOSE(CONTROL!$C$9, $D$9, 100%, $F$9) + CHOOSE(CONTROL!$C$27, 0.0021, 0)</f>
        <v>37.554099999999998</v>
      </c>
      <c r="E223" s="17">
        <f>37.4153 * CHOOSE(CONTROL!$C$9, $D$9, 100%, $F$9) + CHOOSE(CONTROL!$C$27, 0.0021, 0)</f>
        <v>37.417400000000001</v>
      </c>
      <c r="F223" s="17">
        <f>37.4153 * CHOOSE(CONTROL!$C$9, $D$9, 100%, $F$9) + CHOOSE(CONTROL!$C$27, 0.0021, 0)</f>
        <v>37.417400000000001</v>
      </c>
      <c r="G223" s="17">
        <f>37.6867 * CHOOSE(CONTROL!$C$9, $D$9, 100%, $F$9) + CHOOSE(CONTROL!$C$27, 0.0021, 0)</f>
        <v>37.688800000000001</v>
      </c>
      <c r="H223" s="17">
        <f>37.552 * CHOOSE(CONTROL!$C$9, $D$9, 100%, $F$9) + CHOOSE(CONTROL!$C$27, 0.0021, 0)</f>
        <v>37.554099999999998</v>
      </c>
      <c r="I223" s="17">
        <f>37.552 * CHOOSE(CONTROL!$C$9, $D$9, 100%, $F$9) + CHOOSE(CONTROL!$C$27, 0.0021, 0)</f>
        <v>37.554099999999998</v>
      </c>
      <c r="J223" s="17">
        <f>37.552 * CHOOSE(CONTROL!$C$9, $D$9, 100%, $F$9) + CHOOSE(CONTROL!$C$27, 0.0021, 0)</f>
        <v>37.554099999999998</v>
      </c>
      <c r="K223" s="17">
        <f>37.552 * CHOOSE(CONTROL!$C$9, $D$9, 100%, $F$9) + CHOOSE(CONTROL!$C$27, 0.0021, 0)</f>
        <v>37.554099999999998</v>
      </c>
      <c r="L223" s="17"/>
    </row>
    <row r="224" spans="1:12" ht="15" x14ac:dyDescent="0.2">
      <c r="A224" s="16">
        <v>47727</v>
      </c>
      <c r="B224" s="17">
        <f>38.71 * CHOOSE(CONTROL!$C$9, $D$9, 100%, $F$9) + CHOOSE(CONTROL!$C$27, 0.0021, 0)</f>
        <v>38.7121</v>
      </c>
      <c r="C224" s="17">
        <f>38.2778 * CHOOSE(CONTROL!$C$9, $D$9, 100%, $F$9) + CHOOSE(CONTROL!$C$27, 0.0021, 0)</f>
        <v>38.279899999999998</v>
      </c>
      <c r="D224" s="17">
        <f>38.2778 * CHOOSE(CONTROL!$C$9, $D$9, 100%, $F$9) + CHOOSE(CONTROL!$C$27, 0.0021, 0)</f>
        <v>38.279899999999998</v>
      </c>
      <c r="E224" s="17">
        <f>38.1411 * CHOOSE(CONTROL!$C$9, $D$9, 100%, $F$9) + CHOOSE(CONTROL!$C$27, 0.0021, 0)</f>
        <v>38.1432</v>
      </c>
      <c r="F224" s="17">
        <f>38.1411 * CHOOSE(CONTROL!$C$9, $D$9, 100%, $F$9) + CHOOSE(CONTROL!$C$27, 0.0021, 0)</f>
        <v>38.1432</v>
      </c>
      <c r="G224" s="17">
        <f>38.4125 * CHOOSE(CONTROL!$C$9, $D$9, 100%, $F$9) + CHOOSE(CONTROL!$C$27, 0.0021, 0)</f>
        <v>38.4146</v>
      </c>
      <c r="H224" s="17">
        <f>38.2778 * CHOOSE(CONTROL!$C$9, $D$9, 100%, $F$9) + CHOOSE(CONTROL!$C$27, 0.0021, 0)</f>
        <v>38.279899999999998</v>
      </c>
      <c r="I224" s="17">
        <f>38.2778 * CHOOSE(CONTROL!$C$9, $D$9, 100%, $F$9) + CHOOSE(CONTROL!$C$27, 0.0021, 0)</f>
        <v>38.279899999999998</v>
      </c>
      <c r="J224" s="17">
        <f>38.2778 * CHOOSE(CONTROL!$C$9, $D$9, 100%, $F$9) + CHOOSE(CONTROL!$C$27, 0.0021, 0)</f>
        <v>38.279899999999998</v>
      </c>
      <c r="K224" s="17">
        <f>38.2778 * CHOOSE(CONTROL!$C$9, $D$9, 100%, $F$9) + CHOOSE(CONTROL!$C$27, 0.0021, 0)</f>
        <v>38.279899999999998</v>
      </c>
      <c r="L224" s="17"/>
    </row>
    <row r="225" spans="1:12" ht="15" x14ac:dyDescent="0.2">
      <c r="A225" s="16">
        <v>47757</v>
      </c>
      <c r="B225" s="17">
        <f>39.6287 * CHOOSE(CONTROL!$C$9, $D$9, 100%, $F$9) + CHOOSE(CONTROL!$C$27, 0.0021, 0)</f>
        <v>39.630800000000001</v>
      </c>
      <c r="C225" s="17">
        <f>39.1965 * CHOOSE(CONTROL!$C$9, $D$9, 100%, $F$9) + CHOOSE(CONTROL!$C$27, 0.0021, 0)</f>
        <v>39.198599999999999</v>
      </c>
      <c r="D225" s="17">
        <f>39.1965 * CHOOSE(CONTROL!$C$9, $D$9, 100%, $F$9) + CHOOSE(CONTROL!$C$27, 0.0021, 0)</f>
        <v>39.198599999999999</v>
      </c>
      <c r="E225" s="17">
        <f>39.0598 * CHOOSE(CONTROL!$C$9, $D$9, 100%, $F$9) + CHOOSE(CONTROL!$C$27, 0.0021, 0)</f>
        <v>39.061900000000001</v>
      </c>
      <c r="F225" s="17">
        <f>39.0598 * CHOOSE(CONTROL!$C$9, $D$9, 100%, $F$9) + CHOOSE(CONTROL!$C$27, 0.0021, 0)</f>
        <v>39.061900000000001</v>
      </c>
      <c r="G225" s="17">
        <f>39.3312 * CHOOSE(CONTROL!$C$9, $D$9, 100%, $F$9) + CHOOSE(CONTROL!$C$27, 0.0021, 0)</f>
        <v>39.333300000000001</v>
      </c>
      <c r="H225" s="17">
        <f>39.1965 * CHOOSE(CONTROL!$C$9, $D$9, 100%, $F$9) + CHOOSE(CONTROL!$C$27, 0.0021, 0)</f>
        <v>39.198599999999999</v>
      </c>
      <c r="I225" s="17">
        <f>39.1965 * CHOOSE(CONTROL!$C$9, $D$9, 100%, $F$9) + CHOOSE(CONTROL!$C$27, 0.0021, 0)</f>
        <v>39.198599999999999</v>
      </c>
      <c r="J225" s="17">
        <f>39.1965 * CHOOSE(CONTROL!$C$9, $D$9, 100%, $F$9) + CHOOSE(CONTROL!$C$27, 0.0021, 0)</f>
        <v>39.198599999999999</v>
      </c>
      <c r="K225" s="17">
        <f>39.1965 * CHOOSE(CONTROL!$C$9, $D$9, 100%, $F$9) + CHOOSE(CONTROL!$C$27, 0.0021, 0)</f>
        <v>39.198599999999999</v>
      </c>
      <c r="L225" s="17"/>
    </row>
    <row r="226" spans="1:12" ht="15" x14ac:dyDescent="0.2">
      <c r="A226" s="16">
        <v>47788</v>
      </c>
      <c r="B226" s="17">
        <f>39.715 * CHOOSE(CONTROL!$C$9, $D$9, 100%, $F$9) + CHOOSE(CONTROL!$C$27, 0.0021, 0)</f>
        <v>39.717100000000002</v>
      </c>
      <c r="C226" s="17">
        <f>39.2827 * CHOOSE(CONTROL!$C$9, $D$9, 100%, $F$9) + CHOOSE(CONTROL!$C$27, 0.0021, 0)</f>
        <v>39.284799999999997</v>
      </c>
      <c r="D226" s="17">
        <f>39.2827 * CHOOSE(CONTROL!$C$9, $D$9, 100%, $F$9) + CHOOSE(CONTROL!$C$27, 0.0021, 0)</f>
        <v>39.284799999999997</v>
      </c>
      <c r="E226" s="17">
        <f>39.1461 * CHOOSE(CONTROL!$C$9, $D$9, 100%, $F$9) + CHOOSE(CONTROL!$C$27, 0.0021, 0)</f>
        <v>39.148199999999996</v>
      </c>
      <c r="F226" s="17">
        <f>39.1461 * CHOOSE(CONTROL!$C$9, $D$9, 100%, $F$9) + CHOOSE(CONTROL!$C$27, 0.0021, 0)</f>
        <v>39.148199999999996</v>
      </c>
      <c r="G226" s="17">
        <f>39.4174 * CHOOSE(CONTROL!$C$9, $D$9, 100%, $F$9) + CHOOSE(CONTROL!$C$27, 0.0021, 0)</f>
        <v>39.419499999999999</v>
      </c>
      <c r="H226" s="17">
        <f>39.2827 * CHOOSE(CONTROL!$C$9, $D$9, 100%, $F$9) + CHOOSE(CONTROL!$C$27, 0.0021, 0)</f>
        <v>39.284799999999997</v>
      </c>
      <c r="I226" s="17">
        <f>39.2827 * CHOOSE(CONTROL!$C$9, $D$9, 100%, $F$9) + CHOOSE(CONTROL!$C$27, 0.0021, 0)</f>
        <v>39.284799999999997</v>
      </c>
      <c r="J226" s="17">
        <f>39.2827 * CHOOSE(CONTROL!$C$9, $D$9, 100%, $F$9) + CHOOSE(CONTROL!$C$27, 0.0021, 0)</f>
        <v>39.284799999999997</v>
      </c>
      <c r="K226" s="17">
        <f>39.2827 * CHOOSE(CONTROL!$C$9, $D$9, 100%, $F$9) + CHOOSE(CONTROL!$C$27, 0.0021, 0)</f>
        <v>39.284799999999997</v>
      </c>
      <c r="L226" s="17"/>
    </row>
    <row r="227" spans="1:12" ht="15" x14ac:dyDescent="0.2">
      <c r="A227" s="16">
        <v>47818</v>
      </c>
      <c r="B227" s="17">
        <f>38.9812 * CHOOSE(CONTROL!$C$9, $D$9, 100%, $F$9) + CHOOSE(CONTROL!$C$27, 0.0021, 0)</f>
        <v>38.9833</v>
      </c>
      <c r="C227" s="17">
        <f>38.549 * CHOOSE(CONTROL!$C$9, $D$9, 100%, $F$9) + CHOOSE(CONTROL!$C$27, 0.0021, 0)</f>
        <v>38.551099999999998</v>
      </c>
      <c r="D227" s="17">
        <f>38.549 * CHOOSE(CONTROL!$C$9, $D$9, 100%, $F$9) + CHOOSE(CONTROL!$C$27, 0.0021, 0)</f>
        <v>38.551099999999998</v>
      </c>
      <c r="E227" s="17">
        <f>38.4123 * CHOOSE(CONTROL!$C$9, $D$9, 100%, $F$9) + CHOOSE(CONTROL!$C$27, 0.0021, 0)</f>
        <v>38.414400000000001</v>
      </c>
      <c r="F227" s="17">
        <f>38.4123 * CHOOSE(CONTROL!$C$9, $D$9, 100%, $F$9) + CHOOSE(CONTROL!$C$27, 0.0021, 0)</f>
        <v>38.414400000000001</v>
      </c>
      <c r="G227" s="17">
        <f>38.6837 * CHOOSE(CONTROL!$C$9, $D$9, 100%, $F$9) + CHOOSE(CONTROL!$C$27, 0.0021, 0)</f>
        <v>38.6858</v>
      </c>
      <c r="H227" s="17">
        <f>38.549 * CHOOSE(CONTROL!$C$9, $D$9, 100%, $F$9) + CHOOSE(CONTROL!$C$27, 0.0021, 0)</f>
        <v>38.551099999999998</v>
      </c>
      <c r="I227" s="17">
        <f>38.549 * CHOOSE(CONTROL!$C$9, $D$9, 100%, $F$9) + CHOOSE(CONTROL!$C$27, 0.0021, 0)</f>
        <v>38.551099999999998</v>
      </c>
      <c r="J227" s="17">
        <f>38.549 * CHOOSE(CONTROL!$C$9, $D$9, 100%, $F$9) + CHOOSE(CONTROL!$C$27, 0.0021, 0)</f>
        <v>38.551099999999998</v>
      </c>
      <c r="K227" s="17">
        <f>38.549 * CHOOSE(CONTROL!$C$9, $D$9, 100%, $F$9) + CHOOSE(CONTROL!$C$27, 0.0021, 0)</f>
        <v>38.551099999999998</v>
      </c>
      <c r="L227" s="17"/>
    </row>
    <row r="228" spans="1:12" ht="15" x14ac:dyDescent="0.2">
      <c r="A228" s="16">
        <v>47849</v>
      </c>
      <c r="B228" s="17">
        <f>38.5174 * CHOOSE(CONTROL!$C$9, $D$9, 100%, $F$9) + CHOOSE(CONTROL!$C$27, 0.0021, 0)</f>
        <v>38.519500000000001</v>
      </c>
      <c r="C228" s="17">
        <f>38.0852 * CHOOSE(CONTROL!$C$9, $D$9, 100%, $F$9) + CHOOSE(CONTROL!$C$27, 0.0021, 0)</f>
        <v>38.087299999999999</v>
      </c>
      <c r="D228" s="17">
        <f>38.0852 * CHOOSE(CONTROL!$C$9, $D$9, 100%, $F$9) + CHOOSE(CONTROL!$C$27, 0.0021, 0)</f>
        <v>38.087299999999999</v>
      </c>
      <c r="E228" s="17">
        <f>37.9485 * CHOOSE(CONTROL!$C$9, $D$9, 100%, $F$9) + CHOOSE(CONTROL!$C$27, 0.0021, 0)</f>
        <v>37.950600000000001</v>
      </c>
      <c r="F228" s="17">
        <f>37.9485 * CHOOSE(CONTROL!$C$9, $D$9, 100%, $F$9) + CHOOSE(CONTROL!$C$27, 0.0021, 0)</f>
        <v>37.950600000000001</v>
      </c>
      <c r="G228" s="17">
        <f>38.2199 * CHOOSE(CONTROL!$C$9, $D$9, 100%, $F$9) + CHOOSE(CONTROL!$C$27, 0.0021, 0)</f>
        <v>38.222000000000001</v>
      </c>
      <c r="H228" s="17">
        <f>38.0852 * CHOOSE(CONTROL!$C$9, $D$9, 100%, $F$9) + CHOOSE(CONTROL!$C$27, 0.0021, 0)</f>
        <v>38.087299999999999</v>
      </c>
      <c r="I228" s="17">
        <f>38.0852 * CHOOSE(CONTROL!$C$9, $D$9, 100%, $F$9) + CHOOSE(CONTROL!$C$27, 0.0021, 0)</f>
        <v>38.087299999999999</v>
      </c>
      <c r="J228" s="17">
        <f>38.0852 * CHOOSE(CONTROL!$C$9, $D$9, 100%, $F$9) + CHOOSE(CONTROL!$C$27, 0.0021, 0)</f>
        <v>38.087299999999999</v>
      </c>
      <c r="K228" s="17">
        <f>38.0852 * CHOOSE(CONTROL!$C$9, $D$9, 100%, $F$9) + CHOOSE(CONTROL!$C$27, 0.0021, 0)</f>
        <v>38.087299999999999</v>
      </c>
      <c r="L228" s="17"/>
    </row>
    <row r="229" spans="1:12" ht="15" x14ac:dyDescent="0.2">
      <c r="A229" s="16">
        <v>47880</v>
      </c>
      <c r="B229" s="17">
        <f>37.4928 * CHOOSE(CONTROL!$C$9, $D$9, 100%, $F$9) + CHOOSE(CONTROL!$C$27, 0.0021, 0)</f>
        <v>37.494900000000001</v>
      </c>
      <c r="C229" s="17">
        <f>37.0605 * CHOOSE(CONTROL!$C$9, $D$9, 100%, $F$9) + CHOOSE(CONTROL!$C$27, 0.0021, 0)</f>
        <v>37.062599999999996</v>
      </c>
      <c r="D229" s="17">
        <f>37.0605 * CHOOSE(CONTROL!$C$9, $D$9, 100%, $F$9) + CHOOSE(CONTROL!$C$27, 0.0021, 0)</f>
        <v>37.062599999999996</v>
      </c>
      <c r="E229" s="17">
        <f>36.9239 * CHOOSE(CONTROL!$C$9, $D$9, 100%, $F$9) + CHOOSE(CONTROL!$C$27, 0.0021, 0)</f>
        <v>36.926000000000002</v>
      </c>
      <c r="F229" s="17">
        <f>36.9239 * CHOOSE(CONTROL!$C$9, $D$9, 100%, $F$9) + CHOOSE(CONTROL!$C$27, 0.0021, 0)</f>
        <v>36.926000000000002</v>
      </c>
      <c r="G229" s="17">
        <f>37.1953 * CHOOSE(CONTROL!$C$9, $D$9, 100%, $F$9) + CHOOSE(CONTROL!$C$27, 0.0021, 0)</f>
        <v>37.197400000000002</v>
      </c>
      <c r="H229" s="17">
        <f>37.0605 * CHOOSE(CONTROL!$C$9, $D$9, 100%, $F$9) + CHOOSE(CONTROL!$C$27, 0.0021, 0)</f>
        <v>37.062599999999996</v>
      </c>
      <c r="I229" s="17">
        <f>37.0605 * CHOOSE(CONTROL!$C$9, $D$9, 100%, $F$9) + CHOOSE(CONTROL!$C$27, 0.0021, 0)</f>
        <v>37.062599999999996</v>
      </c>
      <c r="J229" s="17">
        <f>37.0605 * CHOOSE(CONTROL!$C$9, $D$9, 100%, $F$9) + CHOOSE(CONTROL!$C$27, 0.0021, 0)</f>
        <v>37.062599999999996</v>
      </c>
      <c r="K229" s="17">
        <f>37.0605 * CHOOSE(CONTROL!$C$9, $D$9, 100%, $F$9) + CHOOSE(CONTROL!$C$27, 0.0021, 0)</f>
        <v>37.062599999999996</v>
      </c>
      <c r="L229" s="17"/>
    </row>
    <row r="230" spans="1:12" ht="15" x14ac:dyDescent="0.2">
      <c r="A230" s="16">
        <v>47908</v>
      </c>
      <c r="B230" s="17">
        <f>37.0698 * CHOOSE(CONTROL!$C$9, $D$9, 100%, $F$9) + CHOOSE(CONTROL!$C$27, 0.0021, 0)</f>
        <v>37.071899999999999</v>
      </c>
      <c r="C230" s="17">
        <f>36.6376 * CHOOSE(CONTROL!$C$9, $D$9, 100%, $F$9) + CHOOSE(CONTROL!$C$27, 0.0021, 0)</f>
        <v>36.639699999999998</v>
      </c>
      <c r="D230" s="17">
        <f>36.6376 * CHOOSE(CONTROL!$C$9, $D$9, 100%, $F$9) + CHOOSE(CONTROL!$C$27, 0.0021, 0)</f>
        <v>36.639699999999998</v>
      </c>
      <c r="E230" s="17">
        <f>36.5009 * CHOOSE(CONTROL!$C$9, $D$9, 100%, $F$9) + CHOOSE(CONTROL!$C$27, 0.0021, 0)</f>
        <v>36.503</v>
      </c>
      <c r="F230" s="17">
        <f>36.5009 * CHOOSE(CONTROL!$C$9, $D$9, 100%, $F$9) + CHOOSE(CONTROL!$C$27, 0.0021, 0)</f>
        <v>36.503</v>
      </c>
      <c r="G230" s="17">
        <f>36.7723 * CHOOSE(CONTROL!$C$9, $D$9, 100%, $F$9) + CHOOSE(CONTROL!$C$27, 0.0021, 0)</f>
        <v>36.7744</v>
      </c>
      <c r="H230" s="17">
        <f>36.6376 * CHOOSE(CONTROL!$C$9, $D$9, 100%, $F$9) + CHOOSE(CONTROL!$C$27, 0.0021, 0)</f>
        <v>36.639699999999998</v>
      </c>
      <c r="I230" s="17">
        <f>36.6376 * CHOOSE(CONTROL!$C$9, $D$9, 100%, $F$9) + CHOOSE(CONTROL!$C$27, 0.0021, 0)</f>
        <v>36.639699999999998</v>
      </c>
      <c r="J230" s="17">
        <f>36.6376 * CHOOSE(CONTROL!$C$9, $D$9, 100%, $F$9) + CHOOSE(CONTROL!$C$27, 0.0021, 0)</f>
        <v>36.639699999999998</v>
      </c>
      <c r="K230" s="17">
        <f>36.6376 * CHOOSE(CONTROL!$C$9, $D$9, 100%, $F$9) + CHOOSE(CONTROL!$C$27, 0.0021, 0)</f>
        <v>36.639699999999998</v>
      </c>
      <c r="L230" s="17"/>
    </row>
    <row r="231" spans="1:12" ht="15" x14ac:dyDescent="0.2">
      <c r="A231" s="16">
        <v>47939</v>
      </c>
      <c r="B231" s="17">
        <f>36.5648 * CHOOSE(CONTROL!$C$9, $D$9, 100%, $F$9) + CHOOSE(CONTROL!$C$27, 0.0021, 0)</f>
        <v>36.566899999999997</v>
      </c>
      <c r="C231" s="17">
        <f>36.1325 * CHOOSE(CONTROL!$C$9, $D$9, 100%, $F$9) + CHOOSE(CONTROL!$C$27, 0.0021, 0)</f>
        <v>36.134599999999999</v>
      </c>
      <c r="D231" s="17">
        <f>36.1325 * CHOOSE(CONTROL!$C$9, $D$9, 100%, $F$9) + CHOOSE(CONTROL!$C$27, 0.0021, 0)</f>
        <v>36.134599999999999</v>
      </c>
      <c r="E231" s="17">
        <f>35.9959 * CHOOSE(CONTROL!$C$9, $D$9, 100%, $F$9) + CHOOSE(CONTROL!$C$27, 0.0021, 0)</f>
        <v>35.997999999999998</v>
      </c>
      <c r="F231" s="17">
        <f>35.9959 * CHOOSE(CONTROL!$C$9, $D$9, 100%, $F$9) + CHOOSE(CONTROL!$C$27, 0.0021, 0)</f>
        <v>35.997999999999998</v>
      </c>
      <c r="G231" s="17">
        <f>36.2672 * CHOOSE(CONTROL!$C$9, $D$9, 100%, $F$9) + CHOOSE(CONTROL!$C$27, 0.0021, 0)</f>
        <v>36.269300000000001</v>
      </c>
      <c r="H231" s="17">
        <f>36.1325 * CHOOSE(CONTROL!$C$9, $D$9, 100%, $F$9) + CHOOSE(CONTROL!$C$27, 0.0021, 0)</f>
        <v>36.134599999999999</v>
      </c>
      <c r="I231" s="17">
        <f>36.1325 * CHOOSE(CONTROL!$C$9, $D$9, 100%, $F$9) + CHOOSE(CONTROL!$C$27, 0.0021, 0)</f>
        <v>36.134599999999999</v>
      </c>
      <c r="J231" s="17">
        <f>36.1325 * CHOOSE(CONTROL!$C$9, $D$9, 100%, $F$9) + CHOOSE(CONTROL!$C$27, 0.0021, 0)</f>
        <v>36.134599999999999</v>
      </c>
      <c r="K231" s="17">
        <f>36.1325 * CHOOSE(CONTROL!$C$9, $D$9, 100%, $F$9) + CHOOSE(CONTROL!$C$27, 0.0021, 0)</f>
        <v>36.134599999999999</v>
      </c>
      <c r="L231" s="17"/>
    </row>
    <row r="232" spans="1:12" ht="15" x14ac:dyDescent="0.2">
      <c r="A232" s="16">
        <v>47969</v>
      </c>
      <c r="B232" s="17">
        <f>37.2845 * CHOOSE(CONTROL!$C$9, $D$9, 100%, $F$9) + CHOOSE(CONTROL!$C$27, 0.0021, 0)</f>
        <v>37.2866</v>
      </c>
      <c r="C232" s="17">
        <f>36.8523 * CHOOSE(CONTROL!$C$9, $D$9, 100%, $F$9) + CHOOSE(CONTROL!$C$27, 0.0021, 0)</f>
        <v>36.854399999999998</v>
      </c>
      <c r="D232" s="17">
        <f>36.8523 * CHOOSE(CONTROL!$C$9, $D$9, 100%, $F$9) + CHOOSE(CONTROL!$C$27, 0.0021, 0)</f>
        <v>36.854399999999998</v>
      </c>
      <c r="E232" s="17">
        <f>36.7156 * CHOOSE(CONTROL!$C$9, $D$9, 100%, $F$9) + CHOOSE(CONTROL!$C$27, 0.0021, 0)</f>
        <v>36.717700000000001</v>
      </c>
      <c r="F232" s="17">
        <f>36.7156 * CHOOSE(CONTROL!$C$9, $D$9, 100%, $F$9) + CHOOSE(CONTROL!$C$27, 0.0021, 0)</f>
        <v>36.717700000000001</v>
      </c>
      <c r="G232" s="17">
        <f>36.987 * CHOOSE(CONTROL!$C$9, $D$9, 100%, $F$9) + CHOOSE(CONTROL!$C$27, 0.0021, 0)</f>
        <v>36.989100000000001</v>
      </c>
      <c r="H232" s="17">
        <f>36.8523 * CHOOSE(CONTROL!$C$9, $D$9, 100%, $F$9) + CHOOSE(CONTROL!$C$27, 0.0021, 0)</f>
        <v>36.854399999999998</v>
      </c>
      <c r="I232" s="17">
        <f>36.8523 * CHOOSE(CONTROL!$C$9, $D$9, 100%, $F$9) + CHOOSE(CONTROL!$C$27, 0.0021, 0)</f>
        <v>36.854399999999998</v>
      </c>
      <c r="J232" s="17">
        <f>36.8523 * CHOOSE(CONTROL!$C$9, $D$9, 100%, $F$9) + CHOOSE(CONTROL!$C$27, 0.0021, 0)</f>
        <v>36.854399999999998</v>
      </c>
      <c r="K232" s="17">
        <f>36.8523 * CHOOSE(CONTROL!$C$9, $D$9, 100%, $F$9) + CHOOSE(CONTROL!$C$27, 0.0021, 0)</f>
        <v>36.854399999999998</v>
      </c>
      <c r="L232" s="17"/>
    </row>
    <row r="233" spans="1:12" ht="15" x14ac:dyDescent="0.2">
      <c r="A233" s="16">
        <v>48000</v>
      </c>
      <c r="B233" s="17">
        <f>37.7156 * CHOOSE(CONTROL!$C$9, $D$9, 100%, $F$9) + CHOOSE(CONTROL!$C$27, 0.0021, 0)</f>
        <v>37.717700000000001</v>
      </c>
      <c r="C233" s="17">
        <f>37.2834 * CHOOSE(CONTROL!$C$9, $D$9, 100%, $F$9) + CHOOSE(CONTROL!$C$27, 0.0021, 0)</f>
        <v>37.285499999999999</v>
      </c>
      <c r="D233" s="17">
        <f>37.2834 * CHOOSE(CONTROL!$C$9, $D$9, 100%, $F$9) + CHOOSE(CONTROL!$C$27, 0.0021, 0)</f>
        <v>37.285499999999999</v>
      </c>
      <c r="E233" s="17">
        <f>37.1467 * CHOOSE(CONTROL!$C$9, $D$9, 100%, $F$9) + CHOOSE(CONTROL!$C$27, 0.0021, 0)</f>
        <v>37.148800000000001</v>
      </c>
      <c r="F233" s="17">
        <f>37.1467 * CHOOSE(CONTROL!$C$9, $D$9, 100%, $F$9) + CHOOSE(CONTROL!$C$27, 0.0021, 0)</f>
        <v>37.148800000000001</v>
      </c>
      <c r="G233" s="17">
        <f>37.4181 * CHOOSE(CONTROL!$C$9, $D$9, 100%, $F$9) + CHOOSE(CONTROL!$C$27, 0.0021, 0)</f>
        <v>37.420200000000001</v>
      </c>
      <c r="H233" s="17">
        <f>37.2834 * CHOOSE(CONTROL!$C$9, $D$9, 100%, $F$9) + CHOOSE(CONTROL!$C$27, 0.0021, 0)</f>
        <v>37.285499999999999</v>
      </c>
      <c r="I233" s="17">
        <f>37.2834 * CHOOSE(CONTROL!$C$9, $D$9, 100%, $F$9) + CHOOSE(CONTROL!$C$27, 0.0021, 0)</f>
        <v>37.285499999999999</v>
      </c>
      <c r="J233" s="17">
        <f>37.2834 * CHOOSE(CONTROL!$C$9, $D$9, 100%, $F$9) + CHOOSE(CONTROL!$C$27, 0.0021, 0)</f>
        <v>37.285499999999999</v>
      </c>
      <c r="K233" s="17">
        <f>37.2834 * CHOOSE(CONTROL!$C$9, $D$9, 100%, $F$9) + CHOOSE(CONTROL!$C$27, 0.0021, 0)</f>
        <v>37.285499999999999</v>
      </c>
      <c r="L233" s="17"/>
    </row>
    <row r="234" spans="1:12" ht="15" x14ac:dyDescent="0.2">
      <c r="A234" s="16">
        <v>48030</v>
      </c>
      <c r="B234" s="17">
        <f>38.4268 * CHOOSE(CONTROL!$C$9, $D$9, 100%, $F$9) + CHOOSE(CONTROL!$C$27, 0.0021, 0)</f>
        <v>38.428899999999999</v>
      </c>
      <c r="C234" s="17">
        <f>37.9945 * CHOOSE(CONTROL!$C$9, $D$9, 100%, $F$9) + CHOOSE(CONTROL!$C$27, 0.0021, 0)</f>
        <v>37.996600000000001</v>
      </c>
      <c r="D234" s="17">
        <f>37.9945 * CHOOSE(CONTROL!$C$9, $D$9, 100%, $F$9) + CHOOSE(CONTROL!$C$27, 0.0021, 0)</f>
        <v>37.996600000000001</v>
      </c>
      <c r="E234" s="17">
        <f>37.8578 * CHOOSE(CONTROL!$C$9, $D$9, 100%, $F$9) + CHOOSE(CONTROL!$C$27, 0.0021, 0)</f>
        <v>37.859899999999996</v>
      </c>
      <c r="F234" s="17">
        <f>37.8578 * CHOOSE(CONTROL!$C$9, $D$9, 100%, $F$9) + CHOOSE(CONTROL!$C$27, 0.0021, 0)</f>
        <v>37.859899999999996</v>
      </c>
      <c r="G234" s="17">
        <f>38.1292 * CHOOSE(CONTROL!$C$9, $D$9, 100%, $F$9) + CHOOSE(CONTROL!$C$27, 0.0021, 0)</f>
        <v>38.131299999999996</v>
      </c>
      <c r="H234" s="17">
        <f>37.9945 * CHOOSE(CONTROL!$C$9, $D$9, 100%, $F$9) + CHOOSE(CONTROL!$C$27, 0.0021, 0)</f>
        <v>37.996600000000001</v>
      </c>
      <c r="I234" s="17">
        <f>37.9945 * CHOOSE(CONTROL!$C$9, $D$9, 100%, $F$9) + CHOOSE(CONTROL!$C$27, 0.0021, 0)</f>
        <v>37.996600000000001</v>
      </c>
      <c r="J234" s="17">
        <f>37.9945 * CHOOSE(CONTROL!$C$9, $D$9, 100%, $F$9) + CHOOSE(CONTROL!$C$27, 0.0021, 0)</f>
        <v>37.996600000000001</v>
      </c>
      <c r="K234" s="17">
        <f>37.9945 * CHOOSE(CONTROL!$C$9, $D$9, 100%, $F$9) + CHOOSE(CONTROL!$C$27, 0.0021, 0)</f>
        <v>37.996600000000001</v>
      </c>
      <c r="L234" s="17"/>
    </row>
    <row r="235" spans="1:12" ht="15" x14ac:dyDescent="0.2">
      <c r="A235" s="16">
        <v>48061</v>
      </c>
      <c r="B235" s="17">
        <f>38.6438 * CHOOSE(CONTROL!$C$9, $D$9, 100%, $F$9) + CHOOSE(CONTROL!$C$27, 0.0021, 0)</f>
        <v>38.645899999999997</v>
      </c>
      <c r="C235" s="17">
        <f>38.2116 * CHOOSE(CONTROL!$C$9, $D$9, 100%, $F$9) + CHOOSE(CONTROL!$C$27, 0.0021, 0)</f>
        <v>38.213699999999996</v>
      </c>
      <c r="D235" s="17">
        <f>38.2116 * CHOOSE(CONTROL!$C$9, $D$9, 100%, $F$9) + CHOOSE(CONTROL!$C$27, 0.0021, 0)</f>
        <v>38.213699999999996</v>
      </c>
      <c r="E235" s="17">
        <f>38.0749 * CHOOSE(CONTROL!$C$9, $D$9, 100%, $F$9) + CHOOSE(CONTROL!$C$27, 0.0021, 0)</f>
        <v>38.076999999999998</v>
      </c>
      <c r="F235" s="17">
        <f>38.0749 * CHOOSE(CONTROL!$C$9, $D$9, 100%, $F$9) + CHOOSE(CONTROL!$C$27, 0.0021, 0)</f>
        <v>38.076999999999998</v>
      </c>
      <c r="G235" s="17">
        <f>38.3463 * CHOOSE(CONTROL!$C$9, $D$9, 100%, $F$9) + CHOOSE(CONTROL!$C$27, 0.0021, 0)</f>
        <v>38.348399999999998</v>
      </c>
      <c r="H235" s="17">
        <f>38.2116 * CHOOSE(CONTROL!$C$9, $D$9, 100%, $F$9) + CHOOSE(CONTROL!$C$27, 0.0021, 0)</f>
        <v>38.213699999999996</v>
      </c>
      <c r="I235" s="17">
        <f>38.2116 * CHOOSE(CONTROL!$C$9, $D$9, 100%, $F$9) + CHOOSE(CONTROL!$C$27, 0.0021, 0)</f>
        <v>38.213699999999996</v>
      </c>
      <c r="J235" s="17">
        <f>38.2116 * CHOOSE(CONTROL!$C$9, $D$9, 100%, $F$9) + CHOOSE(CONTROL!$C$27, 0.0021, 0)</f>
        <v>38.213699999999996</v>
      </c>
      <c r="K235" s="17">
        <f>38.2116 * CHOOSE(CONTROL!$C$9, $D$9, 100%, $F$9) + CHOOSE(CONTROL!$C$27, 0.0021, 0)</f>
        <v>38.213699999999996</v>
      </c>
      <c r="L235" s="17"/>
    </row>
    <row r="236" spans="1:12" ht="15" x14ac:dyDescent="0.2">
      <c r="A236" s="16">
        <v>48092</v>
      </c>
      <c r="B236" s="17">
        <f>39.383 * CHOOSE(CONTROL!$C$9, $D$9, 100%, $F$9) + CHOOSE(CONTROL!$C$27, 0.0021, 0)</f>
        <v>39.385100000000001</v>
      </c>
      <c r="C236" s="17">
        <f>38.9508 * CHOOSE(CONTROL!$C$9, $D$9, 100%, $F$9) + CHOOSE(CONTROL!$C$27, 0.0021, 0)</f>
        <v>38.9529</v>
      </c>
      <c r="D236" s="17">
        <f>38.9508 * CHOOSE(CONTROL!$C$9, $D$9, 100%, $F$9) + CHOOSE(CONTROL!$C$27, 0.0021, 0)</f>
        <v>38.9529</v>
      </c>
      <c r="E236" s="17">
        <f>38.8141 * CHOOSE(CONTROL!$C$9, $D$9, 100%, $F$9) + CHOOSE(CONTROL!$C$27, 0.0021, 0)</f>
        <v>38.816200000000002</v>
      </c>
      <c r="F236" s="17">
        <f>38.8141 * CHOOSE(CONTROL!$C$9, $D$9, 100%, $F$9) + CHOOSE(CONTROL!$C$27, 0.0021, 0)</f>
        <v>38.816200000000002</v>
      </c>
      <c r="G236" s="17">
        <f>39.0855 * CHOOSE(CONTROL!$C$9, $D$9, 100%, $F$9) + CHOOSE(CONTROL!$C$27, 0.0021, 0)</f>
        <v>39.087600000000002</v>
      </c>
      <c r="H236" s="17">
        <f>38.9508 * CHOOSE(CONTROL!$C$9, $D$9, 100%, $F$9) + CHOOSE(CONTROL!$C$27, 0.0021, 0)</f>
        <v>38.9529</v>
      </c>
      <c r="I236" s="17">
        <f>38.9508 * CHOOSE(CONTROL!$C$9, $D$9, 100%, $F$9) + CHOOSE(CONTROL!$C$27, 0.0021, 0)</f>
        <v>38.9529</v>
      </c>
      <c r="J236" s="17">
        <f>38.9508 * CHOOSE(CONTROL!$C$9, $D$9, 100%, $F$9) + CHOOSE(CONTROL!$C$27, 0.0021, 0)</f>
        <v>38.9529</v>
      </c>
      <c r="K236" s="17">
        <f>38.9508 * CHOOSE(CONTROL!$C$9, $D$9, 100%, $F$9) + CHOOSE(CONTROL!$C$27, 0.0021, 0)</f>
        <v>38.9529</v>
      </c>
      <c r="L236" s="17"/>
    </row>
    <row r="237" spans="1:12" ht="15" x14ac:dyDescent="0.2">
      <c r="A237" s="16">
        <v>48122</v>
      </c>
      <c r="B237" s="17">
        <f>40.3187 * CHOOSE(CONTROL!$C$9, $D$9, 100%, $F$9) + CHOOSE(CONTROL!$C$27, 0.0021, 0)</f>
        <v>40.320799999999998</v>
      </c>
      <c r="C237" s="17">
        <f>39.8865 * CHOOSE(CONTROL!$C$9, $D$9, 100%, $F$9) + CHOOSE(CONTROL!$C$27, 0.0021, 0)</f>
        <v>39.888599999999997</v>
      </c>
      <c r="D237" s="17">
        <f>39.8865 * CHOOSE(CONTROL!$C$9, $D$9, 100%, $F$9) + CHOOSE(CONTROL!$C$27, 0.0021, 0)</f>
        <v>39.888599999999997</v>
      </c>
      <c r="E237" s="17">
        <f>39.7498 * CHOOSE(CONTROL!$C$9, $D$9, 100%, $F$9) + CHOOSE(CONTROL!$C$27, 0.0021, 0)</f>
        <v>39.751899999999999</v>
      </c>
      <c r="F237" s="17">
        <f>39.7498 * CHOOSE(CONTROL!$C$9, $D$9, 100%, $F$9) + CHOOSE(CONTROL!$C$27, 0.0021, 0)</f>
        <v>39.751899999999999</v>
      </c>
      <c r="G237" s="17">
        <f>40.0212 * CHOOSE(CONTROL!$C$9, $D$9, 100%, $F$9) + CHOOSE(CONTROL!$C$27, 0.0021, 0)</f>
        <v>40.023299999999999</v>
      </c>
      <c r="H237" s="17">
        <f>39.8865 * CHOOSE(CONTROL!$C$9, $D$9, 100%, $F$9) + CHOOSE(CONTROL!$C$27, 0.0021, 0)</f>
        <v>39.888599999999997</v>
      </c>
      <c r="I237" s="17">
        <f>39.8865 * CHOOSE(CONTROL!$C$9, $D$9, 100%, $F$9) + CHOOSE(CONTROL!$C$27, 0.0021, 0)</f>
        <v>39.888599999999997</v>
      </c>
      <c r="J237" s="17">
        <f>39.8865 * CHOOSE(CONTROL!$C$9, $D$9, 100%, $F$9) + CHOOSE(CONTROL!$C$27, 0.0021, 0)</f>
        <v>39.888599999999997</v>
      </c>
      <c r="K237" s="17">
        <f>39.8865 * CHOOSE(CONTROL!$C$9, $D$9, 100%, $F$9) + CHOOSE(CONTROL!$C$27, 0.0021, 0)</f>
        <v>39.888599999999997</v>
      </c>
      <c r="L237" s="17"/>
    </row>
    <row r="238" spans="1:12" ht="15" x14ac:dyDescent="0.2">
      <c r="A238" s="16">
        <v>48153</v>
      </c>
      <c r="B238" s="17">
        <f>40.4066 * CHOOSE(CONTROL!$C$9, $D$9, 100%, $F$9) + CHOOSE(CONTROL!$C$27, 0.0021, 0)</f>
        <v>40.408699999999996</v>
      </c>
      <c r="C238" s="17">
        <f>39.9743 * CHOOSE(CONTROL!$C$9, $D$9, 100%, $F$9) + CHOOSE(CONTROL!$C$27, 0.0021, 0)</f>
        <v>39.976399999999998</v>
      </c>
      <c r="D238" s="17">
        <f>39.9743 * CHOOSE(CONTROL!$C$9, $D$9, 100%, $F$9) + CHOOSE(CONTROL!$C$27, 0.0021, 0)</f>
        <v>39.976399999999998</v>
      </c>
      <c r="E238" s="17">
        <f>39.8377 * CHOOSE(CONTROL!$C$9, $D$9, 100%, $F$9) + CHOOSE(CONTROL!$C$27, 0.0021, 0)</f>
        <v>39.839799999999997</v>
      </c>
      <c r="F238" s="17">
        <f>39.8377 * CHOOSE(CONTROL!$C$9, $D$9, 100%, $F$9) + CHOOSE(CONTROL!$C$27, 0.0021, 0)</f>
        <v>39.839799999999997</v>
      </c>
      <c r="G238" s="17">
        <f>40.109 * CHOOSE(CONTROL!$C$9, $D$9, 100%, $F$9) + CHOOSE(CONTROL!$C$27, 0.0021, 0)</f>
        <v>40.1111</v>
      </c>
      <c r="H238" s="17">
        <f>39.9743 * CHOOSE(CONTROL!$C$9, $D$9, 100%, $F$9) + CHOOSE(CONTROL!$C$27, 0.0021, 0)</f>
        <v>39.976399999999998</v>
      </c>
      <c r="I238" s="17">
        <f>39.9743 * CHOOSE(CONTROL!$C$9, $D$9, 100%, $F$9) + CHOOSE(CONTROL!$C$27, 0.0021, 0)</f>
        <v>39.976399999999998</v>
      </c>
      <c r="J238" s="17">
        <f>39.9743 * CHOOSE(CONTROL!$C$9, $D$9, 100%, $F$9) + CHOOSE(CONTROL!$C$27, 0.0021, 0)</f>
        <v>39.976399999999998</v>
      </c>
      <c r="K238" s="17">
        <f>39.9743 * CHOOSE(CONTROL!$C$9, $D$9, 100%, $F$9) + CHOOSE(CONTROL!$C$27, 0.0021, 0)</f>
        <v>39.976399999999998</v>
      </c>
      <c r="L238" s="17"/>
    </row>
    <row r="239" spans="1:12" ht="15" x14ac:dyDescent="0.2">
      <c r="A239" s="16">
        <v>48183</v>
      </c>
      <c r="B239" s="17">
        <f>39.6592 * CHOOSE(CONTROL!$C$9, $D$9, 100%, $F$9) + CHOOSE(CONTROL!$C$27, 0.0021, 0)</f>
        <v>39.661299999999997</v>
      </c>
      <c r="C239" s="17">
        <f>39.227 * CHOOSE(CONTROL!$C$9, $D$9, 100%, $F$9) + CHOOSE(CONTROL!$C$27, 0.0021, 0)</f>
        <v>39.229099999999995</v>
      </c>
      <c r="D239" s="17">
        <f>39.227 * CHOOSE(CONTROL!$C$9, $D$9, 100%, $F$9) + CHOOSE(CONTROL!$C$27, 0.0021, 0)</f>
        <v>39.229099999999995</v>
      </c>
      <c r="E239" s="17">
        <f>39.0903 * CHOOSE(CONTROL!$C$9, $D$9, 100%, $F$9) + CHOOSE(CONTROL!$C$27, 0.0021, 0)</f>
        <v>39.092399999999998</v>
      </c>
      <c r="F239" s="17">
        <f>39.0903 * CHOOSE(CONTROL!$C$9, $D$9, 100%, $F$9) + CHOOSE(CONTROL!$C$27, 0.0021, 0)</f>
        <v>39.092399999999998</v>
      </c>
      <c r="G239" s="17">
        <f>39.3617 * CHOOSE(CONTROL!$C$9, $D$9, 100%, $F$9) + CHOOSE(CONTROL!$C$27, 0.0021, 0)</f>
        <v>39.363799999999998</v>
      </c>
      <c r="H239" s="17">
        <f>39.227 * CHOOSE(CONTROL!$C$9, $D$9, 100%, $F$9) + CHOOSE(CONTROL!$C$27, 0.0021, 0)</f>
        <v>39.229099999999995</v>
      </c>
      <c r="I239" s="17">
        <f>39.227 * CHOOSE(CONTROL!$C$9, $D$9, 100%, $F$9) + CHOOSE(CONTROL!$C$27, 0.0021, 0)</f>
        <v>39.229099999999995</v>
      </c>
      <c r="J239" s="17">
        <f>39.227 * CHOOSE(CONTROL!$C$9, $D$9, 100%, $F$9) + CHOOSE(CONTROL!$C$27, 0.0021, 0)</f>
        <v>39.229099999999995</v>
      </c>
      <c r="K239" s="17">
        <f>39.227 * CHOOSE(CONTROL!$C$9, $D$9, 100%, $F$9) + CHOOSE(CONTROL!$C$27, 0.0021, 0)</f>
        <v>39.229099999999995</v>
      </c>
      <c r="L239" s="17"/>
    </row>
    <row r="240" spans="1:12" ht="15" x14ac:dyDescent="0.2">
      <c r="A240" s="16">
        <v>48214</v>
      </c>
      <c r="B240" s="17">
        <f>39.1869 * CHOOSE(CONTROL!$C$9, $D$9, 100%, $F$9) + CHOOSE(CONTROL!$C$27, 0.0021, 0)</f>
        <v>39.189</v>
      </c>
      <c r="C240" s="17">
        <f>38.7546 * CHOOSE(CONTROL!$C$9, $D$9, 100%, $F$9) + CHOOSE(CONTROL!$C$27, 0.0021, 0)</f>
        <v>38.756700000000002</v>
      </c>
      <c r="D240" s="17">
        <f>38.7546 * CHOOSE(CONTROL!$C$9, $D$9, 100%, $F$9) + CHOOSE(CONTROL!$C$27, 0.0021, 0)</f>
        <v>38.756700000000002</v>
      </c>
      <c r="E240" s="17">
        <f>38.618 * CHOOSE(CONTROL!$C$9, $D$9, 100%, $F$9) + CHOOSE(CONTROL!$C$27, 0.0021, 0)</f>
        <v>38.620100000000001</v>
      </c>
      <c r="F240" s="17">
        <f>38.618 * CHOOSE(CONTROL!$C$9, $D$9, 100%, $F$9) + CHOOSE(CONTROL!$C$27, 0.0021, 0)</f>
        <v>38.620100000000001</v>
      </c>
      <c r="G240" s="17">
        <f>38.8894 * CHOOSE(CONTROL!$C$9, $D$9, 100%, $F$9) + CHOOSE(CONTROL!$C$27, 0.0021, 0)</f>
        <v>38.891500000000001</v>
      </c>
      <c r="H240" s="17">
        <f>38.7546 * CHOOSE(CONTROL!$C$9, $D$9, 100%, $F$9) + CHOOSE(CONTROL!$C$27, 0.0021, 0)</f>
        <v>38.756700000000002</v>
      </c>
      <c r="I240" s="17">
        <f>38.7546 * CHOOSE(CONTROL!$C$9, $D$9, 100%, $F$9) + CHOOSE(CONTROL!$C$27, 0.0021, 0)</f>
        <v>38.756700000000002</v>
      </c>
      <c r="J240" s="17">
        <f>38.7546 * CHOOSE(CONTROL!$C$9, $D$9, 100%, $F$9) + CHOOSE(CONTROL!$C$27, 0.0021, 0)</f>
        <v>38.756700000000002</v>
      </c>
      <c r="K240" s="17">
        <f>38.7546 * CHOOSE(CONTROL!$C$9, $D$9, 100%, $F$9) + CHOOSE(CONTROL!$C$27, 0.0021, 0)</f>
        <v>38.756700000000002</v>
      </c>
      <c r="L240" s="17"/>
    </row>
    <row r="241" spans="1:12" ht="15" x14ac:dyDescent="0.2">
      <c r="A241" s="16">
        <v>48245</v>
      </c>
      <c r="B241" s="17">
        <f>38.1433 * CHOOSE(CONTROL!$C$9, $D$9, 100%, $F$9) + CHOOSE(CONTROL!$C$27, 0.0021, 0)</f>
        <v>38.145400000000002</v>
      </c>
      <c r="C241" s="17">
        <f>37.7111 * CHOOSE(CONTROL!$C$9, $D$9, 100%, $F$9) + CHOOSE(CONTROL!$C$27, 0.0021, 0)</f>
        <v>37.713200000000001</v>
      </c>
      <c r="D241" s="17">
        <f>37.7111 * CHOOSE(CONTROL!$C$9, $D$9, 100%, $F$9) + CHOOSE(CONTROL!$C$27, 0.0021, 0)</f>
        <v>37.713200000000001</v>
      </c>
      <c r="E241" s="17">
        <f>37.5744 * CHOOSE(CONTROL!$C$9, $D$9, 100%, $F$9) + CHOOSE(CONTROL!$C$27, 0.0021, 0)</f>
        <v>37.576499999999996</v>
      </c>
      <c r="F241" s="17">
        <f>37.5744 * CHOOSE(CONTROL!$C$9, $D$9, 100%, $F$9) + CHOOSE(CONTROL!$C$27, 0.0021, 0)</f>
        <v>37.576499999999996</v>
      </c>
      <c r="G241" s="17">
        <f>37.8458 * CHOOSE(CONTROL!$C$9, $D$9, 100%, $F$9) + CHOOSE(CONTROL!$C$27, 0.0021, 0)</f>
        <v>37.847899999999996</v>
      </c>
      <c r="H241" s="17">
        <f>37.7111 * CHOOSE(CONTROL!$C$9, $D$9, 100%, $F$9) + CHOOSE(CONTROL!$C$27, 0.0021, 0)</f>
        <v>37.713200000000001</v>
      </c>
      <c r="I241" s="17">
        <f>37.7111 * CHOOSE(CONTROL!$C$9, $D$9, 100%, $F$9) + CHOOSE(CONTROL!$C$27, 0.0021, 0)</f>
        <v>37.713200000000001</v>
      </c>
      <c r="J241" s="17">
        <f>37.7111 * CHOOSE(CONTROL!$C$9, $D$9, 100%, $F$9) + CHOOSE(CONTROL!$C$27, 0.0021, 0)</f>
        <v>37.713200000000001</v>
      </c>
      <c r="K241" s="17">
        <f>37.7111 * CHOOSE(CONTROL!$C$9, $D$9, 100%, $F$9) + CHOOSE(CONTROL!$C$27, 0.0021, 0)</f>
        <v>37.713200000000001</v>
      </c>
      <c r="L241" s="17"/>
    </row>
    <row r="242" spans="1:12" ht="15" x14ac:dyDescent="0.2">
      <c r="A242" s="16">
        <v>48274</v>
      </c>
      <c r="B242" s="17">
        <f>37.7125 * CHOOSE(CONTROL!$C$9, $D$9, 100%, $F$9) + CHOOSE(CONTROL!$C$27, 0.0021, 0)</f>
        <v>37.714599999999997</v>
      </c>
      <c r="C242" s="17">
        <f>37.2803 * CHOOSE(CONTROL!$C$9, $D$9, 100%, $F$9) + CHOOSE(CONTROL!$C$27, 0.0021, 0)</f>
        <v>37.282399999999996</v>
      </c>
      <c r="D242" s="17">
        <f>37.2803 * CHOOSE(CONTROL!$C$9, $D$9, 100%, $F$9) + CHOOSE(CONTROL!$C$27, 0.0021, 0)</f>
        <v>37.282399999999996</v>
      </c>
      <c r="E242" s="17">
        <f>37.1436 * CHOOSE(CONTROL!$C$9, $D$9, 100%, $F$9) + CHOOSE(CONTROL!$C$27, 0.0021, 0)</f>
        <v>37.145699999999998</v>
      </c>
      <c r="F242" s="17">
        <f>37.1436 * CHOOSE(CONTROL!$C$9, $D$9, 100%, $F$9) + CHOOSE(CONTROL!$C$27, 0.0021, 0)</f>
        <v>37.145699999999998</v>
      </c>
      <c r="G242" s="17">
        <f>37.415 * CHOOSE(CONTROL!$C$9, $D$9, 100%, $F$9) + CHOOSE(CONTROL!$C$27, 0.0021, 0)</f>
        <v>37.417099999999998</v>
      </c>
      <c r="H242" s="17">
        <f>37.2803 * CHOOSE(CONTROL!$C$9, $D$9, 100%, $F$9) + CHOOSE(CONTROL!$C$27, 0.0021, 0)</f>
        <v>37.282399999999996</v>
      </c>
      <c r="I242" s="17">
        <f>37.2803 * CHOOSE(CONTROL!$C$9, $D$9, 100%, $F$9) + CHOOSE(CONTROL!$C$27, 0.0021, 0)</f>
        <v>37.282399999999996</v>
      </c>
      <c r="J242" s="17">
        <f>37.2803 * CHOOSE(CONTROL!$C$9, $D$9, 100%, $F$9) + CHOOSE(CONTROL!$C$27, 0.0021, 0)</f>
        <v>37.282399999999996</v>
      </c>
      <c r="K242" s="17">
        <f>37.2803 * CHOOSE(CONTROL!$C$9, $D$9, 100%, $F$9) + CHOOSE(CONTROL!$C$27, 0.0021, 0)</f>
        <v>37.282399999999996</v>
      </c>
      <c r="L242" s="17"/>
    </row>
    <row r="243" spans="1:12" ht="15" x14ac:dyDescent="0.2">
      <c r="A243" s="16">
        <v>48305</v>
      </c>
      <c r="B243" s="17">
        <f>37.1982 * CHOOSE(CONTROL!$C$9, $D$9, 100%, $F$9) + CHOOSE(CONTROL!$C$27, 0.0021, 0)</f>
        <v>37.200299999999999</v>
      </c>
      <c r="C243" s="17">
        <f>36.7659 * CHOOSE(CONTROL!$C$9, $D$9, 100%, $F$9) + CHOOSE(CONTROL!$C$27, 0.0021, 0)</f>
        <v>36.768000000000001</v>
      </c>
      <c r="D243" s="17">
        <f>36.7659 * CHOOSE(CONTROL!$C$9, $D$9, 100%, $F$9) + CHOOSE(CONTROL!$C$27, 0.0021, 0)</f>
        <v>36.768000000000001</v>
      </c>
      <c r="E243" s="17">
        <f>36.6293 * CHOOSE(CONTROL!$C$9, $D$9, 100%, $F$9) + CHOOSE(CONTROL!$C$27, 0.0021, 0)</f>
        <v>36.631399999999999</v>
      </c>
      <c r="F243" s="17">
        <f>36.6293 * CHOOSE(CONTROL!$C$9, $D$9, 100%, $F$9) + CHOOSE(CONTROL!$C$27, 0.0021, 0)</f>
        <v>36.631399999999999</v>
      </c>
      <c r="G243" s="17">
        <f>36.9006 * CHOOSE(CONTROL!$C$9, $D$9, 100%, $F$9) + CHOOSE(CONTROL!$C$27, 0.0021, 0)</f>
        <v>36.902699999999996</v>
      </c>
      <c r="H243" s="17">
        <f>36.7659 * CHOOSE(CONTROL!$C$9, $D$9, 100%, $F$9) + CHOOSE(CONTROL!$C$27, 0.0021, 0)</f>
        <v>36.768000000000001</v>
      </c>
      <c r="I243" s="17">
        <f>36.7659 * CHOOSE(CONTROL!$C$9, $D$9, 100%, $F$9) + CHOOSE(CONTROL!$C$27, 0.0021, 0)</f>
        <v>36.768000000000001</v>
      </c>
      <c r="J243" s="17">
        <f>36.7659 * CHOOSE(CONTROL!$C$9, $D$9, 100%, $F$9) + CHOOSE(CONTROL!$C$27, 0.0021, 0)</f>
        <v>36.768000000000001</v>
      </c>
      <c r="K243" s="17">
        <f>36.7659 * CHOOSE(CONTROL!$C$9, $D$9, 100%, $F$9) + CHOOSE(CONTROL!$C$27, 0.0021, 0)</f>
        <v>36.768000000000001</v>
      </c>
      <c r="L243" s="17"/>
    </row>
    <row r="244" spans="1:12" ht="15" x14ac:dyDescent="0.2">
      <c r="A244" s="16">
        <v>48335</v>
      </c>
      <c r="B244" s="17">
        <f>37.9312 * CHOOSE(CONTROL!$C$9, $D$9, 100%, $F$9) + CHOOSE(CONTROL!$C$27, 0.0021, 0)</f>
        <v>37.933299999999996</v>
      </c>
      <c r="C244" s="17">
        <f>37.4989 * CHOOSE(CONTROL!$C$9, $D$9, 100%, $F$9) + CHOOSE(CONTROL!$C$27, 0.0021, 0)</f>
        <v>37.500999999999998</v>
      </c>
      <c r="D244" s="17">
        <f>37.4989 * CHOOSE(CONTROL!$C$9, $D$9, 100%, $F$9) + CHOOSE(CONTROL!$C$27, 0.0021, 0)</f>
        <v>37.500999999999998</v>
      </c>
      <c r="E244" s="17">
        <f>37.3623 * CHOOSE(CONTROL!$C$9, $D$9, 100%, $F$9) + CHOOSE(CONTROL!$C$27, 0.0021, 0)</f>
        <v>37.364399999999996</v>
      </c>
      <c r="F244" s="17">
        <f>37.3623 * CHOOSE(CONTROL!$C$9, $D$9, 100%, $F$9) + CHOOSE(CONTROL!$C$27, 0.0021, 0)</f>
        <v>37.364399999999996</v>
      </c>
      <c r="G244" s="17">
        <f>37.6337 * CHOOSE(CONTROL!$C$9, $D$9, 100%, $F$9) + CHOOSE(CONTROL!$C$27, 0.0021, 0)</f>
        <v>37.635799999999996</v>
      </c>
      <c r="H244" s="17">
        <f>37.4989 * CHOOSE(CONTROL!$C$9, $D$9, 100%, $F$9) + CHOOSE(CONTROL!$C$27, 0.0021, 0)</f>
        <v>37.500999999999998</v>
      </c>
      <c r="I244" s="17">
        <f>37.4989 * CHOOSE(CONTROL!$C$9, $D$9, 100%, $F$9) + CHOOSE(CONTROL!$C$27, 0.0021, 0)</f>
        <v>37.500999999999998</v>
      </c>
      <c r="J244" s="17">
        <f>37.4989 * CHOOSE(CONTROL!$C$9, $D$9, 100%, $F$9) + CHOOSE(CONTROL!$C$27, 0.0021, 0)</f>
        <v>37.500999999999998</v>
      </c>
      <c r="K244" s="17">
        <f>37.4989 * CHOOSE(CONTROL!$C$9, $D$9, 100%, $F$9) + CHOOSE(CONTROL!$C$27, 0.0021, 0)</f>
        <v>37.500999999999998</v>
      </c>
      <c r="L244" s="17"/>
    </row>
    <row r="245" spans="1:12" ht="15" x14ac:dyDescent="0.2">
      <c r="A245" s="16">
        <v>48366</v>
      </c>
      <c r="B245" s="17">
        <f>38.3703 * CHOOSE(CONTROL!$C$9, $D$9, 100%, $F$9) + CHOOSE(CONTROL!$C$27, 0.0021, 0)</f>
        <v>38.372399999999999</v>
      </c>
      <c r="C245" s="17">
        <f>37.938 * CHOOSE(CONTROL!$C$9, $D$9, 100%, $F$9) + CHOOSE(CONTROL!$C$27, 0.0021, 0)</f>
        <v>37.940100000000001</v>
      </c>
      <c r="D245" s="17">
        <f>37.938 * CHOOSE(CONTROL!$C$9, $D$9, 100%, $F$9) + CHOOSE(CONTROL!$C$27, 0.0021, 0)</f>
        <v>37.940100000000001</v>
      </c>
      <c r="E245" s="17">
        <f>37.8014 * CHOOSE(CONTROL!$C$9, $D$9, 100%, $F$9) + CHOOSE(CONTROL!$C$27, 0.0021, 0)</f>
        <v>37.8035</v>
      </c>
      <c r="F245" s="17">
        <f>37.8014 * CHOOSE(CONTROL!$C$9, $D$9, 100%, $F$9) + CHOOSE(CONTROL!$C$27, 0.0021, 0)</f>
        <v>37.8035</v>
      </c>
      <c r="G245" s="17">
        <f>38.0727 * CHOOSE(CONTROL!$C$9, $D$9, 100%, $F$9) + CHOOSE(CONTROL!$C$27, 0.0021, 0)</f>
        <v>38.074799999999996</v>
      </c>
      <c r="H245" s="17">
        <f>37.938 * CHOOSE(CONTROL!$C$9, $D$9, 100%, $F$9) + CHOOSE(CONTROL!$C$27, 0.0021, 0)</f>
        <v>37.940100000000001</v>
      </c>
      <c r="I245" s="17">
        <f>37.938 * CHOOSE(CONTROL!$C$9, $D$9, 100%, $F$9) + CHOOSE(CONTROL!$C$27, 0.0021, 0)</f>
        <v>37.940100000000001</v>
      </c>
      <c r="J245" s="17">
        <f>37.938 * CHOOSE(CONTROL!$C$9, $D$9, 100%, $F$9) + CHOOSE(CONTROL!$C$27, 0.0021, 0)</f>
        <v>37.940100000000001</v>
      </c>
      <c r="K245" s="17">
        <f>37.938 * CHOOSE(CONTROL!$C$9, $D$9, 100%, $F$9) + CHOOSE(CONTROL!$C$27, 0.0021, 0)</f>
        <v>37.940100000000001</v>
      </c>
      <c r="L245" s="17"/>
    </row>
    <row r="246" spans="1:12" ht="15" x14ac:dyDescent="0.2">
      <c r="A246" s="16">
        <v>48396</v>
      </c>
      <c r="B246" s="17">
        <f>39.0945 * CHOOSE(CONTROL!$C$9, $D$9, 100%, $F$9) + CHOOSE(CONTROL!$C$27, 0.0021, 0)</f>
        <v>39.096599999999995</v>
      </c>
      <c r="C246" s="17">
        <f>38.6623 * CHOOSE(CONTROL!$C$9, $D$9, 100%, $F$9) + CHOOSE(CONTROL!$C$27, 0.0021, 0)</f>
        <v>38.664400000000001</v>
      </c>
      <c r="D246" s="17">
        <f>38.6623 * CHOOSE(CONTROL!$C$9, $D$9, 100%, $F$9) + CHOOSE(CONTROL!$C$27, 0.0021, 0)</f>
        <v>38.664400000000001</v>
      </c>
      <c r="E246" s="17">
        <f>38.5256 * CHOOSE(CONTROL!$C$9, $D$9, 100%, $F$9) + CHOOSE(CONTROL!$C$27, 0.0021, 0)</f>
        <v>38.527699999999996</v>
      </c>
      <c r="F246" s="17">
        <f>38.5256 * CHOOSE(CONTROL!$C$9, $D$9, 100%, $F$9) + CHOOSE(CONTROL!$C$27, 0.0021, 0)</f>
        <v>38.527699999999996</v>
      </c>
      <c r="G246" s="17">
        <f>38.797 * CHOOSE(CONTROL!$C$9, $D$9, 100%, $F$9) + CHOOSE(CONTROL!$C$27, 0.0021, 0)</f>
        <v>38.799099999999996</v>
      </c>
      <c r="H246" s="17">
        <f>38.6623 * CHOOSE(CONTROL!$C$9, $D$9, 100%, $F$9) + CHOOSE(CONTROL!$C$27, 0.0021, 0)</f>
        <v>38.664400000000001</v>
      </c>
      <c r="I246" s="17">
        <f>38.6623 * CHOOSE(CONTROL!$C$9, $D$9, 100%, $F$9) + CHOOSE(CONTROL!$C$27, 0.0021, 0)</f>
        <v>38.664400000000001</v>
      </c>
      <c r="J246" s="17">
        <f>38.6623 * CHOOSE(CONTROL!$C$9, $D$9, 100%, $F$9) + CHOOSE(CONTROL!$C$27, 0.0021, 0)</f>
        <v>38.664400000000001</v>
      </c>
      <c r="K246" s="17">
        <f>38.6623 * CHOOSE(CONTROL!$C$9, $D$9, 100%, $F$9) + CHOOSE(CONTROL!$C$27, 0.0021, 0)</f>
        <v>38.664400000000001</v>
      </c>
      <c r="L246" s="17"/>
    </row>
    <row r="247" spans="1:12" ht="15" x14ac:dyDescent="0.2">
      <c r="A247" s="16">
        <v>48427</v>
      </c>
      <c r="B247" s="17">
        <f>39.3156 * CHOOSE(CONTROL!$C$9, $D$9, 100%, $F$9) + CHOOSE(CONTROL!$C$27, 0.0021, 0)</f>
        <v>39.317700000000002</v>
      </c>
      <c r="C247" s="17">
        <f>38.8834 * CHOOSE(CONTROL!$C$9, $D$9, 100%, $F$9) + CHOOSE(CONTROL!$C$27, 0.0021, 0)</f>
        <v>38.8855</v>
      </c>
      <c r="D247" s="17">
        <f>38.8834 * CHOOSE(CONTROL!$C$9, $D$9, 100%, $F$9) + CHOOSE(CONTROL!$C$27, 0.0021, 0)</f>
        <v>38.8855</v>
      </c>
      <c r="E247" s="17">
        <f>38.7467 * CHOOSE(CONTROL!$C$9, $D$9, 100%, $F$9) + CHOOSE(CONTROL!$C$27, 0.0021, 0)</f>
        <v>38.748799999999996</v>
      </c>
      <c r="F247" s="17">
        <f>38.7467 * CHOOSE(CONTROL!$C$9, $D$9, 100%, $F$9) + CHOOSE(CONTROL!$C$27, 0.0021, 0)</f>
        <v>38.748799999999996</v>
      </c>
      <c r="G247" s="17">
        <f>39.0181 * CHOOSE(CONTROL!$C$9, $D$9, 100%, $F$9) + CHOOSE(CONTROL!$C$27, 0.0021, 0)</f>
        <v>39.020199999999996</v>
      </c>
      <c r="H247" s="17">
        <f>38.8834 * CHOOSE(CONTROL!$C$9, $D$9, 100%, $F$9) + CHOOSE(CONTROL!$C$27, 0.0021, 0)</f>
        <v>38.8855</v>
      </c>
      <c r="I247" s="17">
        <f>38.8834 * CHOOSE(CONTROL!$C$9, $D$9, 100%, $F$9) + CHOOSE(CONTROL!$C$27, 0.0021, 0)</f>
        <v>38.8855</v>
      </c>
      <c r="J247" s="17">
        <f>38.8834 * CHOOSE(CONTROL!$C$9, $D$9, 100%, $F$9) + CHOOSE(CONTROL!$C$27, 0.0021, 0)</f>
        <v>38.8855</v>
      </c>
      <c r="K247" s="17">
        <f>38.8834 * CHOOSE(CONTROL!$C$9, $D$9, 100%, $F$9) + CHOOSE(CONTROL!$C$27, 0.0021, 0)</f>
        <v>38.8855</v>
      </c>
      <c r="L247" s="17"/>
    </row>
    <row r="248" spans="1:12" ht="15" x14ac:dyDescent="0.2">
      <c r="A248" s="16">
        <v>48458</v>
      </c>
      <c r="B248" s="17">
        <f>40.0685 * CHOOSE(CONTROL!$C$9, $D$9, 100%, $F$9) + CHOOSE(CONTROL!$C$27, 0.0021, 0)</f>
        <v>40.070599999999999</v>
      </c>
      <c r="C248" s="17">
        <f>39.6362 * CHOOSE(CONTROL!$C$9, $D$9, 100%, $F$9) + CHOOSE(CONTROL!$C$27, 0.0021, 0)</f>
        <v>39.638300000000001</v>
      </c>
      <c r="D248" s="17">
        <f>39.6362 * CHOOSE(CONTROL!$C$9, $D$9, 100%, $F$9) + CHOOSE(CONTROL!$C$27, 0.0021, 0)</f>
        <v>39.638300000000001</v>
      </c>
      <c r="E248" s="17">
        <f>39.4996 * CHOOSE(CONTROL!$C$9, $D$9, 100%, $F$9) + CHOOSE(CONTROL!$C$27, 0.0021, 0)</f>
        <v>39.5017</v>
      </c>
      <c r="F248" s="17">
        <f>39.4996 * CHOOSE(CONTROL!$C$9, $D$9, 100%, $F$9) + CHOOSE(CONTROL!$C$27, 0.0021, 0)</f>
        <v>39.5017</v>
      </c>
      <c r="G248" s="17">
        <f>39.771 * CHOOSE(CONTROL!$C$9, $D$9, 100%, $F$9) + CHOOSE(CONTROL!$C$27, 0.0021, 0)</f>
        <v>39.773099999999999</v>
      </c>
      <c r="H248" s="17">
        <f>39.6362 * CHOOSE(CONTROL!$C$9, $D$9, 100%, $F$9) + CHOOSE(CONTROL!$C$27, 0.0021, 0)</f>
        <v>39.638300000000001</v>
      </c>
      <c r="I248" s="17">
        <f>39.6362 * CHOOSE(CONTROL!$C$9, $D$9, 100%, $F$9) + CHOOSE(CONTROL!$C$27, 0.0021, 0)</f>
        <v>39.638300000000001</v>
      </c>
      <c r="J248" s="17">
        <f>39.6362 * CHOOSE(CONTROL!$C$9, $D$9, 100%, $F$9) + CHOOSE(CONTROL!$C$27, 0.0021, 0)</f>
        <v>39.638300000000001</v>
      </c>
      <c r="K248" s="17">
        <f>39.6362 * CHOOSE(CONTROL!$C$9, $D$9, 100%, $F$9) + CHOOSE(CONTROL!$C$27, 0.0021, 0)</f>
        <v>39.638300000000001</v>
      </c>
      <c r="L248" s="17"/>
    </row>
    <row r="249" spans="1:12" ht="15" x14ac:dyDescent="0.2">
      <c r="A249" s="16">
        <v>48488</v>
      </c>
      <c r="B249" s="17">
        <f>41.0215 * CHOOSE(CONTROL!$C$9, $D$9, 100%, $F$9) + CHOOSE(CONTROL!$C$27, 0.0021, 0)</f>
        <v>41.023600000000002</v>
      </c>
      <c r="C249" s="17">
        <f>40.5892 * CHOOSE(CONTROL!$C$9, $D$9, 100%, $F$9) + CHOOSE(CONTROL!$C$27, 0.0021, 0)</f>
        <v>40.591299999999997</v>
      </c>
      <c r="D249" s="17">
        <f>40.5892 * CHOOSE(CONTROL!$C$9, $D$9, 100%, $F$9) + CHOOSE(CONTROL!$C$27, 0.0021, 0)</f>
        <v>40.591299999999997</v>
      </c>
      <c r="E249" s="17">
        <f>40.4526 * CHOOSE(CONTROL!$C$9, $D$9, 100%, $F$9) + CHOOSE(CONTROL!$C$27, 0.0021, 0)</f>
        <v>40.454699999999995</v>
      </c>
      <c r="F249" s="17">
        <f>40.4526 * CHOOSE(CONTROL!$C$9, $D$9, 100%, $F$9) + CHOOSE(CONTROL!$C$27, 0.0021, 0)</f>
        <v>40.454699999999995</v>
      </c>
      <c r="G249" s="17">
        <f>40.724 * CHOOSE(CONTROL!$C$9, $D$9, 100%, $F$9) + CHOOSE(CONTROL!$C$27, 0.0021, 0)</f>
        <v>40.726099999999995</v>
      </c>
      <c r="H249" s="17">
        <f>40.5892 * CHOOSE(CONTROL!$C$9, $D$9, 100%, $F$9) + CHOOSE(CONTROL!$C$27, 0.0021, 0)</f>
        <v>40.591299999999997</v>
      </c>
      <c r="I249" s="17">
        <f>40.5892 * CHOOSE(CONTROL!$C$9, $D$9, 100%, $F$9) + CHOOSE(CONTROL!$C$27, 0.0021, 0)</f>
        <v>40.591299999999997</v>
      </c>
      <c r="J249" s="17">
        <f>40.5892 * CHOOSE(CONTROL!$C$9, $D$9, 100%, $F$9) + CHOOSE(CONTROL!$C$27, 0.0021, 0)</f>
        <v>40.591299999999997</v>
      </c>
      <c r="K249" s="17">
        <f>40.5892 * CHOOSE(CONTROL!$C$9, $D$9, 100%, $F$9) + CHOOSE(CONTROL!$C$27, 0.0021, 0)</f>
        <v>40.591299999999997</v>
      </c>
      <c r="L249" s="17"/>
    </row>
    <row r="250" spans="1:12" ht="15" x14ac:dyDescent="0.2">
      <c r="A250" s="16">
        <v>48519</v>
      </c>
      <c r="B250" s="17">
        <f>41.111 * CHOOSE(CONTROL!$C$9, $D$9, 100%, $F$9) + CHOOSE(CONTROL!$C$27, 0.0021, 0)</f>
        <v>41.113099999999996</v>
      </c>
      <c r="C250" s="17">
        <f>40.6787 * CHOOSE(CONTROL!$C$9, $D$9, 100%, $F$9) + CHOOSE(CONTROL!$C$27, 0.0021, 0)</f>
        <v>40.680799999999998</v>
      </c>
      <c r="D250" s="17">
        <f>40.6787 * CHOOSE(CONTROL!$C$9, $D$9, 100%, $F$9) + CHOOSE(CONTROL!$C$27, 0.0021, 0)</f>
        <v>40.680799999999998</v>
      </c>
      <c r="E250" s="17">
        <f>40.542 * CHOOSE(CONTROL!$C$9, $D$9, 100%, $F$9) + CHOOSE(CONTROL!$C$27, 0.0021, 0)</f>
        <v>40.5441</v>
      </c>
      <c r="F250" s="17">
        <f>40.542 * CHOOSE(CONTROL!$C$9, $D$9, 100%, $F$9) + CHOOSE(CONTROL!$C$27, 0.0021, 0)</f>
        <v>40.5441</v>
      </c>
      <c r="G250" s="17">
        <f>40.8134 * CHOOSE(CONTROL!$C$9, $D$9, 100%, $F$9) + CHOOSE(CONTROL!$C$27, 0.0021, 0)</f>
        <v>40.8155</v>
      </c>
      <c r="H250" s="17">
        <f>40.6787 * CHOOSE(CONTROL!$C$9, $D$9, 100%, $F$9) + CHOOSE(CONTROL!$C$27, 0.0021, 0)</f>
        <v>40.680799999999998</v>
      </c>
      <c r="I250" s="17">
        <f>40.6787 * CHOOSE(CONTROL!$C$9, $D$9, 100%, $F$9) + CHOOSE(CONTROL!$C$27, 0.0021, 0)</f>
        <v>40.680799999999998</v>
      </c>
      <c r="J250" s="17">
        <f>40.6787 * CHOOSE(CONTROL!$C$9, $D$9, 100%, $F$9) + CHOOSE(CONTROL!$C$27, 0.0021, 0)</f>
        <v>40.680799999999998</v>
      </c>
      <c r="K250" s="17">
        <f>40.6787 * CHOOSE(CONTROL!$C$9, $D$9, 100%, $F$9) + CHOOSE(CONTROL!$C$27, 0.0021, 0)</f>
        <v>40.680799999999998</v>
      </c>
      <c r="L250" s="17"/>
    </row>
    <row r="251" spans="1:12" ht="15" x14ac:dyDescent="0.2">
      <c r="A251" s="16">
        <v>48549</v>
      </c>
      <c r="B251" s="17">
        <f>40.3498 * CHOOSE(CONTROL!$C$9, $D$9, 100%, $F$9) + CHOOSE(CONTROL!$C$27, 0.0021, 0)</f>
        <v>40.351900000000001</v>
      </c>
      <c r="C251" s="17">
        <f>39.9176 * CHOOSE(CONTROL!$C$9, $D$9, 100%, $F$9) + CHOOSE(CONTROL!$C$27, 0.0021, 0)</f>
        <v>39.919699999999999</v>
      </c>
      <c r="D251" s="17">
        <f>39.9176 * CHOOSE(CONTROL!$C$9, $D$9, 100%, $F$9) + CHOOSE(CONTROL!$C$27, 0.0021, 0)</f>
        <v>39.919699999999999</v>
      </c>
      <c r="E251" s="17">
        <f>39.7809 * CHOOSE(CONTROL!$C$9, $D$9, 100%, $F$9) + CHOOSE(CONTROL!$C$27, 0.0021, 0)</f>
        <v>39.783000000000001</v>
      </c>
      <c r="F251" s="17">
        <f>39.7809 * CHOOSE(CONTROL!$C$9, $D$9, 100%, $F$9) + CHOOSE(CONTROL!$C$27, 0.0021, 0)</f>
        <v>39.783000000000001</v>
      </c>
      <c r="G251" s="17">
        <f>40.0523 * CHOOSE(CONTROL!$C$9, $D$9, 100%, $F$9) + CHOOSE(CONTROL!$C$27, 0.0021, 0)</f>
        <v>40.054400000000001</v>
      </c>
      <c r="H251" s="17">
        <f>39.9176 * CHOOSE(CONTROL!$C$9, $D$9, 100%, $F$9) + CHOOSE(CONTROL!$C$27, 0.0021, 0)</f>
        <v>39.919699999999999</v>
      </c>
      <c r="I251" s="17">
        <f>39.9176 * CHOOSE(CONTROL!$C$9, $D$9, 100%, $F$9) + CHOOSE(CONTROL!$C$27, 0.0021, 0)</f>
        <v>39.919699999999999</v>
      </c>
      <c r="J251" s="17">
        <f>39.9176 * CHOOSE(CONTROL!$C$9, $D$9, 100%, $F$9) + CHOOSE(CONTROL!$C$27, 0.0021, 0)</f>
        <v>39.919699999999999</v>
      </c>
      <c r="K251" s="17">
        <f>39.9176 * CHOOSE(CONTROL!$C$9, $D$9, 100%, $F$9) + CHOOSE(CONTROL!$C$27, 0.0021, 0)</f>
        <v>39.919699999999999</v>
      </c>
      <c r="L251" s="17"/>
    </row>
    <row r="252" spans="1:12" ht="15" x14ac:dyDescent="0.2">
      <c r="A252" s="16">
        <v>48580</v>
      </c>
      <c r="B252" s="17">
        <f>39.8687 * CHOOSE(CONTROL!$C$9, $D$9, 100%, $F$9) + CHOOSE(CONTROL!$C$27, 0.0021, 0)</f>
        <v>39.870799999999996</v>
      </c>
      <c r="C252" s="17">
        <f>39.4365 * CHOOSE(CONTROL!$C$9, $D$9, 100%, $F$9) + CHOOSE(CONTROL!$C$27, 0.0021, 0)</f>
        <v>39.438600000000001</v>
      </c>
      <c r="D252" s="17">
        <f>39.4365 * CHOOSE(CONTROL!$C$9, $D$9, 100%, $F$9) + CHOOSE(CONTROL!$C$27, 0.0021, 0)</f>
        <v>39.438600000000001</v>
      </c>
      <c r="E252" s="17">
        <f>39.2998 * CHOOSE(CONTROL!$C$9, $D$9, 100%, $F$9) + CHOOSE(CONTROL!$C$27, 0.0021, 0)</f>
        <v>39.301899999999996</v>
      </c>
      <c r="F252" s="17">
        <f>39.2998 * CHOOSE(CONTROL!$C$9, $D$9, 100%, $F$9) + CHOOSE(CONTROL!$C$27, 0.0021, 0)</f>
        <v>39.301899999999996</v>
      </c>
      <c r="G252" s="17">
        <f>39.5712 * CHOOSE(CONTROL!$C$9, $D$9, 100%, $F$9) + CHOOSE(CONTROL!$C$27, 0.0021, 0)</f>
        <v>39.573299999999996</v>
      </c>
      <c r="H252" s="17">
        <f>39.4365 * CHOOSE(CONTROL!$C$9, $D$9, 100%, $F$9) + CHOOSE(CONTROL!$C$27, 0.0021, 0)</f>
        <v>39.438600000000001</v>
      </c>
      <c r="I252" s="17">
        <f>39.4365 * CHOOSE(CONTROL!$C$9, $D$9, 100%, $F$9) + CHOOSE(CONTROL!$C$27, 0.0021, 0)</f>
        <v>39.438600000000001</v>
      </c>
      <c r="J252" s="17">
        <f>39.4365 * CHOOSE(CONTROL!$C$9, $D$9, 100%, $F$9) + CHOOSE(CONTROL!$C$27, 0.0021, 0)</f>
        <v>39.438600000000001</v>
      </c>
      <c r="K252" s="17">
        <f>39.4365 * CHOOSE(CONTROL!$C$9, $D$9, 100%, $F$9) + CHOOSE(CONTROL!$C$27, 0.0021, 0)</f>
        <v>39.438600000000001</v>
      </c>
      <c r="L252" s="17"/>
    </row>
    <row r="253" spans="1:12" ht="15" x14ac:dyDescent="0.2">
      <c r="A253" s="16">
        <v>48611</v>
      </c>
      <c r="B253" s="17">
        <f>38.8059 * CHOOSE(CONTROL!$C$9, $D$9, 100%, $F$9) + CHOOSE(CONTROL!$C$27, 0.0021, 0)</f>
        <v>38.808</v>
      </c>
      <c r="C253" s="17">
        <f>38.3736 * CHOOSE(CONTROL!$C$9, $D$9, 100%, $F$9) + CHOOSE(CONTROL!$C$27, 0.0021, 0)</f>
        <v>38.375700000000002</v>
      </c>
      <c r="D253" s="17">
        <f>38.3736 * CHOOSE(CONTROL!$C$9, $D$9, 100%, $F$9) + CHOOSE(CONTROL!$C$27, 0.0021, 0)</f>
        <v>38.375700000000002</v>
      </c>
      <c r="E253" s="17">
        <f>38.237 * CHOOSE(CONTROL!$C$9, $D$9, 100%, $F$9) + CHOOSE(CONTROL!$C$27, 0.0021, 0)</f>
        <v>38.239100000000001</v>
      </c>
      <c r="F253" s="17">
        <f>38.237 * CHOOSE(CONTROL!$C$9, $D$9, 100%, $F$9) + CHOOSE(CONTROL!$C$27, 0.0021, 0)</f>
        <v>38.239100000000001</v>
      </c>
      <c r="G253" s="17">
        <f>38.5083 * CHOOSE(CONTROL!$C$9, $D$9, 100%, $F$9) + CHOOSE(CONTROL!$C$27, 0.0021, 0)</f>
        <v>38.510399999999997</v>
      </c>
      <c r="H253" s="17">
        <f>38.3736 * CHOOSE(CONTROL!$C$9, $D$9, 100%, $F$9) + CHOOSE(CONTROL!$C$27, 0.0021, 0)</f>
        <v>38.375700000000002</v>
      </c>
      <c r="I253" s="17">
        <f>38.3736 * CHOOSE(CONTROL!$C$9, $D$9, 100%, $F$9) + CHOOSE(CONTROL!$C$27, 0.0021, 0)</f>
        <v>38.375700000000002</v>
      </c>
      <c r="J253" s="17">
        <f>38.3736 * CHOOSE(CONTROL!$C$9, $D$9, 100%, $F$9) + CHOOSE(CONTROL!$C$27, 0.0021, 0)</f>
        <v>38.375700000000002</v>
      </c>
      <c r="K253" s="17">
        <f>38.3736 * CHOOSE(CONTROL!$C$9, $D$9, 100%, $F$9) + CHOOSE(CONTROL!$C$27, 0.0021, 0)</f>
        <v>38.375700000000002</v>
      </c>
      <c r="L253" s="17"/>
    </row>
    <row r="254" spans="1:12" ht="15" x14ac:dyDescent="0.2">
      <c r="A254" s="16">
        <v>48639</v>
      </c>
      <c r="B254" s="17">
        <f>38.3671 * CHOOSE(CONTROL!$C$9, $D$9, 100%, $F$9) + CHOOSE(CONTROL!$C$27, 0.0021, 0)</f>
        <v>38.369199999999999</v>
      </c>
      <c r="C254" s="17">
        <f>37.9349 * CHOOSE(CONTROL!$C$9, $D$9, 100%, $F$9) + CHOOSE(CONTROL!$C$27, 0.0021, 0)</f>
        <v>37.936999999999998</v>
      </c>
      <c r="D254" s="17">
        <f>37.9349 * CHOOSE(CONTROL!$C$9, $D$9, 100%, $F$9) + CHOOSE(CONTROL!$C$27, 0.0021, 0)</f>
        <v>37.936999999999998</v>
      </c>
      <c r="E254" s="17">
        <f>37.7982 * CHOOSE(CONTROL!$C$9, $D$9, 100%, $F$9) + CHOOSE(CONTROL!$C$27, 0.0021, 0)</f>
        <v>37.8003</v>
      </c>
      <c r="F254" s="17">
        <f>37.7982 * CHOOSE(CONTROL!$C$9, $D$9, 100%, $F$9) + CHOOSE(CONTROL!$C$27, 0.0021, 0)</f>
        <v>37.8003</v>
      </c>
      <c r="G254" s="17">
        <f>38.0696 * CHOOSE(CONTROL!$C$9, $D$9, 100%, $F$9) + CHOOSE(CONTROL!$C$27, 0.0021, 0)</f>
        <v>38.0717</v>
      </c>
      <c r="H254" s="17">
        <f>37.9349 * CHOOSE(CONTROL!$C$9, $D$9, 100%, $F$9) + CHOOSE(CONTROL!$C$27, 0.0021, 0)</f>
        <v>37.936999999999998</v>
      </c>
      <c r="I254" s="17">
        <f>37.9349 * CHOOSE(CONTROL!$C$9, $D$9, 100%, $F$9) + CHOOSE(CONTROL!$C$27, 0.0021, 0)</f>
        <v>37.936999999999998</v>
      </c>
      <c r="J254" s="17">
        <f>37.9349 * CHOOSE(CONTROL!$C$9, $D$9, 100%, $F$9) + CHOOSE(CONTROL!$C$27, 0.0021, 0)</f>
        <v>37.936999999999998</v>
      </c>
      <c r="K254" s="17">
        <f>37.9349 * CHOOSE(CONTROL!$C$9, $D$9, 100%, $F$9) + CHOOSE(CONTROL!$C$27, 0.0021, 0)</f>
        <v>37.936999999999998</v>
      </c>
      <c r="L254" s="17"/>
    </row>
    <row r="255" spans="1:12" ht="15" x14ac:dyDescent="0.2">
      <c r="A255" s="16">
        <v>48670</v>
      </c>
      <c r="B255" s="17">
        <f>37.8432 * CHOOSE(CONTROL!$C$9, $D$9, 100%, $F$9) + CHOOSE(CONTROL!$C$27, 0.0021, 0)</f>
        <v>37.845300000000002</v>
      </c>
      <c r="C255" s="17">
        <f>37.411 * CHOOSE(CONTROL!$C$9, $D$9, 100%, $F$9) + CHOOSE(CONTROL!$C$27, 0.0021, 0)</f>
        <v>37.4131</v>
      </c>
      <c r="D255" s="17">
        <f>37.411 * CHOOSE(CONTROL!$C$9, $D$9, 100%, $F$9) + CHOOSE(CONTROL!$C$27, 0.0021, 0)</f>
        <v>37.4131</v>
      </c>
      <c r="E255" s="17">
        <f>37.2743 * CHOOSE(CONTROL!$C$9, $D$9, 100%, $F$9) + CHOOSE(CONTROL!$C$27, 0.0021, 0)</f>
        <v>37.276399999999995</v>
      </c>
      <c r="F255" s="17">
        <f>37.2743 * CHOOSE(CONTROL!$C$9, $D$9, 100%, $F$9) + CHOOSE(CONTROL!$C$27, 0.0021, 0)</f>
        <v>37.276399999999995</v>
      </c>
      <c r="G255" s="17">
        <f>37.5457 * CHOOSE(CONTROL!$C$9, $D$9, 100%, $F$9) + CHOOSE(CONTROL!$C$27, 0.0021, 0)</f>
        <v>37.547799999999995</v>
      </c>
      <c r="H255" s="17">
        <f>37.411 * CHOOSE(CONTROL!$C$9, $D$9, 100%, $F$9) + CHOOSE(CONTROL!$C$27, 0.0021, 0)</f>
        <v>37.4131</v>
      </c>
      <c r="I255" s="17">
        <f>37.411 * CHOOSE(CONTROL!$C$9, $D$9, 100%, $F$9) + CHOOSE(CONTROL!$C$27, 0.0021, 0)</f>
        <v>37.4131</v>
      </c>
      <c r="J255" s="17">
        <f>37.411 * CHOOSE(CONTROL!$C$9, $D$9, 100%, $F$9) + CHOOSE(CONTROL!$C$27, 0.0021, 0)</f>
        <v>37.4131</v>
      </c>
      <c r="K255" s="17">
        <f>37.411 * CHOOSE(CONTROL!$C$9, $D$9, 100%, $F$9) + CHOOSE(CONTROL!$C$27, 0.0021, 0)</f>
        <v>37.4131</v>
      </c>
      <c r="L255" s="17"/>
    </row>
    <row r="256" spans="1:12" ht="15" x14ac:dyDescent="0.2">
      <c r="A256" s="16">
        <v>48700</v>
      </c>
      <c r="B256" s="17">
        <f>38.5898 * CHOOSE(CONTROL!$C$9, $D$9, 100%, $F$9) + CHOOSE(CONTROL!$C$27, 0.0021, 0)</f>
        <v>38.591899999999995</v>
      </c>
      <c r="C256" s="17">
        <f>38.1576 * CHOOSE(CONTROL!$C$9, $D$9, 100%, $F$9) + CHOOSE(CONTROL!$C$27, 0.0021, 0)</f>
        <v>38.159700000000001</v>
      </c>
      <c r="D256" s="17">
        <f>38.1576 * CHOOSE(CONTROL!$C$9, $D$9, 100%, $F$9) + CHOOSE(CONTROL!$C$27, 0.0021, 0)</f>
        <v>38.159700000000001</v>
      </c>
      <c r="E256" s="17">
        <f>38.0209 * CHOOSE(CONTROL!$C$9, $D$9, 100%, $F$9) + CHOOSE(CONTROL!$C$27, 0.0021, 0)</f>
        <v>38.022999999999996</v>
      </c>
      <c r="F256" s="17">
        <f>38.0209 * CHOOSE(CONTROL!$C$9, $D$9, 100%, $F$9) + CHOOSE(CONTROL!$C$27, 0.0021, 0)</f>
        <v>38.022999999999996</v>
      </c>
      <c r="G256" s="17">
        <f>38.2923 * CHOOSE(CONTROL!$C$9, $D$9, 100%, $F$9) + CHOOSE(CONTROL!$C$27, 0.0021, 0)</f>
        <v>38.294399999999996</v>
      </c>
      <c r="H256" s="17">
        <f>38.1576 * CHOOSE(CONTROL!$C$9, $D$9, 100%, $F$9) + CHOOSE(CONTROL!$C$27, 0.0021, 0)</f>
        <v>38.159700000000001</v>
      </c>
      <c r="I256" s="17">
        <f>38.1576 * CHOOSE(CONTROL!$C$9, $D$9, 100%, $F$9) + CHOOSE(CONTROL!$C$27, 0.0021, 0)</f>
        <v>38.159700000000001</v>
      </c>
      <c r="J256" s="17">
        <f>38.1576 * CHOOSE(CONTROL!$C$9, $D$9, 100%, $F$9) + CHOOSE(CONTROL!$C$27, 0.0021, 0)</f>
        <v>38.159700000000001</v>
      </c>
      <c r="K256" s="17">
        <f>38.1576 * CHOOSE(CONTROL!$C$9, $D$9, 100%, $F$9) + CHOOSE(CONTROL!$C$27, 0.0021, 0)</f>
        <v>38.159700000000001</v>
      </c>
      <c r="L256" s="17"/>
    </row>
    <row r="257" spans="1:12" ht="15" x14ac:dyDescent="0.2">
      <c r="A257" s="16">
        <v>48731</v>
      </c>
      <c r="B257" s="17">
        <f>39.037 * CHOOSE(CONTROL!$C$9, $D$9, 100%, $F$9) + CHOOSE(CONTROL!$C$27, 0.0021, 0)</f>
        <v>39.039099999999998</v>
      </c>
      <c r="C257" s="17">
        <f>38.6048 * CHOOSE(CONTROL!$C$9, $D$9, 100%, $F$9) + CHOOSE(CONTROL!$C$27, 0.0021, 0)</f>
        <v>38.606899999999996</v>
      </c>
      <c r="D257" s="17">
        <f>38.6048 * CHOOSE(CONTROL!$C$9, $D$9, 100%, $F$9) + CHOOSE(CONTROL!$C$27, 0.0021, 0)</f>
        <v>38.606899999999996</v>
      </c>
      <c r="E257" s="17">
        <f>38.4681 * CHOOSE(CONTROL!$C$9, $D$9, 100%, $F$9) + CHOOSE(CONTROL!$C$27, 0.0021, 0)</f>
        <v>38.470199999999998</v>
      </c>
      <c r="F257" s="17">
        <f>38.4681 * CHOOSE(CONTROL!$C$9, $D$9, 100%, $F$9) + CHOOSE(CONTROL!$C$27, 0.0021, 0)</f>
        <v>38.470199999999998</v>
      </c>
      <c r="G257" s="17">
        <f>38.7395 * CHOOSE(CONTROL!$C$9, $D$9, 100%, $F$9) + CHOOSE(CONTROL!$C$27, 0.0021, 0)</f>
        <v>38.741599999999998</v>
      </c>
      <c r="H257" s="17">
        <f>38.6048 * CHOOSE(CONTROL!$C$9, $D$9, 100%, $F$9) + CHOOSE(CONTROL!$C$27, 0.0021, 0)</f>
        <v>38.606899999999996</v>
      </c>
      <c r="I257" s="17">
        <f>38.6048 * CHOOSE(CONTROL!$C$9, $D$9, 100%, $F$9) + CHOOSE(CONTROL!$C$27, 0.0021, 0)</f>
        <v>38.606899999999996</v>
      </c>
      <c r="J257" s="17">
        <f>38.6048 * CHOOSE(CONTROL!$C$9, $D$9, 100%, $F$9) + CHOOSE(CONTROL!$C$27, 0.0021, 0)</f>
        <v>38.606899999999996</v>
      </c>
      <c r="K257" s="17">
        <f>38.6048 * CHOOSE(CONTROL!$C$9, $D$9, 100%, $F$9) + CHOOSE(CONTROL!$C$27, 0.0021, 0)</f>
        <v>38.606899999999996</v>
      </c>
      <c r="L257" s="17"/>
    </row>
    <row r="258" spans="1:12" ht="15" x14ac:dyDescent="0.2">
      <c r="A258" s="16">
        <v>48761</v>
      </c>
      <c r="B258" s="17">
        <f>39.7747 * CHOOSE(CONTROL!$C$9, $D$9, 100%, $F$9) + CHOOSE(CONTROL!$C$27, 0.0021, 0)</f>
        <v>39.776800000000001</v>
      </c>
      <c r="C258" s="17">
        <f>39.3424 * CHOOSE(CONTROL!$C$9, $D$9, 100%, $F$9) + CHOOSE(CONTROL!$C$27, 0.0021, 0)</f>
        <v>39.344499999999996</v>
      </c>
      <c r="D258" s="17">
        <f>39.3424 * CHOOSE(CONTROL!$C$9, $D$9, 100%, $F$9) + CHOOSE(CONTROL!$C$27, 0.0021, 0)</f>
        <v>39.344499999999996</v>
      </c>
      <c r="E258" s="17">
        <f>39.2058 * CHOOSE(CONTROL!$C$9, $D$9, 100%, $F$9) + CHOOSE(CONTROL!$C$27, 0.0021, 0)</f>
        <v>39.207900000000002</v>
      </c>
      <c r="F258" s="17">
        <f>39.2058 * CHOOSE(CONTROL!$C$9, $D$9, 100%, $F$9) + CHOOSE(CONTROL!$C$27, 0.0021, 0)</f>
        <v>39.207900000000002</v>
      </c>
      <c r="G258" s="17">
        <f>39.4771 * CHOOSE(CONTROL!$C$9, $D$9, 100%, $F$9) + CHOOSE(CONTROL!$C$27, 0.0021, 0)</f>
        <v>39.479199999999999</v>
      </c>
      <c r="H258" s="17">
        <f>39.3424 * CHOOSE(CONTROL!$C$9, $D$9, 100%, $F$9) + CHOOSE(CONTROL!$C$27, 0.0021, 0)</f>
        <v>39.344499999999996</v>
      </c>
      <c r="I258" s="17">
        <f>39.3424 * CHOOSE(CONTROL!$C$9, $D$9, 100%, $F$9) + CHOOSE(CONTROL!$C$27, 0.0021, 0)</f>
        <v>39.344499999999996</v>
      </c>
      <c r="J258" s="17">
        <f>39.3424 * CHOOSE(CONTROL!$C$9, $D$9, 100%, $F$9) + CHOOSE(CONTROL!$C$27, 0.0021, 0)</f>
        <v>39.344499999999996</v>
      </c>
      <c r="K258" s="17">
        <f>39.3424 * CHOOSE(CONTROL!$C$9, $D$9, 100%, $F$9) + CHOOSE(CONTROL!$C$27, 0.0021, 0)</f>
        <v>39.344499999999996</v>
      </c>
      <c r="L258" s="17"/>
    </row>
    <row r="259" spans="1:12" ht="15" x14ac:dyDescent="0.2">
      <c r="A259" s="16">
        <v>48792</v>
      </c>
      <c r="B259" s="17">
        <f>39.9998 * CHOOSE(CONTROL!$C$9, $D$9, 100%, $F$9) + CHOOSE(CONTROL!$C$27, 0.0021, 0)</f>
        <v>40.001899999999999</v>
      </c>
      <c r="C259" s="17">
        <f>39.5676 * CHOOSE(CONTROL!$C$9, $D$9, 100%, $F$9) + CHOOSE(CONTROL!$C$27, 0.0021, 0)</f>
        <v>39.569699999999997</v>
      </c>
      <c r="D259" s="17">
        <f>39.5676 * CHOOSE(CONTROL!$C$9, $D$9, 100%, $F$9) + CHOOSE(CONTROL!$C$27, 0.0021, 0)</f>
        <v>39.569699999999997</v>
      </c>
      <c r="E259" s="17">
        <f>39.4309 * CHOOSE(CONTROL!$C$9, $D$9, 100%, $F$9) + CHOOSE(CONTROL!$C$27, 0.0021, 0)</f>
        <v>39.433</v>
      </c>
      <c r="F259" s="17">
        <f>39.4309 * CHOOSE(CONTROL!$C$9, $D$9, 100%, $F$9) + CHOOSE(CONTROL!$C$27, 0.0021, 0)</f>
        <v>39.433</v>
      </c>
      <c r="G259" s="17">
        <f>39.7023 * CHOOSE(CONTROL!$C$9, $D$9, 100%, $F$9) + CHOOSE(CONTROL!$C$27, 0.0021, 0)</f>
        <v>39.7044</v>
      </c>
      <c r="H259" s="17">
        <f>39.5676 * CHOOSE(CONTROL!$C$9, $D$9, 100%, $F$9) + CHOOSE(CONTROL!$C$27, 0.0021, 0)</f>
        <v>39.569699999999997</v>
      </c>
      <c r="I259" s="17">
        <f>39.5676 * CHOOSE(CONTROL!$C$9, $D$9, 100%, $F$9) + CHOOSE(CONTROL!$C$27, 0.0021, 0)</f>
        <v>39.569699999999997</v>
      </c>
      <c r="J259" s="17">
        <f>39.5676 * CHOOSE(CONTROL!$C$9, $D$9, 100%, $F$9) + CHOOSE(CONTROL!$C$27, 0.0021, 0)</f>
        <v>39.569699999999997</v>
      </c>
      <c r="K259" s="17">
        <f>39.5676 * CHOOSE(CONTROL!$C$9, $D$9, 100%, $F$9) + CHOOSE(CONTROL!$C$27, 0.0021, 0)</f>
        <v>39.569699999999997</v>
      </c>
      <c r="L259" s="17"/>
    </row>
    <row r="260" spans="1:12" ht="15" x14ac:dyDescent="0.2">
      <c r="A260" s="16">
        <v>48823</v>
      </c>
      <c r="B260" s="17">
        <f>40.7666 * CHOOSE(CONTROL!$C$9, $D$9, 100%, $F$9) + CHOOSE(CONTROL!$C$27, 0.0021, 0)</f>
        <v>40.768699999999995</v>
      </c>
      <c r="C260" s="17">
        <f>40.3344 * CHOOSE(CONTROL!$C$9, $D$9, 100%, $F$9) + CHOOSE(CONTROL!$C$27, 0.0021, 0)</f>
        <v>40.336500000000001</v>
      </c>
      <c r="D260" s="17">
        <f>40.3344 * CHOOSE(CONTROL!$C$9, $D$9, 100%, $F$9) + CHOOSE(CONTROL!$C$27, 0.0021, 0)</f>
        <v>40.336500000000001</v>
      </c>
      <c r="E260" s="17">
        <f>40.1977 * CHOOSE(CONTROL!$C$9, $D$9, 100%, $F$9) + CHOOSE(CONTROL!$C$27, 0.0021, 0)</f>
        <v>40.199799999999996</v>
      </c>
      <c r="F260" s="17">
        <f>40.1977 * CHOOSE(CONTROL!$C$9, $D$9, 100%, $F$9) + CHOOSE(CONTROL!$C$27, 0.0021, 0)</f>
        <v>40.199799999999996</v>
      </c>
      <c r="G260" s="17">
        <f>40.4691 * CHOOSE(CONTROL!$C$9, $D$9, 100%, $F$9) + CHOOSE(CONTROL!$C$27, 0.0021, 0)</f>
        <v>40.471199999999996</v>
      </c>
      <c r="H260" s="17">
        <f>40.3344 * CHOOSE(CONTROL!$C$9, $D$9, 100%, $F$9) + CHOOSE(CONTROL!$C$27, 0.0021, 0)</f>
        <v>40.336500000000001</v>
      </c>
      <c r="I260" s="17">
        <f>40.3344 * CHOOSE(CONTROL!$C$9, $D$9, 100%, $F$9) + CHOOSE(CONTROL!$C$27, 0.0021, 0)</f>
        <v>40.336500000000001</v>
      </c>
      <c r="J260" s="17">
        <f>40.3344 * CHOOSE(CONTROL!$C$9, $D$9, 100%, $F$9) + CHOOSE(CONTROL!$C$27, 0.0021, 0)</f>
        <v>40.336500000000001</v>
      </c>
      <c r="K260" s="17">
        <f>40.3344 * CHOOSE(CONTROL!$C$9, $D$9, 100%, $F$9) + CHOOSE(CONTROL!$C$27, 0.0021, 0)</f>
        <v>40.336500000000001</v>
      </c>
      <c r="L260" s="17"/>
    </row>
    <row r="261" spans="1:12" ht="15" x14ac:dyDescent="0.2">
      <c r="A261" s="16">
        <v>48853</v>
      </c>
      <c r="B261" s="17">
        <f>41.7372 * CHOOSE(CONTROL!$C$9, $D$9, 100%, $F$9) + CHOOSE(CONTROL!$C$27, 0.0021, 0)</f>
        <v>41.7393</v>
      </c>
      <c r="C261" s="17">
        <f>41.305 * CHOOSE(CONTROL!$C$9, $D$9, 100%, $F$9) + CHOOSE(CONTROL!$C$27, 0.0021, 0)</f>
        <v>41.307099999999998</v>
      </c>
      <c r="D261" s="17">
        <f>41.305 * CHOOSE(CONTROL!$C$9, $D$9, 100%, $F$9) + CHOOSE(CONTROL!$C$27, 0.0021, 0)</f>
        <v>41.307099999999998</v>
      </c>
      <c r="E261" s="17">
        <f>41.1683 * CHOOSE(CONTROL!$C$9, $D$9, 100%, $F$9) + CHOOSE(CONTROL!$C$27, 0.0021, 0)</f>
        <v>41.170400000000001</v>
      </c>
      <c r="F261" s="17">
        <f>41.1683 * CHOOSE(CONTROL!$C$9, $D$9, 100%, $F$9) + CHOOSE(CONTROL!$C$27, 0.0021, 0)</f>
        <v>41.170400000000001</v>
      </c>
      <c r="G261" s="17">
        <f>41.4397 * CHOOSE(CONTROL!$C$9, $D$9, 100%, $F$9) + CHOOSE(CONTROL!$C$27, 0.0021, 0)</f>
        <v>41.441800000000001</v>
      </c>
      <c r="H261" s="17">
        <f>41.305 * CHOOSE(CONTROL!$C$9, $D$9, 100%, $F$9) + CHOOSE(CONTROL!$C$27, 0.0021, 0)</f>
        <v>41.307099999999998</v>
      </c>
      <c r="I261" s="17">
        <f>41.305 * CHOOSE(CONTROL!$C$9, $D$9, 100%, $F$9) + CHOOSE(CONTROL!$C$27, 0.0021, 0)</f>
        <v>41.307099999999998</v>
      </c>
      <c r="J261" s="17">
        <f>41.305 * CHOOSE(CONTROL!$C$9, $D$9, 100%, $F$9) + CHOOSE(CONTROL!$C$27, 0.0021, 0)</f>
        <v>41.307099999999998</v>
      </c>
      <c r="K261" s="17">
        <f>41.305 * CHOOSE(CONTROL!$C$9, $D$9, 100%, $F$9) + CHOOSE(CONTROL!$C$27, 0.0021, 0)</f>
        <v>41.307099999999998</v>
      </c>
      <c r="L261" s="17"/>
    </row>
    <row r="262" spans="1:12" ht="15" x14ac:dyDescent="0.2">
      <c r="A262" s="16">
        <v>48884</v>
      </c>
      <c r="B262" s="17">
        <f>41.8283 * CHOOSE(CONTROL!$C$9, $D$9, 100%, $F$9) + CHOOSE(CONTROL!$C$27, 0.0021, 0)</f>
        <v>41.830399999999997</v>
      </c>
      <c r="C262" s="17">
        <f>41.3961 * CHOOSE(CONTROL!$C$9, $D$9, 100%, $F$9) + CHOOSE(CONTROL!$C$27, 0.0021, 0)</f>
        <v>41.398199999999996</v>
      </c>
      <c r="D262" s="17">
        <f>41.3961 * CHOOSE(CONTROL!$C$9, $D$9, 100%, $F$9) + CHOOSE(CONTROL!$C$27, 0.0021, 0)</f>
        <v>41.398199999999996</v>
      </c>
      <c r="E262" s="17">
        <f>41.2594 * CHOOSE(CONTROL!$C$9, $D$9, 100%, $F$9) + CHOOSE(CONTROL!$C$27, 0.0021, 0)</f>
        <v>41.261499999999998</v>
      </c>
      <c r="F262" s="17">
        <f>41.2594 * CHOOSE(CONTROL!$C$9, $D$9, 100%, $F$9) + CHOOSE(CONTROL!$C$27, 0.0021, 0)</f>
        <v>41.261499999999998</v>
      </c>
      <c r="G262" s="17">
        <f>41.5308 * CHOOSE(CONTROL!$C$9, $D$9, 100%, $F$9) + CHOOSE(CONTROL!$C$27, 0.0021, 0)</f>
        <v>41.532899999999998</v>
      </c>
      <c r="H262" s="17">
        <f>41.3961 * CHOOSE(CONTROL!$C$9, $D$9, 100%, $F$9) + CHOOSE(CONTROL!$C$27, 0.0021, 0)</f>
        <v>41.398199999999996</v>
      </c>
      <c r="I262" s="17">
        <f>41.3961 * CHOOSE(CONTROL!$C$9, $D$9, 100%, $F$9) + CHOOSE(CONTROL!$C$27, 0.0021, 0)</f>
        <v>41.398199999999996</v>
      </c>
      <c r="J262" s="17">
        <f>41.3961 * CHOOSE(CONTROL!$C$9, $D$9, 100%, $F$9) + CHOOSE(CONTROL!$C$27, 0.0021, 0)</f>
        <v>41.398199999999996</v>
      </c>
      <c r="K262" s="17">
        <f>41.3961 * CHOOSE(CONTROL!$C$9, $D$9, 100%, $F$9) + CHOOSE(CONTROL!$C$27, 0.0021, 0)</f>
        <v>41.398199999999996</v>
      </c>
      <c r="L262" s="17"/>
    </row>
    <row r="263" spans="1:12" ht="15" x14ac:dyDescent="0.2">
      <c r="A263" s="16">
        <v>48914</v>
      </c>
      <c r="B263" s="17">
        <f>41.0531 * CHOOSE(CONTROL!$C$9, $D$9, 100%, $F$9) + CHOOSE(CONTROL!$C$27, 0.0021, 0)</f>
        <v>41.055199999999999</v>
      </c>
      <c r="C263" s="17">
        <f>40.6209 * CHOOSE(CONTROL!$C$9, $D$9, 100%, $F$9) + CHOOSE(CONTROL!$C$27, 0.0021, 0)</f>
        <v>40.622999999999998</v>
      </c>
      <c r="D263" s="17">
        <f>40.6209 * CHOOSE(CONTROL!$C$9, $D$9, 100%, $F$9) + CHOOSE(CONTROL!$C$27, 0.0021, 0)</f>
        <v>40.622999999999998</v>
      </c>
      <c r="E263" s="17">
        <f>40.4842 * CHOOSE(CONTROL!$C$9, $D$9, 100%, $F$9) + CHOOSE(CONTROL!$C$27, 0.0021, 0)</f>
        <v>40.4863</v>
      </c>
      <c r="F263" s="17">
        <f>40.4842 * CHOOSE(CONTROL!$C$9, $D$9, 100%, $F$9) + CHOOSE(CONTROL!$C$27, 0.0021, 0)</f>
        <v>40.4863</v>
      </c>
      <c r="G263" s="17">
        <f>40.7556 * CHOOSE(CONTROL!$C$9, $D$9, 100%, $F$9) + CHOOSE(CONTROL!$C$27, 0.0021, 0)</f>
        <v>40.7577</v>
      </c>
      <c r="H263" s="17">
        <f>40.6209 * CHOOSE(CONTROL!$C$9, $D$9, 100%, $F$9) + CHOOSE(CONTROL!$C$27, 0.0021, 0)</f>
        <v>40.622999999999998</v>
      </c>
      <c r="I263" s="17">
        <f>40.6209 * CHOOSE(CONTROL!$C$9, $D$9, 100%, $F$9) + CHOOSE(CONTROL!$C$27, 0.0021, 0)</f>
        <v>40.622999999999998</v>
      </c>
      <c r="J263" s="17">
        <f>40.6209 * CHOOSE(CONTROL!$C$9, $D$9, 100%, $F$9) + CHOOSE(CONTROL!$C$27, 0.0021, 0)</f>
        <v>40.622999999999998</v>
      </c>
      <c r="K263" s="17">
        <f>40.6209 * CHOOSE(CONTROL!$C$9, $D$9, 100%, $F$9) + CHOOSE(CONTROL!$C$27, 0.0021, 0)</f>
        <v>40.622999999999998</v>
      </c>
      <c r="L263" s="17"/>
    </row>
    <row r="264" spans="1:12" ht="15" x14ac:dyDescent="0.2">
      <c r="A264" s="16">
        <v>48945</v>
      </c>
      <c r="B264" s="17">
        <f>40.5632 * CHOOSE(CONTROL!$C$9, $D$9, 100%, $F$9) + CHOOSE(CONTROL!$C$27, 0.0021, 0)</f>
        <v>40.565300000000001</v>
      </c>
      <c r="C264" s="17">
        <f>40.1309 * CHOOSE(CONTROL!$C$9, $D$9, 100%, $F$9) + CHOOSE(CONTROL!$C$27, 0.0021, 0)</f>
        <v>40.132999999999996</v>
      </c>
      <c r="D264" s="17">
        <f>40.1309 * CHOOSE(CONTROL!$C$9, $D$9, 100%, $F$9) + CHOOSE(CONTROL!$C$27, 0.0021, 0)</f>
        <v>40.132999999999996</v>
      </c>
      <c r="E264" s="17">
        <f>39.9943 * CHOOSE(CONTROL!$C$9, $D$9, 100%, $F$9) + CHOOSE(CONTROL!$C$27, 0.0021, 0)</f>
        <v>39.996400000000001</v>
      </c>
      <c r="F264" s="17">
        <f>39.9943 * CHOOSE(CONTROL!$C$9, $D$9, 100%, $F$9) + CHOOSE(CONTROL!$C$27, 0.0021, 0)</f>
        <v>39.996400000000001</v>
      </c>
      <c r="G264" s="17">
        <f>40.2656 * CHOOSE(CONTROL!$C$9, $D$9, 100%, $F$9) + CHOOSE(CONTROL!$C$27, 0.0021, 0)</f>
        <v>40.267699999999998</v>
      </c>
      <c r="H264" s="17">
        <f>40.1309 * CHOOSE(CONTROL!$C$9, $D$9, 100%, $F$9) + CHOOSE(CONTROL!$C$27, 0.0021, 0)</f>
        <v>40.132999999999996</v>
      </c>
      <c r="I264" s="17">
        <f>40.1309 * CHOOSE(CONTROL!$C$9, $D$9, 100%, $F$9) + CHOOSE(CONTROL!$C$27, 0.0021, 0)</f>
        <v>40.132999999999996</v>
      </c>
      <c r="J264" s="17">
        <f>40.1309 * CHOOSE(CONTROL!$C$9, $D$9, 100%, $F$9) + CHOOSE(CONTROL!$C$27, 0.0021, 0)</f>
        <v>40.132999999999996</v>
      </c>
      <c r="K264" s="17">
        <f>40.1309 * CHOOSE(CONTROL!$C$9, $D$9, 100%, $F$9) + CHOOSE(CONTROL!$C$27, 0.0021, 0)</f>
        <v>40.132999999999996</v>
      </c>
      <c r="L264" s="17"/>
    </row>
    <row r="265" spans="1:12" ht="15" x14ac:dyDescent="0.2">
      <c r="A265" s="16">
        <v>48976</v>
      </c>
      <c r="B265" s="17">
        <f>39.4807 * CHOOSE(CONTROL!$C$9, $D$9, 100%, $F$9) + CHOOSE(CONTROL!$C$27, 0.0021, 0)</f>
        <v>39.482799999999997</v>
      </c>
      <c r="C265" s="17">
        <f>39.0484 * CHOOSE(CONTROL!$C$9, $D$9, 100%, $F$9) + CHOOSE(CONTROL!$C$27, 0.0021, 0)</f>
        <v>39.0505</v>
      </c>
      <c r="D265" s="17">
        <f>39.0484 * CHOOSE(CONTROL!$C$9, $D$9, 100%, $F$9) + CHOOSE(CONTROL!$C$27, 0.0021, 0)</f>
        <v>39.0505</v>
      </c>
      <c r="E265" s="17">
        <f>38.9118 * CHOOSE(CONTROL!$C$9, $D$9, 100%, $F$9) + CHOOSE(CONTROL!$C$27, 0.0021, 0)</f>
        <v>38.913899999999998</v>
      </c>
      <c r="F265" s="17">
        <f>38.9118 * CHOOSE(CONTROL!$C$9, $D$9, 100%, $F$9) + CHOOSE(CONTROL!$C$27, 0.0021, 0)</f>
        <v>38.913899999999998</v>
      </c>
      <c r="G265" s="17">
        <f>39.1831 * CHOOSE(CONTROL!$C$9, $D$9, 100%, $F$9) + CHOOSE(CONTROL!$C$27, 0.0021, 0)</f>
        <v>39.185200000000002</v>
      </c>
      <c r="H265" s="17">
        <f>39.0484 * CHOOSE(CONTROL!$C$9, $D$9, 100%, $F$9) + CHOOSE(CONTROL!$C$27, 0.0021, 0)</f>
        <v>39.0505</v>
      </c>
      <c r="I265" s="17">
        <f>39.0484 * CHOOSE(CONTROL!$C$9, $D$9, 100%, $F$9) + CHOOSE(CONTROL!$C$27, 0.0021, 0)</f>
        <v>39.0505</v>
      </c>
      <c r="J265" s="17">
        <f>39.0484 * CHOOSE(CONTROL!$C$9, $D$9, 100%, $F$9) + CHOOSE(CONTROL!$C$27, 0.0021, 0)</f>
        <v>39.0505</v>
      </c>
      <c r="K265" s="17">
        <f>39.0484 * CHOOSE(CONTROL!$C$9, $D$9, 100%, $F$9) + CHOOSE(CONTROL!$C$27, 0.0021, 0)</f>
        <v>39.0505</v>
      </c>
      <c r="L265" s="17"/>
    </row>
    <row r="266" spans="1:12" ht="15" x14ac:dyDescent="0.2">
      <c r="A266" s="16">
        <v>49004</v>
      </c>
      <c r="B266" s="17">
        <f>39.0338 * CHOOSE(CONTROL!$C$9, $D$9, 100%, $F$9) + CHOOSE(CONTROL!$C$27, 0.0021, 0)</f>
        <v>39.035899999999998</v>
      </c>
      <c r="C266" s="17">
        <f>38.6016 * CHOOSE(CONTROL!$C$9, $D$9, 100%, $F$9) + CHOOSE(CONTROL!$C$27, 0.0021, 0)</f>
        <v>38.603699999999996</v>
      </c>
      <c r="D266" s="17">
        <f>38.6016 * CHOOSE(CONTROL!$C$9, $D$9, 100%, $F$9) + CHOOSE(CONTROL!$C$27, 0.0021, 0)</f>
        <v>38.603699999999996</v>
      </c>
      <c r="E266" s="17">
        <f>38.4649 * CHOOSE(CONTROL!$C$9, $D$9, 100%, $F$9) + CHOOSE(CONTROL!$C$27, 0.0021, 0)</f>
        <v>38.466999999999999</v>
      </c>
      <c r="F266" s="17">
        <f>38.4649 * CHOOSE(CONTROL!$C$9, $D$9, 100%, $F$9) + CHOOSE(CONTROL!$C$27, 0.0021, 0)</f>
        <v>38.466999999999999</v>
      </c>
      <c r="G266" s="17">
        <f>38.7363 * CHOOSE(CONTROL!$C$9, $D$9, 100%, $F$9) + CHOOSE(CONTROL!$C$27, 0.0021, 0)</f>
        <v>38.738399999999999</v>
      </c>
      <c r="H266" s="17">
        <f>38.6016 * CHOOSE(CONTROL!$C$9, $D$9, 100%, $F$9) + CHOOSE(CONTROL!$C$27, 0.0021, 0)</f>
        <v>38.603699999999996</v>
      </c>
      <c r="I266" s="17">
        <f>38.6016 * CHOOSE(CONTROL!$C$9, $D$9, 100%, $F$9) + CHOOSE(CONTROL!$C$27, 0.0021, 0)</f>
        <v>38.603699999999996</v>
      </c>
      <c r="J266" s="17">
        <f>38.6016 * CHOOSE(CONTROL!$C$9, $D$9, 100%, $F$9) + CHOOSE(CONTROL!$C$27, 0.0021, 0)</f>
        <v>38.603699999999996</v>
      </c>
      <c r="K266" s="17">
        <f>38.6016 * CHOOSE(CONTROL!$C$9, $D$9, 100%, $F$9) + CHOOSE(CONTROL!$C$27, 0.0021, 0)</f>
        <v>38.603699999999996</v>
      </c>
      <c r="L266" s="17"/>
    </row>
    <row r="267" spans="1:12" ht="15" x14ac:dyDescent="0.2">
      <c r="A267" s="16">
        <v>49035</v>
      </c>
      <c r="B267" s="17">
        <f>38.5003 * CHOOSE(CONTROL!$C$9, $D$9, 100%, $F$9) + CHOOSE(CONTROL!$C$27, 0.0021, 0)</f>
        <v>38.502400000000002</v>
      </c>
      <c r="C267" s="17">
        <f>38.068 * CHOOSE(CONTROL!$C$9, $D$9, 100%, $F$9) + CHOOSE(CONTROL!$C$27, 0.0021, 0)</f>
        <v>38.070099999999996</v>
      </c>
      <c r="D267" s="17">
        <f>38.068 * CHOOSE(CONTROL!$C$9, $D$9, 100%, $F$9) + CHOOSE(CONTROL!$C$27, 0.0021, 0)</f>
        <v>38.070099999999996</v>
      </c>
      <c r="E267" s="17">
        <f>37.9313 * CHOOSE(CONTROL!$C$9, $D$9, 100%, $F$9) + CHOOSE(CONTROL!$C$27, 0.0021, 0)</f>
        <v>37.933399999999999</v>
      </c>
      <c r="F267" s="17">
        <f>37.9313 * CHOOSE(CONTROL!$C$9, $D$9, 100%, $F$9) + CHOOSE(CONTROL!$C$27, 0.0021, 0)</f>
        <v>37.933399999999999</v>
      </c>
      <c r="G267" s="17">
        <f>38.2027 * CHOOSE(CONTROL!$C$9, $D$9, 100%, $F$9) + CHOOSE(CONTROL!$C$27, 0.0021, 0)</f>
        <v>38.204799999999999</v>
      </c>
      <c r="H267" s="17">
        <f>38.068 * CHOOSE(CONTROL!$C$9, $D$9, 100%, $F$9) + CHOOSE(CONTROL!$C$27, 0.0021, 0)</f>
        <v>38.070099999999996</v>
      </c>
      <c r="I267" s="17">
        <f>38.068 * CHOOSE(CONTROL!$C$9, $D$9, 100%, $F$9) + CHOOSE(CONTROL!$C$27, 0.0021, 0)</f>
        <v>38.070099999999996</v>
      </c>
      <c r="J267" s="17">
        <f>38.068 * CHOOSE(CONTROL!$C$9, $D$9, 100%, $F$9) + CHOOSE(CONTROL!$C$27, 0.0021, 0)</f>
        <v>38.070099999999996</v>
      </c>
      <c r="K267" s="17">
        <f>38.068 * CHOOSE(CONTROL!$C$9, $D$9, 100%, $F$9) + CHOOSE(CONTROL!$C$27, 0.0021, 0)</f>
        <v>38.070099999999996</v>
      </c>
      <c r="L267" s="17"/>
    </row>
    <row r="268" spans="1:12" ht="15" x14ac:dyDescent="0.2">
      <c r="A268" s="16">
        <v>49065</v>
      </c>
      <c r="B268" s="17">
        <f>39.2606 * CHOOSE(CONTROL!$C$9, $D$9, 100%, $F$9) + CHOOSE(CONTROL!$C$27, 0.0021, 0)</f>
        <v>39.262699999999995</v>
      </c>
      <c r="C268" s="17">
        <f>38.8284 * CHOOSE(CONTROL!$C$9, $D$9, 100%, $F$9) + CHOOSE(CONTROL!$C$27, 0.0021, 0)</f>
        <v>38.830500000000001</v>
      </c>
      <c r="D268" s="17">
        <f>38.8284 * CHOOSE(CONTROL!$C$9, $D$9, 100%, $F$9) + CHOOSE(CONTROL!$C$27, 0.0021, 0)</f>
        <v>38.830500000000001</v>
      </c>
      <c r="E268" s="17">
        <f>38.6917 * CHOOSE(CONTROL!$C$9, $D$9, 100%, $F$9) + CHOOSE(CONTROL!$C$27, 0.0021, 0)</f>
        <v>38.693799999999996</v>
      </c>
      <c r="F268" s="17">
        <f>38.6917 * CHOOSE(CONTROL!$C$9, $D$9, 100%, $F$9) + CHOOSE(CONTROL!$C$27, 0.0021, 0)</f>
        <v>38.693799999999996</v>
      </c>
      <c r="G268" s="17">
        <f>38.9631 * CHOOSE(CONTROL!$C$9, $D$9, 100%, $F$9) + CHOOSE(CONTROL!$C$27, 0.0021, 0)</f>
        <v>38.965199999999996</v>
      </c>
      <c r="H268" s="17">
        <f>38.8284 * CHOOSE(CONTROL!$C$9, $D$9, 100%, $F$9) + CHOOSE(CONTROL!$C$27, 0.0021, 0)</f>
        <v>38.830500000000001</v>
      </c>
      <c r="I268" s="17">
        <f>38.8284 * CHOOSE(CONTROL!$C$9, $D$9, 100%, $F$9) + CHOOSE(CONTROL!$C$27, 0.0021, 0)</f>
        <v>38.830500000000001</v>
      </c>
      <c r="J268" s="17">
        <f>38.8284 * CHOOSE(CONTROL!$C$9, $D$9, 100%, $F$9) + CHOOSE(CONTROL!$C$27, 0.0021, 0)</f>
        <v>38.830500000000001</v>
      </c>
      <c r="K268" s="17">
        <f>38.8284 * CHOOSE(CONTROL!$C$9, $D$9, 100%, $F$9) + CHOOSE(CONTROL!$C$27, 0.0021, 0)</f>
        <v>38.830500000000001</v>
      </c>
      <c r="L268" s="17"/>
    </row>
    <row r="269" spans="1:12" ht="15" x14ac:dyDescent="0.2">
      <c r="A269" s="16">
        <v>49096</v>
      </c>
      <c r="B269" s="17">
        <f>39.7161 * CHOOSE(CONTROL!$C$9, $D$9, 100%, $F$9) + CHOOSE(CONTROL!$C$27, 0.0021, 0)</f>
        <v>39.718199999999996</v>
      </c>
      <c r="C269" s="17">
        <f>39.2838 * CHOOSE(CONTROL!$C$9, $D$9, 100%, $F$9) + CHOOSE(CONTROL!$C$27, 0.0021, 0)</f>
        <v>39.285899999999998</v>
      </c>
      <c r="D269" s="17">
        <f>39.2838 * CHOOSE(CONTROL!$C$9, $D$9, 100%, $F$9) + CHOOSE(CONTROL!$C$27, 0.0021, 0)</f>
        <v>39.285899999999998</v>
      </c>
      <c r="E269" s="17">
        <f>39.1472 * CHOOSE(CONTROL!$C$9, $D$9, 100%, $F$9) + CHOOSE(CONTROL!$C$27, 0.0021, 0)</f>
        <v>39.149299999999997</v>
      </c>
      <c r="F269" s="17">
        <f>39.1472 * CHOOSE(CONTROL!$C$9, $D$9, 100%, $F$9) + CHOOSE(CONTROL!$C$27, 0.0021, 0)</f>
        <v>39.149299999999997</v>
      </c>
      <c r="G269" s="17">
        <f>39.4185 * CHOOSE(CONTROL!$C$9, $D$9, 100%, $F$9) + CHOOSE(CONTROL!$C$27, 0.0021, 0)</f>
        <v>39.4206</v>
      </c>
      <c r="H269" s="17">
        <f>39.2838 * CHOOSE(CONTROL!$C$9, $D$9, 100%, $F$9) + CHOOSE(CONTROL!$C$27, 0.0021, 0)</f>
        <v>39.285899999999998</v>
      </c>
      <c r="I269" s="17">
        <f>39.2838 * CHOOSE(CONTROL!$C$9, $D$9, 100%, $F$9) + CHOOSE(CONTROL!$C$27, 0.0021, 0)</f>
        <v>39.285899999999998</v>
      </c>
      <c r="J269" s="17">
        <f>39.2838 * CHOOSE(CONTROL!$C$9, $D$9, 100%, $F$9) + CHOOSE(CONTROL!$C$27, 0.0021, 0)</f>
        <v>39.285899999999998</v>
      </c>
      <c r="K269" s="17">
        <f>39.2838 * CHOOSE(CONTROL!$C$9, $D$9, 100%, $F$9) + CHOOSE(CONTROL!$C$27, 0.0021, 0)</f>
        <v>39.285899999999998</v>
      </c>
      <c r="L269" s="17"/>
    </row>
    <row r="270" spans="1:12" ht="15" x14ac:dyDescent="0.2">
      <c r="A270" s="16">
        <v>49126</v>
      </c>
      <c r="B270" s="17">
        <f>40.4674 * CHOOSE(CONTROL!$C$9, $D$9, 100%, $F$9) + CHOOSE(CONTROL!$C$27, 0.0021, 0)</f>
        <v>40.469499999999996</v>
      </c>
      <c r="C270" s="17">
        <f>40.0351 * CHOOSE(CONTROL!$C$9, $D$9, 100%, $F$9) + CHOOSE(CONTROL!$C$27, 0.0021, 0)</f>
        <v>40.037199999999999</v>
      </c>
      <c r="D270" s="17">
        <f>40.0351 * CHOOSE(CONTROL!$C$9, $D$9, 100%, $F$9) + CHOOSE(CONTROL!$C$27, 0.0021, 0)</f>
        <v>40.037199999999999</v>
      </c>
      <c r="E270" s="17">
        <f>39.8985 * CHOOSE(CONTROL!$C$9, $D$9, 100%, $F$9) + CHOOSE(CONTROL!$C$27, 0.0021, 0)</f>
        <v>39.900599999999997</v>
      </c>
      <c r="F270" s="17">
        <f>39.8985 * CHOOSE(CONTROL!$C$9, $D$9, 100%, $F$9) + CHOOSE(CONTROL!$C$27, 0.0021, 0)</f>
        <v>39.900599999999997</v>
      </c>
      <c r="G270" s="17">
        <f>40.1698 * CHOOSE(CONTROL!$C$9, $D$9, 100%, $F$9) + CHOOSE(CONTROL!$C$27, 0.0021, 0)</f>
        <v>40.171900000000001</v>
      </c>
      <c r="H270" s="17">
        <f>40.0351 * CHOOSE(CONTROL!$C$9, $D$9, 100%, $F$9) + CHOOSE(CONTROL!$C$27, 0.0021, 0)</f>
        <v>40.037199999999999</v>
      </c>
      <c r="I270" s="17">
        <f>40.0351 * CHOOSE(CONTROL!$C$9, $D$9, 100%, $F$9) + CHOOSE(CONTROL!$C$27, 0.0021, 0)</f>
        <v>40.037199999999999</v>
      </c>
      <c r="J270" s="17">
        <f>40.0351 * CHOOSE(CONTROL!$C$9, $D$9, 100%, $F$9) + CHOOSE(CONTROL!$C$27, 0.0021, 0)</f>
        <v>40.037199999999999</v>
      </c>
      <c r="K270" s="17">
        <f>40.0351 * CHOOSE(CONTROL!$C$9, $D$9, 100%, $F$9) + CHOOSE(CONTROL!$C$27, 0.0021, 0)</f>
        <v>40.037199999999999</v>
      </c>
      <c r="L270" s="17"/>
    </row>
    <row r="271" spans="1:12" ht="15" x14ac:dyDescent="0.2">
      <c r="A271" s="16">
        <v>49157</v>
      </c>
      <c r="B271" s="17">
        <f>40.6967 * CHOOSE(CONTROL!$C$9, $D$9, 100%, $F$9) + CHOOSE(CONTROL!$C$27, 0.0021, 0)</f>
        <v>40.698799999999999</v>
      </c>
      <c r="C271" s="17">
        <f>40.2645 * CHOOSE(CONTROL!$C$9, $D$9, 100%, $F$9) + CHOOSE(CONTROL!$C$27, 0.0021, 0)</f>
        <v>40.266599999999997</v>
      </c>
      <c r="D271" s="17">
        <f>40.2645 * CHOOSE(CONTROL!$C$9, $D$9, 100%, $F$9) + CHOOSE(CONTROL!$C$27, 0.0021, 0)</f>
        <v>40.266599999999997</v>
      </c>
      <c r="E271" s="17">
        <f>40.1278 * CHOOSE(CONTROL!$C$9, $D$9, 100%, $F$9) + CHOOSE(CONTROL!$C$27, 0.0021, 0)</f>
        <v>40.129899999999999</v>
      </c>
      <c r="F271" s="17">
        <f>40.1278 * CHOOSE(CONTROL!$C$9, $D$9, 100%, $F$9) + CHOOSE(CONTROL!$C$27, 0.0021, 0)</f>
        <v>40.129899999999999</v>
      </c>
      <c r="G271" s="17">
        <f>40.3992 * CHOOSE(CONTROL!$C$9, $D$9, 100%, $F$9) + CHOOSE(CONTROL!$C$27, 0.0021, 0)</f>
        <v>40.401299999999999</v>
      </c>
      <c r="H271" s="17">
        <f>40.2645 * CHOOSE(CONTROL!$C$9, $D$9, 100%, $F$9) + CHOOSE(CONTROL!$C$27, 0.0021, 0)</f>
        <v>40.266599999999997</v>
      </c>
      <c r="I271" s="17">
        <f>40.2645 * CHOOSE(CONTROL!$C$9, $D$9, 100%, $F$9) + CHOOSE(CONTROL!$C$27, 0.0021, 0)</f>
        <v>40.266599999999997</v>
      </c>
      <c r="J271" s="17">
        <f>40.2645 * CHOOSE(CONTROL!$C$9, $D$9, 100%, $F$9) + CHOOSE(CONTROL!$C$27, 0.0021, 0)</f>
        <v>40.266599999999997</v>
      </c>
      <c r="K271" s="17">
        <f>40.2645 * CHOOSE(CONTROL!$C$9, $D$9, 100%, $F$9) + CHOOSE(CONTROL!$C$27, 0.0021, 0)</f>
        <v>40.266599999999997</v>
      </c>
      <c r="L271" s="17"/>
    </row>
    <row r="272" spans="1:12" ht="15" x14ac:dyDescent="0.2">
      <c r="A272" s="16">
        <v>49188</v>
      </c>
      <c r="B272" s="17">
        <f>41.4777 * CHOOSE(CONTROL!$C$9, $D$9, 100%, $F$9) + CHOOSE(CONTROL!$C$27, 0.0021, 0)</f>
        <v>41.479799999999997</v>
      </c>
      <c r="C272" s="17">
        <f>41.0454 * CHOOSE(CONTROL!$C$9, $D$9, 100%, $F$9) + CHOOSE(CONTROL!$C$27, 0.0021, 0)</f>
        <v>41.047499999999999</v>
      </c>
      <c r="D272" s="17">
        <f>41.0454 * CHOOSE(CONTROL!$C$9, $D$9, 100%, $F$9) + CHOOSE(CONTROL!$C$27, 0.0021, 0)</f>
        <v>41.047499999999999</v>
      </c>
      <c r="E272" s="17">
        <f>40.9087 * CHOOSE(CONTROL!$C$9, $D$9, 100%, $F$9) + CHOOSE(CONTROL!$C$27, 0.0021, 0)</f>
        <v>40.910800000000002</v>
      </c>
      <c r="F272" s="17">
        <f>40.9087 * CHOOSE(CONTROL!$C$9, $D$9, 100%, $F$9) + CHOOSE(CONTROL!$C$27, 0.0021, 0)</f>
        <v>40.910800000000002</v>
      </c>
      <c r="G272" s="17">
        <f>41.1801 * CHOOSE(CONTROL!$C$9, $D$9, 100%, $F$9) + CHOOSE(CONTROL!$C$27, 0.0021, 0)</f>
        <v>41.182200000000002</v>
      </c>
      <c r="H272" s="17">
        <f>41.0454 * CHOOSE(CONTROL!$C$9, $D$9, 100%, $F$9) + CHOOSE(CONTROL!$C$27, 0.0021, 0)</f>
        <v>41.047499999999999</v>
      </c>
      <c r="I272" s="17">
        <f>41.0454 * CHOOSE(CONTROL!$C$9, $D$9, 100%, $F$9) + CHOOSE(CONTROL!$C$27, 0.0021, 0)</f>
        <v>41.047499999999999</v>
      </c>
      <c r="J272" s="17">
        <f>41.0454 * CHOOSE(CONTROL!$C$9, $D$9, 100%, $F$9) + CHOOSE(CONTROL!$C$27, 0.0021, 0)</f>
        <v>41.047499999999999</v>
      </c>
      <c r="K272" s="17">
        <f>41.0454 * CHOOSE(CONTROL!$C$9, $D$9, 100%, $F$9) + CHOOSE(CONTROL!$C$27, 0.0021, 0)</f>
        <v>41.047499999999999</v>
      </c>
      <c r="L272" s="17"/>
    </row>
    <row r="273" spans="1:12" ht="15" x14ac:dyDescent="0.2">
      <c r="A273" s="16">
        <v>49218</v>
      </c>
      <c r="B273" s="17">
        <f>42.4662 * CHOOSE(CONTROL!$C$9, $D$9, 100%, $F$9) + CHOOSE(CONTROL!$C$27, 0.0021, 0)</f>
        <v>42.468299999999999</v>
      </c>
      <c r="C273" s="17">
        <f>42.034 * CHOOSE(CONTROL!$C$9, $D$9, 100%, $F$9) + CHOOSE(CONTROL!$C$27, 0.0021, 0)</f>
        <v>42.036099999999998</v>
      </c>
      <c r="D273" s="17">
        <f>42.034 * CHOOSE(CONTROL!$C$9, $D$9, 100%, $F$9) + CHOOSE(CONTROL!$C$27, 0.0021, 0)</f>
        <v>42.036099999999998</v>
      </c>
      <c r="E273" s="17">
        <f>41.8973 * CHOOSE(CONTROL!$C$9, $D$9, 100%, $F$9) + CHOOSE(CONTROL!$C$27, 0.0021, 0)</f>
        <v>41.8994</v>
      </c>
      <c r="F273" s="17">
        <f>41.8973 * CHOOSE(CONTROL!$C$9, $D$9, 100%, $F$9) + CHOOSE(CONTROL!$C$27, 0.0021, 0)</f>
        <v>41.8994</v>
      </c>
      <c r="G273" s="17">
        <f>42.1687 * CHOOSE(CONTROL!$C$9, $D$9, 100%, $F$9) + CHOOSE(CONTROL!$C$27, 0.0021, 0)</f>
        <v>42.1708</v>
      </c>
      <c r="H273" s="17">
        <f>42.034 * CHOOSE(CONTROL!$C$9, $D$9, 100%, $F$9) + CHOOSE(CONTROL!$C$27, 0.0021, 0)</f>
        <v>42.036099999999998</v>
      </c>
      <c r="I273" s="17">
        <f>42.034 * CHOOSE(CONTROL!$C$9, $D$9, 100%, $F$9) + CHOOSE(CONTROL!$C$27, 0.0021, 0)</f>
        <v>42.036099999999998</v>
      </c>
      <c r="J273" s="17">
        <f>42.034 * CHOOSE(CONTROL!$C$9, $D$9, 100%, $F$9) + CHOOSE(CONTROL!$C$27, 0.0021, 0)</f>
        <v>42.036099999999998</v>
      </c>
      <c r="K273" s="17">
        <f>42.034 * CHOOSE(CONTROL!$C$9, $D$9, 100%, $F$9) + CHOOSE(CONTROL!$C$27, 0.0021, 0)</f>
        <v>42.036099999999998</v>
      </c>
      <c r="L273" s="17"/>
    </row>
    <row r="274" spans="1:12" ht="15" x14ac:dyDescent="0.2">
      <c r="A274" s="16">
        <v>49249</v>
      </c>
      <c r="B274" s="17">
        <f>42.559 * CHOOSE(CONTROL!$C$9, $D$9, 100%, $F$9) + CHOOSE(CONTROL!$C$27, 0.0021, 0)</f>
        <v>42.561099999999996</v>
      </c>
      <c r="C274" s="17">
        <f>42.1268 * CHOOSE(CONTROL!$C$9, $D$9, 100%, $F$9) + CHOOSE(CONTROL!$C$27, 0.0021, 0)</f>
        <v>42.128900000000002</v>
      </c>
      <c r="D274" s="17">
        <f>42.1268 * CHOOSE(CONTROL!$C$9, $D$9, 100%, $F$9) + CHOOSE(CONTROL!$C$27, 0.0021, 0)</f>
        <v>42.128900000000002</v>
      </c>
      <c r="E274" s="17">
        <f>41.9901 * CHOOSE(CONTROL!$C$9, $D$9, 100%, $F$9) + CHOOSE(CONTROL!$C$27, 0.0021, 0)</f>
        <v>41.992199999999997</v>
      </c>
      <c r="F274" s="17">
        <f>41.9901 * CHOOSE(CONTROL!$C$9, $D$9, 100%, $F$9) + CHOOSE(CONTROL!$C$27, 0.0021, 0)</f>
        <v>41.992199999999997</v>
      </c>
      <c r="G274" s="17">
        <f>42.2615 * CHOOSE(CONTROL!$C$9, $D$9, 100%, $F$9) + CHOOSE(CONTROL!$C$27, 0.0021, 0)</f>
        <v>42.263599999999997</v>
      </c>
      <c r="H274" s="17">
        <f>42.1268 * CHOOSE(CONTROL!$C$9, $D$9, 100%, $F$9) + CHOOSE(CONTROL!$C$27, 0.0021, 0)</f>
        <v>42.128900000000002</v>
      </c>
      <c r="I274" s="17">
        <f>42.1268 * CHOOSE(CONTROL!$C$9, $D$9, 100%, $F$9) + CHOOSE(CONTROL!$C$27, 0.0021, 0)</f>
        <v>42.128900000000002</v>
      </c>
      <c r="J274" s="17">
        <f>42.1268 * CHOOSE(CONTROL!$C$9, $D$9, 100%, $F$9) + CHOOSE(CONTROL!$C$27, 0.0021, 0)</f>
        <v>42.128900000000002</v>
      </c>
      <c r="K274" s="17">
        <f>42.1268 * CHOOSE(CONTROL!$C$9, $D$9, 100%, $F$9) + CHOOSE(CONTROL!$C$27, 0.0021, 0)</f>
        <v>42.128900000000002</v>
      </c>
      <c r="L274" s="17"/>
    </row>
    <row r="275" spans="1:12" ht="15" x14ac:dyDescent="0.2">
      <c r="A275" s="16">
        <v>49279</v>
      </c>
      <c r="B275" s="17">
        <f>41.7695 * CHOOSE(CONTROL!$C$9, $D$9, 100%, $F$9) + CHOOSE(CONTROL!$C$27, 0.0021, 0)</f>
        <v>41.771599999999999</v>
      </c>
      <c r="C275" s="17">
        <f>41.3372 * CHOOSE(CONTROL!$C$9, $D$9, 100%, $F$9) + CHOOSE(CONTROL!$C$27, 0.0021, 0)</f>
        <v>41.339300000000001</v>
      </c>
      <c r="D275" s="17">
        <f>41.3372 * CHOOSE(CONTROL!$C$9, $D$9, 100%, $F$9) + CHOOSE(CONTROL!$C$27, 0.0021, 0)</f>
        <v>41.339300000000001</v>
      </c>
      <c r="E275" s="17">
        <f>41.2006 * CHOOSE(CONTROL!$C$9, $D$9, 100%, $F$9) + CHOOSE(CONTROL!$C$27, 0.0021, 0)</f>
        <v>41.2027</v>
      </c>
      <c r="F275" s="17">
        <f>41.2006 * CHOOSE(CONTROL!$C$9, $D$9, 100%, $F$9) + CHOOSE(CONTROL!$C$27, 0.0021, 0)</f>
        <v>41.2027</v>
      </c>
      <c r="G275" s="17">
        <f>41.4719 * CHOOSE(CONTROL!$C$9, $D$9, 100%, $F$9) + CHOOSE(CONTROL!$C$27, 0.0021, 0)</f>
        <v>41.473999999999997</v>
      </c>
      <c r="H275" s="17">
        <f>41.3372 * CHOOSE(CONTROL!$C$9, $D$9, 100%, $F$9) + CHOOSE(CONTROL!$C$27, 0.0021, 0)</f>
        <v>41.339300000000001</v>
      </c>
      <c r="I275" s="17">
        <f>41.3372 * CHOOSE(CONTROL!$C$9, $D$9, 100%, $F$9) + CHOOSE(CONTROL!$C$27, 0.0021, 0)</f>
        <v>41.339300000000001</v>
      </c>
      <c r="J275" s="17">
        <f>41.3372 * CHOOSE(CONTROL!$C$9, $D$9, 100%, $F$9) + CHOOSE(CONTROL!$C$27, 0.0021, 0)</f>
        <v>41.339300000000001</v>
      </c>
      <c r="K275" s="17">
        <f>41.3372 * CHOOSE(CONTROL!$C$9, $D$9, 100%, $F$9) + CHOOSE(CONTROL!$C$27, 0.0021, 0)</f>
        <v>41.339300000000001</v>
      </c>
      <c r="L275" s="17"/>
    </row>
    <row r="276" spans="1:12" ht="15" x14ac:dyDescent="0.2">
      <c r="A276" s="16">
        <v>49310</v>
      </c>
      <c r="B276" s="17">
        <f>41.2704 * CHOOSE(CONTROL!$C$9, $D$9, 100%, $F$9) + CHOOSE(CONTROL!$C$27, 0.0021, 0)</f>
        <v>41.272500000000001</v>
      </c>
      <c r="C276" s="17">
        <f>40.8382 * CHOOSE(CONTROL!$C$9, $D$9, 100%, $F$9) + CHOOSE(CONTROL!$C$27, 0.0021, 0)</f>
        <v>40.840299999999999</v>
      </c>
      <c r="D276" s="17">
        <f>40.8382 * CHOOSE(CONTROL!$C$9, $D$9, 100%, $F$9) + CHOOSE(CONTROL!$C$27, 0.0021, 0)</f>
        <v>40.840299999999999</v>
      </c>
      <c r="E276" s="17">
        <f>40.7015 * CHOOSE(CONTROL!$C$9, $D$9, 100%, $F$9) + CHOOSE(CONTROL!$C$27, 0.0021, 0)</f>
        <v>40.703600000000002</v>
      </c>
      <c r="F276" s="17">
        <f>40.7015 * CHOOSE(CONTROL!$C$9, $D$9, 100%, $F$9) + CHOOSE(CONTROL!$C$27, 0.0021, 0)</f>
        <v>40.703600000000002</v>
      </c>
      <c r="G276" s="17">
        <f>40.9729 * CHOOSE(CONTROL!$C$9, $D$9, 100%, $F$9) + CHOOSE(CONTROL!$C$27, 0.0021, 0)</f>
        <v>40.975000000000001</v>
      </c>
      <c r="H276" s="17">
        <f>40.8382 * CHOOSE(CONTROL!$C$9, $D$9, 100%, $F$9) + CHOOSE(CONTROL!$C$27, 0.0021, 0)</f>
        <v>40.840299999999999</v>
      </c>
      <c r="I276" s="17">
        <f>40.8382 * CHOOSE(CONTROL!$C$9, $D$9, 100%, $F$9) + CHOOSE(CONTROL!$C$27, 0.0021, 0)</f>
        <v>40.840299999999999</v>
      </c>
      <c r="J276" s="17">
        <f>40.8382 * CHOOSE(CONTROL!$C$9, $D$9, 100%, $F$9) + CHOOSE(CONTROL!$C$27, 0.0021, 0)</f>
        <v>40.840299999999999</v>
      </c>
      <c r="K276" s="17">
        <f>40.8382 * CHOOSE(CONTROL!$C$9, $D$9, 100%, $F$9) + CHOOSE(CONTROL!$C$27, 0.0021, 0)</f>
        <v>40.840299999999999</v>
      </c>
      <c r="L276" s="17"/>
    </row>
    <row r="277" spans="1:12" ht="15" x14ac:dyDescent="0.2">
      <c r="A277" s="16">
        <v>49341</v>
      </c>
      <c r="B277" s="17">
        <f>40.1679 * CHOOSE(CONTROL!$C$9, $D$9, 100%, $F$9) + CHOOSE(CONTROL!$C$27, 0.0021, 0)</f>
        <v>40.17</v>
      </c>
      <c r="C277" s="17">
        <f>39.7357 * CHOOSE(CONTROL!$C$9, $D$9, 100%, $F$9) + CHOOSE(CONTROL!$C$27, 0.0021, 0)</f>
        <v>39.7378</v>
      </c>
      <c r="D277" s="17">
        <f>39.7357 * CHOOSE(CONTROL!$C$9, $D$9, 100%, $F$9) + CHOOSE(CONTROL!$C$27, 0.0021, 0)</f>
        <v>39.7378</v>
      </c>
      <c r="E277" s="17">
        <f>39.599 * CHOOSE(CONTROL!$C$9, $D$9, 100%, $F$9) + CHOOSE(CONTROL!$C$27, 0.0021, 0)</f>
        <v>39.601099999999995</v>
      </c>
      <c r="F277" s="17">
        <f>39.599 * CHOOSE(CONTROL!$C$9, $D$9, 100%, $F$9) + CHOOSE(CONTROL!$C$27, 0.0021, 0)</f>
        <v>39.601099999999995</v>
      </c>
      <c r="G277" s="17">
        <f>39.8704 * CHOOSE(CONTROL!$C$9, $D$9, 100%, $F$9) + CHOOSE(CONTROL!$C$27, 0.0021, 0)</f>
        <v>39.872499999999995</v>
      </c>
      <c r="H277" s="17">
        <f>39.7357 * CHOOSE(CONTROL!$C$9, $D$9, 100%, $F$9) + CHOOSE(CONTROL!$C$27, 0.0021, 0)</f>
        <v>39.7378</v>
      </c>
      <c r="I277" s="17">
        <f>39.7357 * CHOOSE(CONTROL!$C$9, $D$9, 100%, $F$9) + CHOOSE(CONTROL!$C$27, 0.0021, 0)</f>
        <v>39.7378</v>
      </c>
      <c r="J277" s="17">
        <f>39.7357 * CHOOSE(CONTROL!$C$9, $D$9, 100%, $F$9) + CHOOSE(CONTROL!$C$27, 0.0021, 0)</f>
        <v>39.7378</v>
      </c>
      <c r="K277" s="17">
        <f>39.7357 * CHOOSE(CONTROL!$C$9, $D$9, 100%, $F$9) + CHOOSE(CONTROL!$C$27, 0.0021, 0)</f>
        <v>39.7378</v>
      </c>
      <c r="L277" s="17"/>
    </row>
    <row r="278" spans="1:12" ht="15" x14ac:dyDescent="0.2">
      <c r="A278" s="16">
        <v>49369</v>
      </c>
      <c r="B278" s="17">
        <f>39.7128 * CHOOSE(CONTROL!$C$9, $D$9, 100%, $F$9) + CHOOSE(CONTROL!$C$27, 0.0021, 0)</f>
        <v>39.7149</v>
      </c>
      <c r="C278" s="17">
        <f>39.2806 * CHOOSE(CONTROL!$C$9, $D$9, 100%, $F$9) + CHOOSE(CONTROL!$C$27, 0.0021, 0)</f>
        <v>39.282699999999998</v>
      </c>
      <c r="D278" s="17">
        <f>39.2806 * CHOOSE(CONTROL!$C$9, $D$9, 100%, $F$9) + CHOOSE(CONTROL!$C$27, 0.0021, 0)</f>
        <v>39.282699999999998</v>
      </c>
      <c r="E278" s="17">
        <f>39.1439 * CHOOSE(CONTROL!$C$9, $D$9, 100%, $F$9) + CHOOSE(CONTROL!$C$27, 0.0021, 0)</f>
        <v>39.146000000000001</v>
      </c>
      <c r="F278" s="17">
        <f>39.1439 * CHOOSE(CONTROL!$C$9, $D$9, 100%, $F$9) + CHOOSE(CONTROL!$C$27, 0.0021, 0)</f>
        <v>39.146000000000001</v>
      </c>
      <c r="G278" s="17">
        <f>39.4153 * CHOOSE(CONTROL!$C$9, $D$9, 100%, $F$9) + CHOOSE(CONTROL!$C$27, 0.0021, 0)</f>
        <v>39.417400000000001</v>
      </c>
      <c r="H278" s="17">
        <f>39.2806 * CHOOSE(CONTROL!$C$9, $D$9, 100%, $F$9) + CHOOSE(CONTROL!$C$27, 0.0021, 0)</f>
        <v>39.282699999999998</v>
      </c>
      <c r="I278" s="17">
        <f>39.2806 * CHOOSE(CONTROL!$C$9, $D$9, 100%, $F$9) + CHOOSE(CONTROL!$C$27, 0.0021, 0)</f>
        <v>39.282699999999998</v>
      </c>
      <c r="J278" s="17">
        <f>39.2806 * CHOOSE(CONTROL!$C$9, $D$9, 100%, $F$9) + CHOOSE(CONTROL!$C$27, 0.0021, 0)</f>
        <v>39.282699999999998</v>
      </c>
      <c r="K278" s="17">
        <f>39.2806 * CHOOSE(CONTROL!$C$9, $D$9, 100%, $F$9) + CHOOSE(CONTROL!$C$27, 0.0021, 0)</f>
        <v>39.282699999999998</v>
      </c>
      <c r="L278" s="17"/>
    </row>
    <row r="279" spans="1:12" ht="15" x14ac:dyDescent="0.2">
      <c r="A279" s="16">
        <v>49400</v>
      </c>
      <c r="B279" s="17">
        <f>39.1694 * CHOOSE(CONTROL!$C$9, $D$9, 100%, $F$9) + CHOOSE(CONTROL!$C$27, 0.0021, 0)</f>
        <v>39.171500000000002</v>
      </c>
      <c r="C279" s="17">
        <f>38.7372 * CHOOSE(CONTROL!$C$9, $D$9, 100%, $F$9) + CHOOSE(CONTROL!$C$27, 0.0021, 0)</f>
        <v>38.7393</v>
      </c>
      <c r="D279" s="17">
        <f>38.7372 * CHOOSE(CONTROL!$C$9, $D$9, 100%, $F$9) + CHOOSE(CONTROL!$C$27, 0.0021, 0)</f>
        <v>38.7393</v>
      </c>
      <c r="E279" s="17">
        <f>38.6005 * CHOOSE(CONTROL!$C$9, $D$9, 100%, $F$9) + CHOOSE(CONTROL!$C$27, 0.0021, 0)</f>
        <v>38.602599999999995</v>
      </c>
      <c r="F279" s="17">
        <f>38.6005 * CHOOSE(CONTROL!$C$9, $D$9, 100%, $F$9) + CHOOSE(CONTROL!$C$27, 0.0021, 0)</f>
        <v>38.602599999999995</v>
      </c>
      <c r="G279" s="17">
        <f>38.8719 * CHOOSE(CONTROL!$C$9, $D$9, 100%, $F$9) + CHOOSE(CONTROL!$C$27, 0.0021, 0)</f>
        <v>38.873999999999995</v>
      </c>
      <c r="H279" s="17">
        <f>38.7372 * CHOOSE(CONTROL!$C$9, $D$9, 100%, $F$9) + CHOOSE(CONTROL!$C$27, 0.0021, 0)</f>
        <v>38.7393</v>
      </c>
      <c r="I279" s="17">
        <f>38.7372 * CHOOSE(CONTROL!$C$9, $D$9, 100%, $F$9) + CHOOSE(CONTROL!$C$27, 0.0021, 0)</f>
        <v>38.7393</v>
      </c>
      <c r="J279" s="17">
        <f>38.7372 * CHOOSE(CONTROL!$C$9, $D$9, 100%, $F$9) + CHOOSE(CONTROL!$C$27, 0.0021, 0)</f>
        <v>38.7393</v>
      </c>
      <c r="K279" s="17">
        <f>38.7372 * CHOOSE(CONTROL!$C$9, $D$9, 100%, $F$9) + CHOOSE(CONTROL!$C$27, 0.0021, 0)</f>
        <v>38.7393</v>
      </c>
      <c r="L279" s="17"/>
    </row>
    <row r="280" spans="1:12" ht="15" x14ac:dyDescent="0.2">
      <c r="A280" s="16">
        <v>49430</v>
      </c>
      <c r="B280" s="17">
        <f>39.9438 * CHOOSE(CONTROL!$C$9, $D$9, 100%, $F$9) + CHOOSE(CONTROL!$C$27, 0.0021, 0)</f>
        <v>39.945900000000002</v>
      </c>
      <c r="C280" s="17">
        <f>39.5116 * CHOOSE(CONTROL!$C$9, $D$9, 100%, $F$9) + CHOOSE(CONTROL!$C$27, 0.0021, 0)</f>
        <v>39.5137</v>
      </c>
      <c r="D280" s="17">
        <f>39.5116 * CHOOSE(CONTROL!$C$9, $D$9, 100%, $F$9) + CHOOSE(CONTROL!$C$27, 0.0021, 0)</f>
        <v>39.5137</v>
      </c>
      <c r="E280" s="17">
        <f>39.3749 * CHOOSE(CONTROL!$C$9, $D$9, 100%, $F$9) + CHOOSE(CONTROL!$C$27, 0.0021, 0)</f>
        <v>39.376999999999995</v>
      </c>
      <c r="F280" s="17">
        <f>39.3749 * CHOOSE(CONTROL!$C$9, $D$9, 100%, $F$9) + CHOOSE(CONTROL!$C$27, 0.0021, 0)</f>
        <v>39.376999999999995</v>
      </c>
      <c r="G280" s="17">
        <f>39.6463 * CHOOSE(CONTROL!$C$9, $D$9, 100%, $F$9) + CHOOSE(CONTROL!$C$27, 0.0021, 0)</f>
        <v>39.648399999999995</v>
      </c>
      <c r="H280" s="17">
        <f>39.5116 * CHOOSE(CONTROL!$C$9, $D$9, 100%, $F$9) + CHOOSE(CONTROL!$C$27, 0.0021, 0)</f>
        <v>39.5137</v>
      </c>
      <c r="I280" s="17">
        <f>39.5116 * CHOOSE(CONTROL!$C$9, $D$9, 100%, $F$9) + CHOOSE(CONTROL!$C$27, 0.0021, 0)</f>
        <v>39.5137</v>
      </c>
      <c r="J280" s="17">
        <f>39.5116 * CHOOSE(CONTROL!$C$9, $D$9, 100%, $F$9) + CHOOSE(CONTROL!$C$27, 0.0021, 0)</f>
        <v>39.5137</v>
      </c>
      <c r="K280" s="17">
        <f>39.5116 * CHOOSE(CONTROL!$C$9, $D$9, 100%, $F$9) + CHOOSE(CONTROL!$C$27, 0.0021, 0)</f>
        <v>39.5137</v>
      </c>
      <c r="L280" s="17"/>
    </row>
    <row r="281" spans="1:12" ht="15" x14ac:dyDescent="0.2">
      <c r="A281" s="15">
        <v>49461</v>
      </c>
      <c r="B281" s="17">
        <f>40.4077 * CHOOSE(CONTROL!$C$9, $D$9, 100%, $F$9) + CHOOSE(CONTROL!$C$27, 0.0021, 0)</f>
        <v>40.409799999999997</v>
      </c>
      <c r="C281" s="17">
        <f>39.9754 * CHOOSE(CONTROL!$C$9, $D$9, 100%, $F$9) + CHOOSE(CONTROL!$C$27, 0.0021, 0)</f>
        <v>39.977499999999999</v>
      </c>
      <c r="D281" s="17">
        <f>39.9754 * CHOOSE(CONTROL!$C$9, $D$9, 100%, $F$9) + CHOOSE(CONTROL!$C$27, 0.0021, 0)</f>
        <v>39.977499999999999</v>
      </c>
      <c r="E281" s="17">
        <f>39.8388 * CHOOSE(CONTROL!$C$9, $D$9, 100%, $F$9) + CHOOSE(CONTROL!$C$27, 0.0021, 0)</f>
        <v>39.840899999999998</v>
      </c>
      <c r="F281" s="17">
        <f>39.8388 * CHOOSE(CONTROL!$C$9, $D$9, 100%, $F$9) + CHOOSE(CONTROL!$C$27, 0.0021, 0)</f>
        <v>39.840899999999998</v>
      </c>
      <c r="G281" s="17">
        <f>40.1102 * CHOOSE(CONTROL!$C$9, $D$9, 100%, $F$9) + CHOOSE(CONTROL!$C$27, 0.0021, 0)</f>
        <v>40.112299999999998</v>
      </c>
      <c r="H281" s="17">
        <f>39.9754 * CHOOSE(CONTROL!$C$9, $D$9, 100%, $F$9) + CHOOSE(CONTROL!$C$27, 0.0021, 0)</f>
        <v>39.977499999999999</v>
      </c>
      <c r="I281" s="17">
        <f>39.9754 * CHOOSE(CONTROL!$C$9, $D$9, 100%, $F$9) + CHOOSE(CONTROL!$C$27, 0.0021, 0)</f>
        <v>39.977499999999999</v>
      </c>
      <c r="J281" s="17">
        <f>39.9754 * CHOOSE(CONTROL!$C$9, $D$9, 100%, $F$9) + CHOOSE(CONTROL!$C$27, 0.0021, 0)</f>
        <v>39.977499999999999</v>
      </c>
      <c r="K281" s="17">
        <f>39.9754 * CHOOSE(CONTROL!$C$9, $D$9, 100%, $F$9) + CHOOSE(CONTROL!$C$27, 0.0021, 0)</f>
        <v>39.977499999999999</v>
      </c>
      <c r="L281" s="17"/>
    </row>
    <row r="282" spans="1:12" ht="15" x14ac:dyDescent="0.2">
      <c r="A282" s="15">
        <v>49491</v>
      </c>
      <c r="B282" s="17">
        <f>41.1729 * CHOOSE(CONTROL!$C$9, $D$9, 100%, $F$9) + CHOOSE(CONTROL!$C$27, 0.0021, 0)</f>
        <v>41.174999999999997</v>
      </c>
      <c r="C282" s="17">
        <f>40.7406 * CHOOSE(CONTROL!$C$9, $D$9, 100%, $F$9) + CHOOSE(CONTROL!$C$27, 0.0021, 0)</f>
        <v>40.742699999999999</v>
      </c>
      <c r="D282" s="17">
        <f>40.7406 * CHOOSE(CONTROL!$C$9, $D$9, 100%, $F$9) + CHOOSE(CONTROL!$C$27, 0.0021, 0)</f>
        <v>40.742699999999999</v>
      </c>
      <c r="E282" s="17">
        <f>40.604 * CHOOSE(CONTROL!$C$9, $D$9, 100%, $F$9) + CHOOSE(CONTROL!$C$27, 0.0021, 0)</f>
        <v>40.606099999999998</v>
      </c>
      <c r="F282" s="17">
        <f>40.604 * CHOOSE(CONTROL!$C$9, $D$9, 100%, $F$9) + CHOOSE(CONTROL!$C$27, 0.0021, 0)</f>
        <v>40.606099999999998</v>
      </c>
      <c r="G282" s="17">
        <f>40.8754 * CHOOSE(CONTROL!$C$9, $D$9, 100%, $F$9) + CHOOSE(CONTROL!$C$27, 0.0021, 0)</f>
        <v>40.877499999999998</v>
      </c>
      <c r="H282" s="17">
        <f>40.7406 * CHOOSE(CONTROL!$C$9, $D$9, 100%, $F$9) + CHOOSE(CONTROL!$C$27, 0.0021, 0)</f>
        <v>40.742699999999999</v>
      </c>
      <c r="I282" s="17">
        <f>40.7406 * CHOOSE(CONTROL!$C$9, $D$9, 100%, $F$9) + CHOOSE(CONTROL!$C$27, 0.0021, 0)</f>
        <v>40.742699999999999</v>
      </c>
      <c r="J282" s="17">
        <f>40.7406 * CHOOSE(CONTROL!$C$9, $D$9, 100%, $F$9) + CHOOSE(CONTROL!$C$27, 0.0021, 0)</f>
        <v>40.742699999999999</v>
      </c>
      <c r="K282" s="17">
        <f>40.7406 * CHOOSE(CONTROL!$C$9, $D$9, 100%, $F$9) + CHOOSE(CONTROL!$C$27, 0.0021, 0)</f>
        <v>40.742699999999999</v>
      </c>
      <c r="L282" s="17"/>
    </row>
    <row r="283" spans="1:12" ht="15" x14ac:dyDescent="0.2">
      <c r="A283" s="15">
        <v>49522</v>
      </c>
      <c r="B283" s="17">
        <f>41.4064 * CHOOSE(CONTROL!$C$9, $D$9, 100%, $F$9) + CHOOSE(CONTROL!$C$27, 0.0021, 0)</f>
        <v>41.408499999999997</v>
      </c>
      <c r="C283" s="17">
        <f>40.9742 * CHOOSE(CONTROL!$C$9, $D$9, 100%, $F$9) + CHOOSE(CONTROL!$C$27, 0.0021, 0)</f>
        <v>40.976300000000002</v>
      </c>
      <c r="D283" s="17">
        <f>40.9742 * CHOOSE(CONTROL!$C$9, $D$9, 100%, $F$9) + CHOOSE(CONTROL!$C$27, 0.0021, 0)</f>
        <v>40.976300000000002</v>
      </c>
      <c r="E283" s="17">
        <f>40.8375 * CHOOSE(CONTROL!$C$9, $D$9, 100%, $F$9) + CHOOSE(CONTROL!$C$27, 0.0021, 0)</f>
        <v>40.839599999999997</v>
      </c>
      <c r="F283" s="17">
        <f>40.8375 * CHOOSE(CONTROL!$C$9, $D$9, 100%, $F$9) + CHOOSE(CONTROL!$C$27, 0.0021, 0)</f>
        <v>40.839599999999997</v>
      </c>
      <c r="G283" s="17">
        <f>41.1089 * CHOOSE(CONTROL!$C$9, $D$9, 100%, $F$9) + CHOOSE(CONTROL!$C$27, 0.0021, 0)</f>
        <v>41.110999999999997</v>
      </c>
      <c r="H283" s="17">
        <f>40.9742 * CHOOSE(CONTROL!$C$9, $D$9, 100%, $F$9) + CHOOSE(CONTROL!$C$27, 0.0021, 0)</f>
        <v>40.976300000000002</v>
      </c>
      <c r="I283" s="17">
        <f>40.9742 * CHOOSE(CONTROL!$C$9, $D$9, 100%, $F$9) + CHOOSE(CONTROL!$C$27, 0.0021, 0)</f>
        <v>40.976300000000002</v>
      </c>
      <c r="J283" s="17">
        <f>40.9742 * CHOOSE(CONTROL!$C$9, $D$9, 100%, $F$9) + CHOOSE(CONTROL!$C$27, 0.0021, 0)</f>
        <v>40.976300000000002</v>
      </c>
      <c r="K283" s="17">
        <f>40.9742 * CHOOSE(CONTROL!$C$9, $D$9, 100%, $F$9) + CHOOSE(CONTROL!$C$27, 0.0021, 0)</f>
        <v>40.976300000000002</v>
      </c>
      <c r="L283" s="17"/>
    </row>
    <row r="284" spans="1:12" ht="15" x14ac:dyDescent="0.2">
      <c r="A284" s="15">
        <v>49553</v>
      </c>
      <c r="B284" s="17">
        <f>42.2018 * CHOOSE(CONTROL!$C$9, $D$9, 100%, $F$9) + CHOOSE(CONTROL!$C$27, 0.0021, 0)</f>
        <v>42.203899999999997</v>
      </c>
      <c r="C284" s="17">
        <f>41.7696 * CHOOSE(CONTROL!$C$9, $D$9, 100%, $F$9) + CHOOSE(CONTROL!$C$27, 0.0021, 0)</f>
        <v>41.771699999999996</v>
      </c>
      <c r="D284" s="17">
        <f>41.7696 * CHOOSE(CONTROL!$C$9, $D$9, 100%, $F$9) + CHOOSE(CONTROL!$C$27, 0.0021, 0)</f>
        <v>41.771699999999996</v>
      </c>
      <c r="E284" s="17">
        <f>41.6329 * CHOOSE(CONTROL!$C$9, $D$9, 100%, $F$9) + CHOOSE(CONTROL!$C$27, 0.0021, 0)</f>
        <v>41.634999999999998</v>
      </c>
      <c r="F284" s="17">
        <f>41.6329 * CHOOSE(CONTROL!$C$9, $D$9, 100%, $F$9) + CHOOSE(CONTROL!$C$27, 0.0021, 0)</f>
        <v>41.634999999999998</v>
      </c>
      <c r="G284" s="17">
        <f>41.9043 * CHOOSE(CONTROL!$C$9, $D$9, 100%, $F$9) + CHOOSE(CONTROL!$C$27, 0.0021, 0)</f>
        <v>41.906399999999998</v>
      </c>
      <c r="H284" s="17">
        <f>41.7696 * CHOOSE(CONTROL!$C$9, $D$9, 100%, $F$9) + CHOOSE(CONTROL!$C$27, 0.0021, 0)</f>
        <v>41.771699999999996</v>
      </c>
      <c r="I284" s="17">
        <f>41.7696 * CHOOSE(CONTROL!$C$9, $D$9, 100%, $F$9) + CHOOSE(CONTROL!$C$27, 0.0021, 0)</f>
        <v>41.771699999999996</v>
      </c>
      <c r="J284" s="17">
        <f>41.7696 * CHOOSE(CONTROL!$C$9, $D$9, 100%, $F$9) + CHOOSE(CONTROL!$C$27, 0.0021, 0)</f>
        <v>41.771699999999996</v>
      </c>
      <c r="K284" s="17">
        <f>41.7696 * CHOOSE(CONTROL!$C$9, $D$9, 100%, $F$9) + CHOOSE(CONTROL!$C$27, 0.0021, 0)</f>
        <v>41.771699999999996</v>
      </c>
      <c r="L284" s="17"/>
    </row>
    <row r="285" spans="1:12" ht="15" x14ac:dyDescent="0.2">
      <c r="A285" s="15">
        <v>49583</v>
      </c>
      <c r="B285" s="17">
        <f>43.2086 * CHOOSE(CONTROL!$C$9, $D$9, 100%, $F$9) + CHOOSE(CONTROL!$C$27, 0.0021, 0)</f>
        <v>43.210699999999996</v>
      </c>
      <c r="C285" s="17">
        <f>42.7764 * CHOOSE(CONTROL!$C$9, $D$9, 100%, $F$9) + CHOOSE(CONTROL!$C$27, 0.0021, 0)</f>
        <v>42.778500000000001</v>
      </c>
      <c r="D285" s="17">
        <f>42.7764 * CHOOSE(CONTROL!$C$9, $D$9, 100%, $F$9) + CHOOSE(CONTROL!$C$27, 0.0021, 0)</f>
        <v>42.778500000000001</v>
      </c>
      <c r="E285" s="17">
        <f>42.6397 * CHOOSE(CONTROL!$C$9, $D$9, 100%, $F$9) + CHOOSE(CONTROL!$C$27, 0.0021, 0)</f>
        <v>42.641799999999996</v>
      </c>
      <c r="F285" s="17">
        <f>42.6397 * CHOOSE(CONTROL!$C$9, $D$9, 100%, $F$9) + CHOOSE(CONTROL!$C$27, 0.0021, 0)</f>
        <v>42.641799999999996</v>
      </c>
      <c r="G285" s="17">
        <f>42.9111 * CHOOSE(CONTROL!$C$9, $D$9, 100%, $F$9) + CHOOSE(CONTROL!$C$27, 0.0021, 0)</f>
        <v>42.913199999999996</v>
      </c>
      <c r="H285" s="17">
        <f>42.7764 * CHOOSE(CONTROL!$C$9, $D$9, 100%, $F$9) + CHOOSE(CONTROL!$C$27, 0.0021, 0)</f>
        <v>42.778500000000001</v>
      </c>
      <c r="I285" s="17">
        <f>42.7764 * CHOOSE(CONTROL!$C$9, $D$9, 100%, $F$9) + CHOOSE(CONTROL!$C$27, 0.0021, 0)</f>
        <v>42.778500000000001</v>
      </c>
      <c r="J285" s="17">
        <f>42.7764 * CHOOSE(CONTROL!$C$9, $D$9, 100%, $F$9) + CHOOSE(CONTROL!$C$27, 0.0021, 0)</f>
        <v>42.778500000000001</v>
      </c>
      <c r="K285" s="17">
        <f>42.7764 * CHOOSE(CONTROL!$C$9, $D$9, 100%, $F$9) + CHOOSE(CONTROL!$C$27, 0.0021, 0)</f>
        <v>42.778500000000001</v>
      </c>
      <c r="L285" s="17"/>
    </row>
    <row r="286" spans="1:12" ht="15" x14ac:dyDescent="0.2">
      <c r="A286" s="15">
        <v>49614</v>
      </c>
      <c r="B286" s="17">
        <f>43.3032 * CHOOSE(CONTROL!$C$9, $D$9, 100%, $F$9) + CHOOSE(CONTROL!$C$27, 0.0021, 0)</f>
        <v>43.305299999999995</v>
      </c>
      <c r="C286" s="17">
        <f>42.8709 * CHOOSE(CONTROL!$C$9, $D$9, 100%, $F$9) + CHOOSE(CONTROL!$C$27, 0.0021, 0)</f>
        <v>42.872999999999998</v>
      </c>
      <c r="D286" s="17">
        <f>42.8709 * CHOOSE(CONTROL!$C$9, $D$9, 100%, $F$9) + CHOOSE(CONTROL!$C$27, 0.0021, 0)</f>
        <v>42.872999999999998</v>
      </c>
      <c r="E286" s="17">
        <f>42.7343 * CHOOSE(CONTROL!$C$9, $D$9, 100%, $F$9) + CHOOSE(CONTROL!$C$27, 0.0021, 0)</f>
        <v>42.736399999999996</v>
      </c>
      <c r="F286" s="17">
        <f>42.7343 * CHOOSE(CONTROL!$C$9, $D$9, 100%, $F$9) + CHOOSE(CONTROL!$C$27, 0.0021, 0)</f>
        <v>42.736399999999996</v>
      </c>
      <c r="G286" s="17">
        <f>43.0056 * CHOOSE(CONTROL!$C$9, $D$9, 100%, $F$9) + CHOOSE(CONTROL!$C$27, 0.0021, 0)</f>
        <v>43.0077</v>
      </c>
      <c r="H286" s="17">
        <f>42.8709 * CHOOSE(CONTROL!$C$9, $D$9, 100%, $F$9) + CHOOSE(CONTROL!$C$27, 0.0021, 0)</f>
        <v>42.872999999999998</v>
      </c>
      <c r="I286" s="17">
        <f>42.8709 * CHOOSE(CONTROL!$C$9, $D$9, 100%, $F$9) + CHOOSE(CONTROL!$C$27, 0.0021, 0)</f>
        <v>42.872999999999998</v>
      </c>
      <c r="J286" s="17">
        <f>42.8709 * CHOOSE(CONTROL!$C$9, $D$9, 100%, $F$9) + CHOOSE(CONTROL!$C$27, 0.0021, 0)</f>
        <v>42.872999999999998</v>
      </c>
      <c r="K286" s="17">
        <f>42.8709 * CHOOSE(CONTROL!$C$9, $D$9, 100%, $F$9) + CHOOSE(CONTROL!$C$27, 0.0021, 0)</f>
        <v>42.872999999999998</v>
      </c>
      <c r="L286" s="17"/>
    </row>
    <row r="287" spans="1:12" ht="15" x14ac:dyDescent="0.2">
      <c r="A287" s="15">
        <v>49644</v>
      </c>
      <c r="B287" s="17">
        <f>42.499 * CHOOSE(CONTROL!$C$9, $D$9, 100%, $F$9) + CHOOSE(CONTROL!$C$27, 0.0021, 0)</f>
        <v>42.501100000000001</v>
      </c>
      <c r="C287" s="17">
        <f>42.0668 * CHOOSE(CONTROL!$C$9, $D$9, 100%, $F$9) + CHOOSE(CONTROL!$C$27, 0.0021, 0)</f>
        <v>42.068899999999999</v>
      </c>
      <c r="D287" s="17">
        <f>42.0668 * CHOOSE(CONTROL!$C$9, $D$9, 100%, $F$9) + CHOOSE(CONTROL!$C$27, 0.0021, 0)</f>
        <v>42.068899999999999</v>
      </c>
      <c r="E287" s="17">
        <f>41.9301 * CHOOSE(CONTROL!$C$9, $D$9, 100%, $F$9) + CHOOSE(CONTROL!$C$27, 0.0021, 0)</f>
        <v>41.932200000000002</v>
      </c>
      <c r="F287" s="17">
        <f>41.9301 * CHOOSE(CONTROL!$C$9, $D$9, 100%, $F$9) + CHOOSE(CONTROL!$C$27, 0.0021, 0)</f>
        <v>41.932200000000002</v>
      </c>
      <c r="G287" s="17">
        <f>42.2015 * CHOOSE(CONTROL!$C$9, $D$9, 100%, $F$9) + CHOOSE(CONTROL!$C$27, 0.0021, 0)</f>
        <v>42.203600000000002</v>
      </c>
      <c r="H287" s="17">
        <f>42.0668 * CHOOSE(CONTROL!$C$9, $D$9, 100%, $F$9) + CHOOSE(CONTROL!$C$27, 0.0021, 0)</f>
        <v>42.068899999999999</v>
      </c>
      <c r="I287" s="17">
        <f>42.0668 * CHOOSE(CONTROL!$C$9, $D$9, 100%, $F$9) + CHOOSE(CONTROL!$C$27, 0.0021, 0)</f>
        <v>42.068899999999999</v>
      </c>
      <c r="J287" s="17">
        <f>42.0668 * CHOOSE(CONTROL!$C$9, $D$9, 100%, $F$9) + CHOOSE(CONTROL!$C$27, 0.0021, 0)</f>
        <v>42.068899999999999</v>
      </c>
      <c r="K287" s="17">
        <f>42.0668 * CHOOSE(CONTROL!$C$9, $D$9, 100%, $F$9) + CHOOSE(CONTROL!$C$27, 0.0021, 0)</f>
        <v>42.068899999999999</v>
      </c>
      <c r="L287" s="17"/>
    </row>
    <row r="288" spans="1:12" ht="15" x14ac:dyDescent="0.2">
      <c r="A288" s="15">
        <v>49675</v>
      </c>
      <c r="B288" s="17">
        <f>41.9908 * CHOOSE(CONTROL!$C$9, $D$9, 100%, $F$9) + CHOOSE(CONTROL!$C$27, 0.0021, 0)</f>
        <v>41.992899999999999</v>
      </c>
      <c r="C288" s="17">
        <f>41.5585 * CHOOSE(CONTROL!$C$9, $D$9, 100%, $F$9) + CHOOSE(CONTROL!$C$27, 0.0021, 0)</f>
        <v>41.560600000000001</v>
      </c>
      <c r="D288" s="17">
        <f>41.5585 * CHOOSE(CONTROL!$C$9, $D$9, 100%, $F$9) + CHOOSE(CONTROL!$C$27, 0.0021, 0)</f>
        <v>41.560600000000001</v>
      </c>
      <c r="E288" s="17">
        <f>41.4219 * CHOOSE(CONTROL!$C$9, $D$9, 100%, $F$9) + CHOOSE(CONTROL!$C$27, 0.0021, 0)</f>
        <v>41.423999999999999</v>
      </c>
      <c r="F288" s="17">
        <f>41.4219 * CHOOSE(CONTROL!$C$9, $D$9, 100%, $F$9) + CHOOSE(CONTROL!$C$27, 0.0021, 0)</f>
        <v>41.423999999999999</v>
      </c>
      <c r="G288" s="17">
        <f>41.6933 * CHOOSE(CONTROL!$C$9, $D$9, 100%, $F$9) + CHOOSE(CONTROL!$C$27, 0.0021, 0)</f>
        <v>41.695399999999999</v>
      </c>
      <c r="H288" s="17">
        <f>41.5585 * CHOOSE(CONTROL!$C$9, $D$9, 100%, $F$9) + CHOOSE(CONTROL!$C$27, 0.0021, 0)</f>
        <v>41.560600000000001</v>
      </c>
      <c r="I288" s="17">
        <f>41.5585 * CHOOSE(CONTROL!$C$9, $D$9, 100%, $F$9) + CHOOSE(CONTROL!$C$27, 0.0021, 0)</f>
        <v>41.560600000000001</v>
      </c>
      <c r="J288" s="17">
        <f>41.5585 * CHOOSE(CONTROL!$C$9, $D$9, 100%, $F$9) + CHOOSE(CONTROL!$C$27, 0.0021, 0)</f>
        <v>41.560600000000001</v>
      </c>
      <c r="K288" s="17">
        <f>41.5585 * CHOOSE(CONTROL!$C$9, $D$9, 100%, $F$9) + CHOOSE(CONTROL!$C$27, 0.0021, 0)</f>
        <v>41.560600000000001</v>
      </c>
      <c r="L288" s="17"/>
    </row>
    <row r="289" spans="1:12" ht="15" x14ac:dyDescent="0.2">
      <c r="A289" s="15">
        <v>49706</v>
      </c>
      <c r="B289" s="17">
        <f>40.8679 * CHOOSE(CONTROL!$C$9, $D$9, 100%, $F$9) + CHOOSE(CONTROL!$C$27, 0.0021, 0)</f>
        <v>40.869999999999997</v>
      </c>
      <c r="C289" s="17">
        <f>40.4357 * CHOOSE(CONTROL!$C$9, $D$9, 100%, $F$9) + CHOOSE(CONTROL!$C$27, 0.0021, 0)</f>
        <v>40.437799999999996</v>
      </c>
      <c r="D289" s="17">
        <f>40.4357 * CHOOSE(CONTROL!$C$9, $D$9, 100%, $F$9) + CHOOSE(CONTROL!$C$27, 0.0021, 0)</f>
        <v>40.437799999999996</v>
      </c>
      <c r="E289" s="17">
        <f>40.299 * CHOOSE(CONTROL!$C$9, $D$9, 100%, $F$9) + CHOOSE(CONTROL!$C$27, 0.0021, 0)</f>
        <v>40.301099999999998</v>
      </c>
      <c r="F289" s="17">
        <f>40.299 * CHOOSE(CONTROL!$C$9, $D$9, 100%, $F$9) + CHOOSE(CONTROL!$C$27, 0.0021, 0)</f>
        <v>40.301099999999998</v>
      </c>
      <c r="G289" s="17">
        <f>40.5704 * CHOOSE(CONTROL!$C$9, $D$9, 100%, $F$9) + CHOOSE(CONTROL!$C$27, 0.0021, 0)</f>
        <v>40.572499999999998</v>
      </c>
      <c r="H289" s="17">
        <f>40.4357 * CHOOSE(CONTROL!$C$9, $D$9, 100%, $F$9) + CHOOSE(CONTROL!$C$27, 0.0021, 0)</f>
        <v>40.437799999999996</v>
      </c>
      <c r="I289" s="17">
        <f>40.4357 * CHOOSE(CONTROL!$C$9, $D$9, 100%, $F$9) + CHOOSE(CONTROL!$C$27, 0.0021, 0)</f>
        <v>40.437799999999996</v>
      </c>
      <c r="J289" s="17">
        <f>40.4357 * CHOOSE(CONTROL!$C$9, $D$9, 100%, $F$9) + CHOOSE(CONTROL!$C$27, 0.0021, 0)</f>
        <v>40.437799999999996</v>
      </c>
      <c r="K289" s="17">
        <f>40.4357 * CHOOSE(CONTROL!$C$9, $D$9, 100%, $F$9) + CHOOSE(CONTROL!$C$27, 0.0021, 0)</f>
        <v>40.437799999999996</v>
      </c>
      <c r="L289" s="17"/>
    </row>
    <row r="290" spans="1:12" ht="15" x14ac:dyDescent="0.2">
      <c r="A290" s="15">
        <v>49735</v>
      </c>
      <c r="B290" s="17">
        <f>40.4044 * CHOOSE(CONTROL!$C$9, $D$9, 100%, $F$9) + CHOOSE(CONTROL!$C$27, 0.0021, 0)</f>
        <v>40.406500000000001</v>
      </c>
      <c r="C290" s="17">
        <f>39.9721 * CHOOSE(CONTROL!$C$9, $D$9, 100%, $F$9) + CHOOSE(CONTROL!$C$27, 0.0021, 0)</f>
        <v>39.974199999999996</v>
      </c>
      <c r="D290" s="17">
        <f>39.9721 * CHOOSE(CONTROL!$C$9, $D$9, 100%, $F$9) + CHOOSE(CONTROL!$C$27, 0.0021, 0)</f>
        <v>39.974199999999996</v>
      </c>
      <c r="E290" s="17">
        <f>39.8355 * CHOOSE(CONTROL!$C$9, $D$9, 100%, $F$9) + CHOOSE(CONTROL!$C$27, 0.0021, 0)</f>
        <v>39.837600000000002</v>
      </c>
      <c r="F290" s="17">
        <f>39.8355 * CHOOSE(CONTROL!$C$9, $D$9, 100%, $F$9) + CHOOSE(CONTROL!$C$27, 0.0021, 0)</f>
        <v>39.837600000000002</v>
      </c>
      <c r="G290" s="17">
        <f>40.1068 * CHOOSE(CONTROL!$C$9, $D$9, 100%, $F$9) + CHOOSE(CONTROL!$C$27, 0.0021, 0)</f>
        <v>40.108899999999998</v>
      </c>
      <c r="H290" s="17">
        <f>39.9721 * CHOOSE(CONTROL!$C$9, $D$9, 100%, $F$9) + CHOOSE(CONTROL!$C$27, 0.0021, 0)</f>
        <v>39.974199999999996</v>
      </c>
      <c r="I290" s="17">
        <f>39.9721 * CHOOSE(CONTROL!$C$9, $D$9, 100%, $F$9) + CHOOSE(CONTROL!$C$27, 0.0021, 0)</f>
        <v>39.974199999999996</v>
      </c>
      <c r="J290" s="17">
        <f>39.9721 * CHOOSE(CONTROL!$C$9, $D$9, 100%, $F$9) + CHOOSE(CONTROL!$C$27, 0.0021, 0)</f>
        <v>39.974199999999996</v>
      </c>
      <c r="K290" s="17">
        <f>39.9721 * CHOOSE(CONTROL!$C$9, $D$9, 100%, $F$9) + CHOOSE(CONTROL!$C$27, 0.0021, 0)</f>
        <v>39.974199999999996</v>
      </c>
      <c r="L290" s="17"/>
    </row>
    <row r="291" spans="1:12" ht="15" x14ac:dyDescent="0.2">
      <c r="A291" s="15">
        <v>49766</v>
      </c>
      <c r="B291" s="17">
        <f>39.8509 * CHOOSE(CONTROL!$C$9, $D$9, 100%, $F$9) + CHOOSE(CONTROL!$C$27, 0.0021, 0)</f>
        <v>39.853000000000002</v>
      </c>
      <c r="C291" s="17">
        <f>39.4187 * CHOOSE(CONTROL!$C$9, $D$9, 100%, $F$9) + CHOOSE(CONTROL!$C$27, 0.0021, 0)</f>
        <v>39.4208</v>
      </c>
      <c r="D291" s="17">
        <f>39.4187 * CHOOSE(CONTROL!$C$9, $D$9, 100%, $F$9) + CHOOSE(CONTROL!$C$27, 0.0021, 0)</f>
        <v>39.4208</v>
      </c>
      <c r="E291" s="17">
        <f>39.282 * CHOOSE(CONTROL!$C$9, $D$9, 100%, $F$9) + CHOOSE(CONTROL!$C$27, 0.0021, 0)</f>
        <v>39.284099999999995</v>
      </c>
      <c r="F291" s="17">
        <f>39.282 * CHOOSE(CONTROL!$C$9, $D$9, 100%, $F$9) + CHOOSE(CONTROL!$C$27, 0.0021, 0)</f>
        <v>39.284099999999995</v>
      </c>
      <c r="G291" s="17">
        <f>39.5534 * CHOOSE(CONTROL!$C$9, $D$9, 100%, $F$9) + CHOOSE(CONTROL!$C$27, 0.0021, 0)</f>
        <v>39.555500000000002</v>
      </c>
      <c r="H291" s="17">
        <f>39.4187 * CHOOSE(CONTROL!$C$9, $D$9, 100%, $F$9) + CHOOSE(CONTROL!$C$27, 0.0021, 0)</f>
        <v>39.4208</v>
      </c>
      <c r="I291" s="17">
        <f>39.4187 * CHOOSE(CONTROL!$C$9, $D$9, 100%, $F$9) + CHOOSE(CONTROL!$C$27, 0.0021, 0)</f>
        <v>39.4208</v>
      </c>
      <c r="J291" s="17">
        <f>39.4187 * CHOOSE(CONTROL!$C$9, $D$9, 100%, $F$9) + CHOOSE(CONTROL!$C$27, 0.0021, 0)</f>
        <v>39.4208</v>
      </c>
      <c r="K291" s="17">
        <f>39.4187 * CHOOSE(CONTROL!$C$9, $D$9, 100%, $F$9) + CHOOSE(CONTROL!$C$27, 0.0021, 0)</f>
        <v>39.4208</v>
      </c>
      <c r="L291" s="17"/>
    </row>
    <row r="292" spans="1:12" ht="15" x14ac:dyDescent="0.2">
      <c r="A292" s="15">
        <v>49796</v>
      </c>
      <c r="B292" s="17">
        <f>40.6397 * CHOOSE(CONTROL!$C$9, $D$9, 100%, $F$9) + CHOOSE(CONTROL!$C$27, 0.0021, 0)</f>
        <v>40.641799999999996</v>
      </c>
      <c r="C292" s="17">
        <f>40.2074 * CHOOSE(CONTROL!$C$9, $D$9, 100%, $F$9) + CHOOSE(CONTROL!$C$27, 0.0021, 0)</f>
        <v>40.209499999999998</v>
      </c>
      <c r="D292" s="17">
        <f>40.2074 * CHOOSE(CONTROL!$C$9, $D$9, 100%, $F$9) + CHOOSE(CONTROL!$C$27, 0.0021, 0)</f>
        <v>40.209499999999998</v>
      </c>
      <c r="E292" s="17">
        <f>40.0708 * CHOOSE(CONTROL!$C$9, $D$9, 100%, $F$9) + CHOOSE(CONTROL!$C$27, 0.0021, 0)</f>
        <v>40.072899999999997</v>
      </c>
      <c r="F292" s="17">
        <f>40.0708 * CHOOSE(CONTROL!$C$9, $D$9, 100%, $F$9) + CHOOSE(CONTROL!$C$27, 0.0021, 0)</f>
        <v>40.072899999999997</v>
      </c>
      <c r="G292" s="17">
        <f>40.3421 * CHOOSE(CONTROL!$C$9, $D$9, 100%, $F$9) + CHOOSE(CONTROL!$C$27, 0.0021, 0)</f>
        <v>40.344200000000001</v>
      </c>
      <c r="H292" s="17">
        <f>40.2074 * CHOOSE(CONTROL!$C$9, $D$9, 100%, $F$9) + CHOOSE(CONTROL!$C$27, 0.0021, 0)</f>
        <v>40.209499999999998</v>
      </c>
      <c r="I292" s="17">
        <f>40.2074 * CHOOSE(CONTROL!$C$9, $D$9, 100%, $F$9) + CHOOSE(CONTROL!$C$27, 0.0021, 0)</f>
        <v>40.209499999999998</v>
      </c>
      <c r="J292" s="17">
        <f>40.2074 * CHOOSE(CONTROL!$C$9, $D$9, 100%, $F$9) + CHOOSE(CONTROL!$C$27, 0.0021, 0)</f>
        <v>40.209499999999998</v>
      </c>
      <c r="K292" s="17">
        <f>40.2074 * CHOOSE(CONTROL!$C$9, $D$9, 100%, $F$9) + CHOOSE(CONTROL!$C$27, 0.0021, 0)</f>
        <v>40.209499999999998</v>
      </c>
      <c r="L292" s="17"/>
    </row>
    <row r="293" spans="1:12" ht="15" x14ac:dyDescent="0.2">
      <c r="A293" s="15">
        <v>49827</v>
      </c>
      <c r="B293" s="17">
        <f>41.1121 * CHOOSE(CONTROL!$C$9, $D$9, 100%, $F$9) + CHOOSE(CONTROL!$C$27, 0.0021, 0)</f>
        <v>41.114199999999997</v>
      </c>
      <c r="C293" s="17">
        <f>40.6798 * CHOOSE(CONTROL!$C$9, $D$9, 100%, $F$9) + CHOOSE(CONTROL!$C$27, 0.0021, 0)</f>
        <v>40.681899999999999</v>
      </c>
      <c r="D293" s="17">
        <f>40.6798 * CHOOSE(CONTROL!$C$9, $D$9, 100%, $F$9) + CHOOSE(CONTROL!$C$27, 0.0021, 0)</f>
        <v>40.681899999999999</v>
      </c>
      <c r="E293" s="17">
        <f>40.5432 * CHOOSE(CONTROL!$C$9, $D$9, 100%, $F$9) + CHOOSE(CONTROL!$C$27, 0.0021, 0)</f>
        <v>40.545299999999997</v>
      </c>
      <c r="F293" s="17">
        <f>40.5432 * CHOOSE(CONTROL!$C$9, $D$9, 100%, $F$9) + CHOOSE(CONTROL!$C$27, 0.0021, 0)</f>
        <v>40.545299999999997</v>
      </c>
      <c r="G293" s="17">
        <f>40.8146 * CHOOSE(CONTROL!$C$9, $D$9, 100%, $F$9) + CHOOSE(CONTROL!$C$27, 0.0021, 0)</f>
        <v>40.816699999999997</v>
      </c>
      <c r="H293" s="17">
        <f>40.6798 * CHOOSE(CONTROL!$C$9, $D$9, 100%, $F$9) + CHOOSE(CONTROL!$C$27, 0.0021, 0)</f>
        <v>40.681899999999999</v>
      </c>
      <c r="I293" s="17">
        <f>40.6798 * CHOOSE(CONTROL!$C$9, $D$9, 100%, $F$9) + CHOOSE(CONTROL!$C$27, 0.0021, 0)</f>
        <v>40.681899999999999</v>
      </c>
      <c r="J293" s="17">
        <f>40.6798 * CHOOSE(CONTROL!$C$9, $D$9, 100%, $F$9) + CHOOSE(CONTROL!$C$27, 0.0021, 0)</f>
        <v>40.681899999999999</v>
      </c>
      <c r="K293" s="17">
        <f>40.6798 * CHOOSE(CONTROL!$C$9, $D$9, 100%, $F$9) + CHOOSE(CONTROL!$C$27, 0.0021, 0)</f>
        <v>40.681899999999999</v>
      </c>
      <c r="L293" s="17"/>
    </row>
    <row r="294" spans="1:12" ht="15" x14ac:dyDescent="0.2">
      <c r="A294" s="15">
        <v>49857</v>
      </c>
      <c r="B294" s="17">
        <f>41.8914 * CHOOSE(CONTROL!$C$9, $D$9, 100%, $F$9) + CHOOSE(CONTROL!$C$27, 0.0021, 0)</f>
        <v>41.893499999999996</v>
      </c>
      <c r="C294" s="17">
        <f>41.4592 * CHOOSE(CONTROL!$C$9, $D$9, 100%, $F$9) + CHOOSE(CONTROL!$C$27, 0.0021, 0)</f>
        <v>41.461300000000001</v>
      </c>
      <c r="D294" s="17">
        <f>41.4592 * CHOOSE(CONTROL!$C$9, $D$9, 100%, $F$9) + CHOOSE(CONTROL!$C$27, 0.0021, 0)</f>
        <v>41.461300000000001</v>
      </c>
      <c r="E294" s="17">
        <f>41.3225 * CHOOSE(CONTROL!$C$9, $D$9, 100%, $F$9) + CHOOSE(CONTROL!$C$27, 0.0021, 0)</f>
        <v>41.324599999999997</v>
      </c>
      <c r="F294" s="17">
        <f>41.3225 * CHOOSE(CONTROL!$C$9, $D$9, 100%, $F$9) + CHOOSE(CONTROL!$C$27, 0.0021, 0)</f>
        <v>41.324599999999997</v>
      </c>
      <c r="G294" s="17">
        <f>41.5939 * CHOOSE(CONTROL!$C$9, $D$9, 100%, $F$9) + CHOOSE(CONTROL!$C$27, 0.0021, 0)</f>
        <v>41.595999999999997</v>
      </c>
      <c r="H294" s="17">
        <f>41.4592 * CHOOSE(CONTROL!$C$9, $D$9, 100%, $F$9) + CHOOSE(CONTROL!$C$27, 0.0021, 0)</f>
        <v>41.461300000000001</v>
      </c>
      <c r="I294" s="17">
        <f>41.4592 * CHOOSE(CONTROL!$C$9, $D$9, 100%, $F$9) + CHOOSE(CONTROL!$C$27, 0.0021, 0)</f>
        <v>41.461300000000001</v>
      </c>
      <c r="J294" s="17">
        <f>41.4592 * CHOOSE(CONTROL!$C$9, $D$9, 100%, $F$9) + CHOOSE(CONTROL!$C$27, 0.0021, 0)</f>
        <v>41.461300000000001</v>
      </c>
      <c r="K294" s="17">
        <f>41.4592 * CHOOSE(CONTROL!$C$9, $D$9, 100%, $F$9) + CHOOSE(CONTROL!$C$27, 0.0021, 0)</f>
        <v>41.461300000000001</v>
      </c>
      <c r="L294" s="17"/>
    </row>
    <row r="295" spans="1:12" ht="15" x14ac:dyDescent="0.2">
      <c r="A295" s="15">
        <v>49888</v>
      </c>
      <c r="B295" s="17">
        <f>42.1293 * CHOOSE(CONTROL!$C$9, $D$9, 100%, $F$9) + CHOOSE(CONTROL!$C$27, 0.0021, 0)</f>
        <v>42.131399999999999</v>
      </c>
      <c r="C295" s="17">
        <f>41.6971 * CHOOSE(CONTROL!$C$9, $D$9, 100%, $F$9) + CHOOSE(CONTROL!$C$27, 0.0021, 0)</f>
        <v>41.699199999999998</v>
      </c>
      <c r="D295" s="17">
        <f>41.6971 * CHOOSE(CONTROL!$C$9, $D$9, 100%, $F$9) + CHOOSE(CONTROL!$C$27, 0.0021, 0)</f>
        <v>41.699199999999998</v>
      </c>
      <c r="E295" s="17">
        <f>41.5604 * CHOOSE(CONTROL!$C$9, $D$9, 100%, $F$9) + CHOOSE(CONTROL!$C$27, 0.0021, 0)</f>
        <v>41.5625</v>
      </c>
      <c r="F295" s="17">
        <f>41.5604 * CHOOSE(CONTROL!$C$9, $D$9, 100%, $F$9) + CHOOSE(CONTROL!$C$27, 0.0021, 0)</f>
        <v>41.5625</v>
      </c>
      <c r="G295" s="17">
        <f>41.8318 * CHOOSE(CONTROL!$C$9, $D$9, 100%, $F$9) + CHOOSE(CONTROL!$C$27, 0.0021, 0)</f>
        <v>41.8339</v>
      </c>
      <c r="H295" s="17">
        <f>41.6971 * CHOOSE(CONTROL!$C$9, $D$9, 100%, $F$9) + CHOOSE(CONTROL!$C$27, 0.0021, 0)</f>
        <v>41.699199999999998</v>
      </c>
      <c r="I295" s="17">
        <f>41.6971 * CHOOSE(CONTROL!$C$9, $D$9, 100%, $F$9) + CHOOSE(CONTROL!$C$27, 0.0021, 0)</f>
        <v>41.699199999999998</v>
      </c>
      <c r="J295" s="17">
        <f>41.6971 * CHOOSE(CONTROL!$C$9, $D$9, 100%, $F$9) + CHOOSE(CONTROL!$C$27, 0.0021, 0)</f>
        <v>41.699199999999998</v>
      </c>
      <c r="K295" s="17">
        <f>41.6971 * CHOOSE(CONTROL!$C$9, $D$9, 100%, $F$9) + CHOOSE(CONTROL!$C$27, 0.0021, 0)</f>
        <v>41.699199999999998</v>
      </c>
      <c r="L295" s="17"/>
    </row>
    <row r="296" spans="1:12" ht="15" x14ac:dyDescent="0.2">
      <c r="A296" s="15">
        <v>49919</v>
      </c>
      <c r="B296" s="17">
        <f>42.9394 * CHOOSE(CONTROL!$C$9, $D$9, 100%, $F$9) + CHOOSE(CONTROL!$C$27, 0.0021, 0)</f>
        <v>42.941499999999998</v>
      </c>
      <c r="C296" s="17">
        <f>42.5071 * CHOOSE(CONTROL!$C$9, $D$9, 100%, $F$9) + CHOOSE(CONTROL!$C$27, 0.0021, 0)</f>
        <v>42.5092</v>
      </c>
      <c r="D296" s="17">
        <f>42.5071 * CHOOSE(CONTROL!$C$9, $D$9, 100%, $F$9) + CHOOSE(CONTROL!$C$27, 0.0021, 0)</f>
        <v>42.5092</v>
      </c>
      <c r="E296" s="17">
        <f>42.3705 * CHOOSE(CONTROL!$C$9, $D$9, 100%, $F$9) + CHOOSE(CONTROL!$C$27, 0.0021, 0)</f>
        <v>42.372599999999998</v>
      </c>
      <c r="F296" s="17">
        <f>42.3705 * CHOOSE(CONTROL!$C$9, $D$9, 100%, $F$9) + CHOOSE(CONTROL!$C$27, 0.0021, 0)</f>
        <v>42.372599999999998</v>
      </c>
      <c r="G296" s="17">
        <f>42.6419 * CHOOSE(CONTROL!$C$9, $D$9, 100%, $F$9) + CHOOSE(CONTROL!$C$27, 0.0021, 0)</f>
        <v>42.643999999999998</v>
      </c>
      <c r="H296" s="17">
        <f>42.5071 * CHOOSE(CONTROL!$C$9, $D$9, 100%, $F$9) + CHOOSE(CONTROL!$C$27, 0.0021, 0)</f>
        <v>42.5092</v>
      </c>
      <c r="I296" s="17">
        <f>42.5071 * CHOOSE(CONTROL!$C$9, $D$9, 100%, $F$9) + CHOOSE(CONTROL!$C$27, 0.0021, 0)</f>
        <v>42.5092</v>
      </c>
      <c r="J296" s="17">
        <f>42.5071 * CHOOSE(CONTROL!$C$9, $D$9, 100%, $F$9) + CHOOSE(CONTROL!$C$27, 0.0021, 0)</f>
        <v>42.5092</v>
      </c>
      <c r="K296" s="17">
        <f>42.5071 * CHOOSE(CONTROL!$C$9, $D$9, 100%, $F$9) + CHOOSE(CONTROL!$C$27, 0.0021, 0)</f>
        <v>42.5092</v>
      </c>
      <c r="L296" s="17"/>
    </row>
    <row r="297" spans="1:12" ht="15" x14ac:dyDescent="0.2">
      <c r="A297" s="15">
        <v>49949</v>
      </c>
      <c r="B297" s="17">
        <f>43.9648 * CHOOSE(CONTROL!$C$9, $D$9, 100%, $F$9) + CHOOSE(CONTROL!$C$27, 0.0021, 0)</f>
        <v>43.966899999999995</v>
      </c>
      <c r="C297" s="17">
        <f>43.5326 * CHOOSE(CONTROL!$C$9, $D$9, 100%, $F$9) + CHOOSE(CONTROL!$C$27, 0.0021, 0)</f>
        <v>43.534700000000001</v>
      </c>
      <c r="D297" s="17">
        <f>43.5326 * CHOOSE(CONTROL!$C$9, $D$9, 100%, $F$9) + CHOOSE(CONTROL!$C$27, 0.0021, 0)</f>
        <v>43.534700000000001</v>
      </c>
      <c r="E297" s="17">
        <f>43.3959 * CHOOSE(CONTROL!$C$9, $D$9, 100%, $F$9) + CHOOSE(CONTROL!$C$27, 0.0021, 0)</f>
        <v>43.397999999999996</v>
      </c>
      <c r="F297" s="17">
        <f>43.3959 * CHOOSE(CONTROL!$C$9, $D$9, 100%, $F$9) + CHOOSE(CONTROL!$C$27, 0.0021, 0)</f>
        <v>43.397999999999996</v>
      </c>
      <c r="G297" s="17">
        <f>43.6673 * CHOOSE(CONTROL!$C$9, $D$9, 100%, $F$9) + CHOOSE(CONTROL!$C$27, 0.0021, 0)</f>
        <v>43.669399999999996</v>
      </c>
      <c r="H297" s="17">
        <f>43.5326 * CHOOSE(CONTROL!$C$9, $D$9, 100%, $F$9) + CHOOSE(CONTROL!$C$27, 0.0021, 0)</f>
        <v>43.534700000000001</v>
      </c>
      <c r="I297" s="17">
        <f>43.5326 * CHOOSE(CONTROL!$C$9, $D$9, 100%, $F$9) + CHOOSE(CONTROL!$C$27, 0.0021, 0)</f>
        <v>43.534700000000001</v>
      </c>
      <c r="J297" s="17">
        <f>43.5326 * CHOOSE(CONTROL!$C$9, $D$9, 100%, $F$9) + CHOOSE(CONTROL!$C$27, 0.0021, 0)</f>
        <v>43.534700000000001</v>
      </c>
      <c r="K297" s="17">
        <f>43.5326 * CHOOSE(CONTROL!$C$9, $D$9, 100%, $F$9) + CHOOSE(CONTROL!$C$27, 0.0021, 0)</f>
        <v>43.534700000000001</v>
      </c>
      <c r="L297" s="17"/>
    </row>
    <row r="298" spans="1:12" ht="15" x14ac:dyDescent="0.2">
      <c r="A298" s="15">
        <v>49980</v>
      </c>
      <c r="B298" s="17">
        <f>44.0611 * CHOOSE(CONTROL!$C$9, $D$9, 100%, $F$9) + CHOOSE(CONTROL!$C$27, 0.0021, 0)</f>
        <v>44.063200000000002</v>
      </c>
      <c r="C298" s="17">
        <f>43.6288 * CHOOSE(CONTROL!$C$9, $D$9, 100%, $F$9) + CHOOSE(CONTROL!$C$27, 0.0021, 0)</f>
        <v>43.630899999999997</v>
      </c>
      <c r="D298" s="17">
        <f>43.6288 * CHOOSE(CONTROL!$C$9, $D$9, 100%, $F$9) + CHOOSE(CONTROL!$C$27, 0.0021, 0)</f>
        <v>43.630899999999997</v>
      </c>
      <c r="E298" s="17">
        <f>43.4922 * CHOOSE(CONTROL!$C$9, $D$9, 100%, $F$9) + CHOOSE(CONTROL!$C$27, 0.0021, 0)</f>
        <v>43.494299999999996</v>
      </c>
      <c r="F298" s="17">
        <f>43.4922 * CHOOSE(CONTROL!$C$9, $D$9, 100%, $F$9) + CHOOSE(CONTROL!$C$27, 0.0021, 0)</f>
        <v>43.494299999999996</v>
      </c>
      <c r="G298" s="17">
        <f>43.7635 * CHOOSE(CONTROL!$C$9, $D$9, 100%, $F$9) + CHOOSE(CONTROL!$C$27, 0.0021, 0)</f>
        <v>43.765599999999999</v>
      </c>
      <c r="H298" s="17">
        <f>43.6288 * CHOOSE(CONTROL!$C$9, $D$9, 100%, $F$9) + CHOOSE(CONTROL!$C$27, 0.0021, 0)</f>
        <v>43.630899999999997</v>
      </c>
      <c r="I298" s="17">
        <f>43.6288 * CHOOSE(CONTROL!$C$9, $D$9, 100%, $F$9) + CHOOSE(CONTROL!$C$27, 0.0021, 0)</f>
        <v>43.630899999999997</v>
      </c>
      <c r="J298" s="17">
        <f>43.6288 * CHOOSE(CONTROL!$C$9, $D$9, 100%, $F$9) + CHOOSE(CONTROL!$C$27, 0.0021, 0)</f>
        <v>43.630899999999997</v>
      </c>
      <c r="K298" s="17">
        <f>43.6288 * CHOOSE(CONTROL!$C$9, $D$9, 100%, $F$9) + CHOOSE(CONTROL!$C$27, 0.0021, 0)</f>
        <v>43.630899999999997</v>
      </c>
      <c r="L298" s="17"/>
    </row>
    <row r="299" spans="1:12" ht="15" x14ac:dyDescent="0.2">
      <c r="A299" s="15">
        <v>50010</v>
      </c>
      <c r="B299" s="17">
        <f>43.2421 * CHOOSE(CONTROL!$C$9, $D$9, 100%, $F$9) + CHOOSE(CONTROL!$C$27, 0.0021, 0)</f>
        <v>43.244199999999999</v>
      </c>
      <c r="C299" s="17">
        <f>42.8098 * CHOOSE(CONTROL!$C$9, $D$9, 100%, $F$9) + CHOOSE(CONTROL!$C$27, 0.0021, 0)</f>
        <v>42.811900000000001</v>
      </c>
      <c r="D299" s="17">
        <f>42.8098 * CHOOSE(CONTROL!$C$9, $D$9, 100%, $F$9) + CHOOSE(CONTROL!$C$27, 0.0021, 0)</f>
        <v>42.811900000000001</v>
      </c>
      <c r="E299" s="17">
        <f>42.6732 * CHOOSE(CONTROL!$C$9, $D$9, 100%, $F$9) + CHOOSE(CONTROL!$C$27, 0.0021, 0)</f>
        <v>42.6753</v>
      </c>
      <c r="F299" s="17">
        <f>42.6732 * CHOOSE(CONTROL!$C$9, $D$9, 100%, $F$9) + CHOOSE(CONTROL!$C$27, 0.0021, 0)</f>
        <v>42.6753</v>
      </c>
      <c r="G299" s="17">
        <f>42.9446 * CHOOSE(CONTROL!$C$9, $D$9, 100%, $F$9) + CHOOSE(CONTROL!$C$27, 0.0021, 0)</f>
        <v>42.9467</v>
      </c>
      <c r="H299" s="17">
        <f>42.8098 * CHOOSE(CONTROL!$C$9, $D$9, 100%, $F$9) + CHOOSE(CONTROL!$C$27, 0.0021, 0)</f>
        <v>42.811900000000001</v>
      </c>
      <c r="I299" s="17">
        <f>42.8098 * CHOOSE(CONTROL!$C$9, $D$9, 100%, $F$9) + CHOOSE(CONTROL!$C$27, 0.0021, 0)</f>
        <v>42.811900000000001</v>
      </c>
      <c r="J299" s="17">
        <f>42.8098 * CHOOSE(CONTROL!$C$9, $D$9, 100%, $F$9) + CHOOSE(CONTROL!$C$27, 0.0021, 0)</f>
        <v>42.811900000000001</v>
      </c>
      <c r="K299" s="17">
        <f>42.8098 * CHOOSE(CONTROL!$C$9, $D$9, 100%, $F$9) + CHOOSE(CONTROL!$C$27, 0.0021, 0)</f>
        <v>42.811900000000001</v>
      </c>
      <c r="L299" s="17"/>
    </row>
    <row r="300" spans="1:12" ht="15" x14ac:dyDescent="0.2">
      <c r="A300" s="15">
        <v>50041</v>
      </c>
      <c r="B300" s="17">
        <f>42.7244 * CHOOSE(CONTROL!$C$9, $D$9, 100%, $F$9) + CHOOSE(CONTROL!$C$27, 0.0021, 0)</f>
        <v>42.726500000000001</v>
      </c>
      <c r="C300" s="17">
        <f>42.2922 * CHOOSE(CONTROL!$C$9, $D$9, 100%, $F$9) + CHOOSE(CONTROL!$C$27, 0.0021, 0)</f>
        <v>42.2943</v>
      </c>
      <c r="D300" s="17">
        <f>42.2922 * CHOOSE(CONTROL!$C$9, $D$9, 100%, $F$9) + CHOOSE(CONTROL!$C$27, 0.0021, 0)</f>
        <v>42.2943</v>
      </c>
      <c r="E300" s="17">
        <f>42.1555 * CHOOSE(CONTROL!$C$9, $D$9, 100%, $F$9) + CHOOSE(CONTROL!$C$27, 0.0021, 0)</f>
        <v>42.157600000000002</v>
      </c>
      <c r="F300" s="17">
        <f>42.1555 * CHOOSE(CONTROL!$C$9, $D$9, 100%, $F$9) + CHOOSE(CONTROL!$C$27, 0.0021, 0)</f>
        <v>42.157600000000002</v>
      </c>
      <c r="G300" s="17">
        <f>42.4269 * CHOOSE(CONTROL!$C$9, $D$9, 100%, $F$9) + CHOOSE(CONTROL!$C$27, 0.0021, 0)</f>
        <v>42.429000000000002</v>
      </c>
      <c r="H300" s="17">
        <f>42.2922 * CHOOSE(CONTROL!$C$9, $D$9, 100%, $F$9) + CHOOSE(CONTROL!$C$27, 0.0021, 0)</f>
        <v>42.2943</v>
      </c>
      <c r="I300" s="17">
        <f>42.2922 * CHOOSE(CONTROL!$C$9, $D$9, 100%, $F$9) + CHOOSE(CONTROL!$C$27, 0.0021, 0)</f>
        <v>42.2943</v>
      </c>
      <c r="J300" s="17">
        <f>42.2922 * CHOOSE(CONTROL!$C$9, $D$9, 100%, $F$9) + CHOOSE(CONTROL!$C$27, 0.0021, 0)</f>
        <v>42.2943</v>
      </c>
      <c r="K300" s="17">
        <f>42.2922 * CHOOSE(CONTROL!$C$9, $D$9, 100%, $F$9) + CHOOSE(CONTROL!$C$27, 0.0021, 0)</f>
        <v>42.2943</v>
      </c>
      <c r="L300" s="17"/>
    </row>
    <row r="301" spans="1:12" ht="15" x14ac:dyDescent="0.2">
      <c r="A301" s="15">
        <v>50072</v>
      </c>
      <c r="B301" s="17">
        <f>41.5808 * CHOOSE(CONTROL!$C$9, $D$9, 100%, $F$9) + CHOOSE(CONTROL!$C$27, 0.0021, 0)</f>
        <v>41.582900000000002</v>
      </c>
      <c r="C301" s="17">
        <f>41.1486 * CHOOSE(CONTROL!$C$9, $D$9, 100%, $F$9) + CHOOSE(CONTROL!$C$27, 0.0021, 0)</f>
        <v>41.150700000000001</v>
      </c>
      <c r="D301" s="17">
        <f>41.1486 * CHOOSE(CONTROL!$C$9, $D$9, 100%, $F$9) + CHOOSE(CONTROL!$C$27, 0.0021, 0)</f>
        <v>41.150700000000001</v>
      </c>
      <c r="E301" s="17">
        <f>41.0119 * CHOOSE(CONTROL!$C$9, $D$9, 100%, $F$9) + CHOOSE(CONTROL!$C$27, 0.0021, 0)</f>
        <v>41.013999999999996</v>
      </c>
      <c r="F301" s="17">
        <f>41.0119 * CHOOSE(CONTROL!$C$9, $D$9, 100%, $F$9) + CHOOSE(CONTROL!$C$27, 0.0021, 0)</f>
        <v>41.013999999999996</v>
      </c>
      <c r="G301" s="17">
        <f>41.2833 * CHOOSE(CONTROL!$C$9, $D$9, 100%, $F$9) + CHOOSE(CONTROL!$C$27, 0.0021, 0)</f>
        <v>41.285399999999996</v>
      </c>
      <c r="H301" s="17">
        <f>41.1486 * CHOOSE(CONTROL!$C$9, $D$9, 100%, $F$9) + CHOOSE(CONTROL!$C$27, 0.0021, 0)</f>
        <v>41.150700000000001</v>
      </c>
      <c r="I301" s="17">
        <f>41.1486 * CHOOSE(CONTROL!$C$9, $D$9, 100%, $F$9) + CHOOSE(CONTROL!$C$27, 0.0021, 0)</f>
        <v>41.150700000000001</v>
      </c>
      <c r="J301" s="17">
        <f>41.1486 * CHOOSE(CONTROL!$C$9, $D$9, 100%, $F$9) + CHOOSE(CONTROL!$C$27, 0.0021, 0)</f>
        <v>41.150700000000001</v>
      </c>
      <c r="K301" s="17">
        <f>41.1486 * CHOOSE(CONTROL!$C$9, $D$9, 100%, $F$9) + CHOOSE(CONTROL!$C$27, 0.0021, 0)</f>
        <v>41.150700000000001</v>
      </c>
      <c r="L301" s="17"/>
    </row>
    <row r="302" spans="1:12" ht="15" x14ac:dyDescent="0.2">
      <c r="A302" s="15">
        <v>50100</v>
      </c>
      <c r="B302" s="17">
        <f>41.1087 * CHOOSE(CONTROL!$C$9, $D$9, 100%, $F$9) + CHOOSE(CONTROL!$C$27, 0.0021, 0)</f>
        <v>41.110799999999998</v>
      </c>
      <c r="C302" s="17">
        <f>40.6765 * CHOOSE(CONTROL!$C$9, $D$9, 100%, $F$9) + CHOOSE(CONTROL!$C$27, 0.0021, 0)</f>
        <v>40.678599999999996</v>
      </c>
      <c r="D302" s="17">
        <f>40.6765 * CHOOSE(CONTROL!$C$9, $D$9, 100%, $F$9) + CHOOSE(CONTROL!$C$27, 0.0021, 0)</f>
        <v>40.678599999999996</v>
      </c>
      <c r="E302" s="17">
        <f>40.5398 * CHOOSE(CONTROL!$C$9, $D$9, 100%, $F$9) + CHOOSE(CONTROL!$C$27, 0.0021, 0)</f>
        <v>40.541899999999998</v>
      </c>
      <c r="F302" s="17">
        <f>40.5398 * CHOOSE(CONTROL!$C$9, $D$9, 100%, $F$9) + CHOOSE(CONTROL!$C$27, 0.0021, 0)</f>
        <v>40.541899999999998</v>
      </c>
      <c r="G302" s="17">
        <f>40.8112 * CHOOSE(CONTROL!$C$9, $D$9, 100%, $F$9) + CHOOSE(CONTROL!$C$27, 0.0021, 0)</f>
        <v>40.813299999999998</v>
      </c>
      <c r="H302" s="17">
        <f>40.6765 * CHOOSE(CONTROL!$C$9, $D$9, 100%, $F$9) + CHOOSE(CONTROL!$C$27, 0.0021, 0)</f>
        <v>40.678599999999996</v>
      </c>
      <c r="I302" s="17">
        <f>40.6765 * CHOOSE(CONTROL!$C$9, $D$9, 100%, $F$9) + CHOOSE(CONTROL!$C$27, 0.0021, 0)</f>
        <v>40.678599999999996</v>
      </c>
      <c r="J302" s="17">
        <f>40.6765 * CHOOSE(CONTROL!$C$9, $D$9, 100%, $F$9) + CHOOSE(CONTROL!$C$27, 0.0021, 0)</f>
        <v>40.678599999999996</v>
      </c>
      <c r="K302" s="17">
        <f>40.6765 * CHOOSE(CONTROL!$C$9, $D$9, 100%, $F$9) + CHOOSE(CONTROL!$C$27, 0.0021, 0)</f>
        <v>40.678599999999996</v>
      </c>
      <c r="L302" s="17"/>
    </row>
    <row r="303" spans="1:12" ht="15" x14ac:dyDescent="0.2">
      <c r="A303" s="15">
        <v>50131</v>
      </c>
      <c r="B303" s="17">
        <f>40.545 * CHOOSE(CONTROL!$C$9, $D$9, 100%, $F$9) + CHOOSE(CONTROL!$C$27, 0.0021, 0)</f>
        <v>40.5471</v>
      </c>
      <c r="C303" s="17">
        <f>40.1128 * CHOOSE(CONTROL!$C$9, $D$9, 100%, $F$9) + CHOOSE(CONTROL!$C$27, 0.0021, 0)</f>
        <v>40.114899999999999</v>
      </c>
      <c r="D303" s="17">
        <f>40.1128 * CHOOSE(CONTROL!$C$9, $D$9, 100%, $F$9) + CHOOSE(CONTROL!$C$27, 0.0021, 0)</f>
        <v>40.114899999999999</v>
      </c>
      <c r="E303" s="17">
        <f>39.9761 * CHOOSE(CONTROL!$C$9, $D$9, 100%, $F$9) + CHOOSE(CONTROL!$C$27, 0.0021, 0)</f>
        <v>39.978200000000001</v>
      </c>
      <c r="F303" s="17">
        <f>39.9761 * CHOOSE(CONTROL!$C$9, $D$9, 100%, $F$9) + CHOOSE(CONTROL!$C$27, 0.0021, 0)</f>
        <v>39.978200000000001</v>
      </c>
      <c r="G303" s="17">
        <f>40.2475 * CHOOSE(CONTROL!$C$9, $D$9, 100%, $F$9) + CHOOSE(CONTROL!$C$27, 0.0021, 0)</f>
        <v>40.249600000000001</v>
      </c>
      <c r="H303" s="17">
        <f>40.1128 * CHOOSE(CONTROL!$C$9, $D$9, 100%, $F$9) + CHOOSE(CONTROL!$C$27, 0.0021, 0)</f>
        <v>40.114899999999999</v>
      </c>
      <c r="I303" s="17">
        <f>40.1128 * CHOOSE(CONTROL!$C$9, $D$9, 100%, $F$9) + CHOOSE(CONTROL!$C$27, 0.0021, 0)</f>
        <v>40.114899999999999</v>
      </c>
      <c r="J303" s="17">
        <f>40.1128 * CHOOSE(CONTROL!$C$9, $D$9, 100%, $F$9) + CHOOSE(CONTROL!$C$27, 0.0021, 0)</f>
        <v>40.114899999999999</v>
      </c>
      <c r="K303" s="17">
        <f>40.1128 * CHOOSE(CONTROL!$C$9, $D$9, 100%, $F$9) + CHOOSE(CONTROL!$C$27, 0.0021, 0)</f>
        <v>40.114899999999999</v>
      </c>
      <c r="L303" s="17"/>
    </row>
    <row r="304" spans="1:12" ht="15" x14ac:dyDescent="0.2">
      <c r="A304" s="15">
        <v>50161</v>
      </c>
      <c r="B304" s="17">
        <f>41.3483 * CHOOSE(CONTROL!$C$9, $D$9, 100%, $F$9) + CHOOSE(CONTROL!$C$27, 0.0021, 0)</f>
        <v>41.3504</v>
      </c>
      <c r="C304" s="17">
        <f>40.9161 * CHOOSE(CONTROL!$C$9, $D$9, 100%, $F$9) + CHOOSE(CONTROL!$C$27, 0.0021, 0)</f>
        <v>40.918199999999999</v>
      </c>
      <c r="D304" s="17">
        <f>40.9161 * CHOOSE(CONTROL!$C$9, $D$9, 100%, $F$9) + CHOOSE(CONTROL!$C$27, 0.0021, 0)</f>
        <v>40.918199999999999</v>
      </c>
      <c r="E304" s="17">
        <f>40.7794 * CHOOSE(CONTROL!$C$9, $D$9, 100%, $F$9) + CHOOSE(CONTROL!$C$27, 0.0021, 0)</f>
        <v>40.781500000000001</v>
      </c>
      <c r="F304" s="17">
        <f>40.7794 * CHOOSE(CONTROL!$C$9, $D$9, 100%, $F$9) + CHOOSE(CONTROL!$C$27, 0.0021, 0)</f>
        <v>40.781500000000001</v>
      </c>
      <c r="G304" s="17">
        <f>41.0508 * CHOOSE(CONTROL!$C$9, $D$9, 100%, $F$9) + CHOOSE(CONTROL!$C$27, 0.0021, 0)</f>
        <v>41.052900000000001</v>
      </c>
      <c r="H304" s="17">
        <f>40.9161 * CHOOSE(CONTROL!$C$9, $D$9, 100%, $F$9) + CHOOSE(CONTROL!$C$27, 0.0021, 0)</f>
        <v>40.918199999999999</v>
      </c>
      <c r="I304" s="17">
        <f>40.9161 * CHOOSE(CONTROL!$C$9, $D$9, 100%, $F$9) + CHOOSE(CONTROL!$C$27, 0.0021, 0)</f>
        <v>40.918199999999999</v>
      </c>
      <c r="J304" s="17">
        <f>40.9161 * CHOOSE(CONTROL!$C$9, $D$9, 100%, $F$9) + CHOOSE(CONTROL!$C$27, 0.0021, 0)</f>
        <v>40.918199999999999</v>
      </c>
      <c r="K304" s="17">
        <f>40.9161 * CHOOSE(CONTROL!$C$9, $D$9, 100%, $F$9) + CHOOSE(CONTROL!$C$27, 0.0021, 0)</f>
        <v>40.918199999999999</v>
      </c>
      <c r="L304" s="17"/>
    </row>
    <row r="305" spans="1:12" ht="15" x14ac:dyDescent="0.2">
      <c r="A305" s="15">
        <v>50192</v>
      </c>
      <c r="B305" s="17">
        <f>41.8295 * CHOOSE(CONTROL!$C$9, $D$9, 100%, $F$9) + CHOOSE(CONTROL!$C$27, 0.0021, 0)</f>
        <v>41.831600000000002</v>
      </c>
      <c r="C305" s="17">
        <f>41.3973 * CHOOSE(CONTROL!$C$9, $D$9, 100%, $F$9) + CHOOSE(CONTROL!$C$27, 0.0021, 0)</f>
        <v>41.3994</v>
      </c>
      <c r="D305" s="17">
        <f>41.3973 * CHOOSE(CONTROL!$C$9, $D$9, 100%, $F$9) + CHOOSE(CONTROL!$C$27, 0.0021, 0)</f>
        <v>41.3994</v>
      </c>
      <c r="E305" s="17">
        <f>41.2606 * CHOOSE(CONTROL!$C$9, $D$9, 100%, $F$9) + CHOOSE(CONTROL!$C$27, 0.0021, 0)</f>
        <v>41.262699999999995</v>
      </c>
      <c r="F305" s="17">
        <f>41.2606 * CHOOSE(CONTROL!$C$9, $D$9, 100%, $F$9) + CHOOSE(CONTROL!$C$27, 0.0021, 0)</f>
        <v>41.262699999999995</v>
      </c>
      <c r="G305" s="17">
        <f>41.532 * CHOOSE(CONTROL!$C$9, $D$9, 100%, $F$9) + CHOOSE(CONTROL!$C$27, 0.0021, 0)</f>
        <v>41.534099999999995</v>
      </c>
      <c r="H305" s="17">
        <f>41.3973 * CHOOSE(CONTROL!$C$9, $D$9, 100%, $F$9) + CHOOSE(CONTROL!$C$27, 0.0021, 0)</f>
        <v>41.3994</v>
      </c>
      <c r="I305" s="17">
        <f>41.3973 * CHOOSE(CONTROL!$C$9, $D$9, 100%, $F$9) + CHOOSE(CONTROL!$C$27, 0.0021, 0)</f>
        <v>41.3994</v>
      </c>
      <c r="J305" s="17">
        <f>41.3973 * CHOOSE(CONTROL!$C$9, $D$9, 100%, $F$9) + CHOOSE(CONTROL!$C$27, 0.0021, 0)</f>
        <v>41.3994</v>
      </c>
      <c r="K305" s="17">
        <f>41.3973 * CHOOSE(CONTROL!$C$9, $D$9, 100%, $F$9) + CHOOSE(CONTROL!$C$27, 0.0021, 0)</f>
        <v>41.3994</v>
      </c>
      <c r="L305" s="17"/>
    </row>
    <row r="306" spans="1:12" ht="15" x14ac:dyDescent="0.2">
      <c r="A306" s="15">
        <v>50222</v>
      </c>
      <c r="B306" s="17">
        <f>42.6232 * CHOOSE(CONTROL!$C$9, $D$9, 100%, $F$9) + CHOOSE(CONTROL!$C$27, 0.0021, 0)</f>
        <v>42.625299999999996</v>
      </c>
      <c r="C306" s="17">
        <f>42.191 * CHOOSE(CONTROL!$C$9, $D$9, 100%, $F$9) + CHOOSE(CONTROL!$C$27, 0.0021, 0)</f>
        <v>42.193100000000001</v>
      </c>
      <c r="D306" s="17">
        <f>42.191 * CHOOSE(CONTROL!$C$9, $D$9, 100%, $F$9) + CHOOSE(CONTROL!$C$27, 0.0021, 0)</f>
        <v>42.193100000000001</v>
      </c>
      <c r="E306" s="17">
        <f>42.0543 * CHOOSE(CONTROL!$C$9, $D$9, 100%, $F$9) + CHOOSE(CONTROL!$C$27, 0.0021, 0)</f>
        <v>42.056399999999996</v>
      </c>
      <c r="F306" s="17">
        <f>42.0543 * CHOOSE(CONTROL!$C$9, $D$9, 100%, $F$9) + CHOOSE(CONTROL!$C$27, 0.0021, 0)</f>
        <v>42.056399999999996</v>
      </c>
      <c r="G306" s="17">
        <f>42.3257 * CHOOSE(CONTROL!$C$9, $D$9, 100%, $F$9) + CHOOSE(CONTROL!$C$27, 0.0021, 0)</f>
        <v>42.327799999999996</v>
      </c>
      <c r="H306" s="17">
        <f>42.191 * CHOOSE(CONTROL!$C$9, $D$9, 100%, $F$9) + CHOOSE(CONTROL!$C$27, 0.0021, 0)</f>
        <v>42.193100000000001</v>
      </c>
      <c r="I306" s="17">
        <f>42.191 * CHOOSE(CONTROL!$C$9, $D$9, 100%, $F$9) + CHOOSE(CONTROL!$C$27, 0.0021, 0)</f>
        <v>42.193100000000001</v>
      </c>
      <c r="J306" s="17">
        <f>42.191 * CHOOSE(CONTROL!$C$9, $D$9, 100%, $F$9) + CHOOSE(CONTROL!$C$27, 0.0021, 0)</f>
        <v>42.193100000000001</v>
      </c>
      <c r="K306" s="17">
        <f>42.191 * CHOOSE(CONTROL!$C$9, $D$9, 100%, $F$9) + CHOOSE(CONTROL!$C$27, 0.0021, 0)</f>
        <v>42.193100000000001</v>
      </c>
      <c r="L306" s="17"/>
    </row>
    <row r="307" spans="1:12" ht="15" x14ac:dyDescent="0.2">
      <c r="A307" s="15">
        <v>50253</v>
      </c>
      <c r="B307" s="17">
        <f>42.8655 * CHOOSE(CONTROL!$C$9, $D$9, 100%, $F$9) + CHOOSE(CONTROL!$C$27, 0.0021, 0)</f>
        <v>42.867599999999996</v>
      </c>
      <c r="C307" s="17">
        <f>42.4333 * CHOOSE(CONTROL!$C$9, $D$9, 100%, $F$9) + CHOOSE(CONTROL!$C$27, 0.0021, 0)</f>
        <v>42.435400000000001</v>
      </c>
      <c r="D307" s="17">
        <f>42.4333 * CHOOSE(CONTROL!$C$9, $D$9, 100%, $F$9) + CHOOSE(CONTROL!$C$27, 0.0021, 0)</f>
        <v>42.435400000000001</v>
      </c>
      <c r="E307" s="17">
        <f>42.2966 * CHOOSE(CONTROL!$C$9, $D$9, 100%, $F$9) + CHOOSE(CONTROL!$C$27, 0.0021, 0)</f>
        <v>42.298699999999997</v>
      </c>
      <c r="F307" s="17">
        <f>42.2966 * CHOOSE(CONTROL!$C$9, $D$9, 100%, $F$9) + CHOOSE(CONTROL!$C$27, 0.0021, 0)</f>
        <v>42.298699999999997</v>
      </c>
      <c r="G307" s="17">
        <f>42.568 * CHOOSE(CONTROL!$C$9, $D$9, 100%, $F$9) + CHOOSE(CONTROL!$C$27, 0.0021, 0)</f>
        <v>42.570099999999996</v>
      </c>
      <c r="H307" s="17">
        <f>42.4333 * CHOOSE(CONTROL!$C$9, $D$9, 100%, $F$9) + CHOOSE(CONTROL!$C$27, 0.0021, 0)</f>
        <v>42.435400000000001</v>
      </c>
      <c r="I307" s="17">
        <f>42.4333 * CHOOSE(CONTROL!$C$9, $D$9, 100%, $F$9) + CHOOSE(CONTROL!$C$27, 0.0021, 0)</f>
        <v>42.435400000000001</v>
      </c>
      <c r="J307" s="17">
        <f>42.4333 * CHOOSE(CONTROL!$C$9, $D$9, 100%, $F$9) + CHOOSE(CONTROL!$C$27, 0.0021, 0)</f>
        <v>42.435400000000001</v>
      </c>
      <c r="K307" s="17">
        <f>42.4333 * CHOOSE(CONTROL!$C$9, $D$9, 100%, $F$9) + CHOOSE(CONTROL!$C$27, 0.0021, 0)</f>
        <v>42.435400000000001</v>
      </c>
      <c r="L307" s="17"/>
    </row>
    <row r="308" spans="1:12" ht="15" x14ac:dyDescent="0.2">
      <c r="A308" s="15">
        <v>50284</v>
      </c>
      <c r="B308" s="17">
        <f>43.6906 * CHOOSE(CONTROL!$C$9, $D$9, 100%, $F$9) + CHOOSE(CONTROL!$C$27, 0.0021, 0)</f>
        <v>43.692700000000002</v>
      </c>
      <c r="C308" s="17">
        <f>43.2583 * CHOOSE(CONTROL!$C$9, $D$9, 100%, $F$9) + CHOOSE(CONTROL!$C$27, 0.0021, 0)</f>
        <v>43.260399999999997</v>
      </c>
      <c r="D308" s="17">
        <f>43.2583 * CHOOSE(CONTROL!$C$9, $D$9, 100%, $F$9) + CHOOSE(CONTROL!$C$27, 0.0021, 0)</f>
        <v>43.260399999999997</v>
      </c>
      <c r="E308" s="17">
        <f>43.1217 * CHOOSE(CONTROL!$C$9, $D$9, 100%, $F$9) + CHOOSE(CONTROL!$C$27, 0.0021, 0)</f>
        <v>43.123799999999996</v>
      </c>
      <c r="F308" s="17">
        <f>43.1217 * CHOOSE(CONTROL!$C$9, $D$9, 100%, $F$9) + CHOOSE(CONTROL!$C$27, 0.0021, 0)</f>
        <v>43.123799999999996</v>
      </c>
      <c r="G308" s="17">
        <f>43.393 * CHOOSE(CONTROL!$C$9, $D$9, 100%, $F$9) + CHOOSE(CONTROL!$C$27, 0.0021, 0)</f>
        <v>43.395099999999999</v>
      </c>
      <c r="H308" s="17">
        <f>43.2583 * CHOOSE(CONTROL!$C$9, $D$9, 100%, $F$9) + CHOOSE(CONTROL!$C$27, 0.0021, 0)</f>
        <v>43.260399999999997</v>
      </c>
      <c r="I308" s="17">
        <f>43.2583 * CHOOSE(CONTROL!$C$9, $D$9, 100%, $F$9) + CHOOSE(CONTROL!$C$27, 0.0021, 0)</f>
        <v>43.260399999999997</v>
      </c>
      <c r="J308" s="17">
        <f>43.2583 * CHOOSE(CONTROL!$C$9, $D$9, 100%, $F$9) + CHOOSE(CONTROL!$C$27, 0.0021, 0)</f>
        <v>43.260399999999997</v>
      </c>
      <c r="K308" s="17">
        <f>43.2583 * CHOOSE(CONTROL!$C$9, $D$9, 100%, $F$9) + CHOOSE(CONTROL!$C$27, 0.0021, 0)</f>
        <v>43.260399999999997</v>
      </c>
      <c r="L308" s="17"/>
    </row>
    <row r="309" spans="1:12" ht="15" x14ac:dyDescent="0.2">
      <c r="A309" s="15">
        <v>50314</v>
      </c>
      <c r="B309" s="17">
        <f>44.7349 * CHOOSE(CONTROL!$C$9, $D$9, 100%, $F$9) + CHOOSE(CONTROL!$C$27, 0.0021, 0)</f>
        <v>44.737000000000002</v>
      </c>
      <c r="C309" s="17">
        <f>44.3027 * CHOOSE(CONTROL!$C$9, $D$9, 100%, $F$9) + CHOOSE(CONTROL!$C$27, 0.0021, 0)</f>
        <v>44.3048</v>
      </c>
      <c r="D309" s="17">
        <f>44.3027 * CHOOSE(CONTROL!$C$9, $D$9, 100%, $F$9) + CHOOSE(CONTROL!$C$27, 0.0021, 0)</f>
        <v>44.3048</v>
      </c>
      <c r="E309" s="17">
        <f>44.166 * CHOOSE(CONTROL!$C$9, $D$9, 100%, $F$9) + CHOOSE(CONTROL!$C$27, 0.0021, 0)</f>
        <v>44.168099999999995</v>
      </c>
      <c r="F309" s="17">
        <f>44.166 * CHOOSE(CONTROL!$C$9, $D$9, 100%, $F$9) + CHOOSE(CONTROL!$C$27, 0.0021, 0)</f>
        <v>44.168099999999995</v>
      </c>
      <c r="G309" s="17">
        <f>44.4374 * CHOOSE(CONTROL!$C$9, $D$9, 100%, $F$9) + CHOOSE(CONTROL!$C$27, 0.0021, 0)</f>
        <v>44.439499999999995</v>
      </c>
      <c r="H309" s="17">
        <f>44.3027 * CHOOSE(CONTROL!$C$9, $D$9, 100%, $F$9) + CHOOSE(CONTROL!$C$27, 0.0021, 0)</f>
        <v>44.3048</v>
      </c>
      <c r="I309" s="17">
        <f>44.3027 * CHOOSE(CONTROL!$C$9, $D$9, 100%, $F$9) + CHOOSE(CONTROL!$C$27, 0.0021, 0)</f>
        <v>44.3048</v>
      </c>
      <c r="J309" s="17">
        <f>44.3027 * CHOOSE(CONTROL!$C$9, $D$9, 100%, $F$9) + CHOOSE(CONTROL!$C$27, 0.0021, 0)</f>
        <v>44.3048</v>
      </c>
      <c r="K309" s="17">
        <f>44.3027 * CHOOSE(CONTROL!$C$9, $D$9, 100%, $F$9) + CHOOSE(CONTROL!$C$27, 0.0021, 0)</f>
        <v>44.3048</v>
      </c>
      <c r="L309" s="17"/>
    </row>
    <row r="310" spans="1:12" ht="15" x14ac:dyDescent="0.2">
      <c r="A310" s="15">
        <v>50345</v>
      </c>
      <c r="B310" s="17">
        <f>44.833 * CHOOSE(CONTROL!$C$9, $D$9, 100%, $F$9) + CHOOSE(CONTROL!$C$27, 0.0021, 0)</f>
        <v>44.835099999999997</v>
      </c>
      <c r="C310" s="17">
        <f>44.4007 * CHOOSE(CONTROL!$C$9, $D$9, 100%, $F$9) + CHOOSE(CONTROL!$C$27, 0.0021, 0)</f>
        <v>44.402799999999999</v>
      </c>
      <c r="D310" s="17">
        <f>44.4007 * CHOOSE(CONTROL!$C$9, $D$9, 100%, $F$9) + CHOOSE(CONTROL!$C$27, 0.0021, 0)</f>
        <v>44.402799999999999</v>
      </c>
      <c r="E310" s="17">
        <f>44.2641 * CHOOSE(CONTROL!$C$9, $D$9, 100%, $F$9) + CHOOSE(CONTROL!$C$27, 0.0021, 0)</f>
        <v>44.266199999999998</v>
      </c>
      <c r="F310" s="17">
        <f>44.2641 * CHOOSE(CONTROL!$C$9, $D$9, 100%, $F$9) + CHOOSE(CONTROL!$C$27, 0.0021, 0)</f>
        <v>44.266199999999998</v>
      </c>
      <c r="G310" s="17">
        <f>44.5355 * CHOOSE(CONTROL!$C$9, $D$9, 100%, $F$9) + CHOOSE(CONTROL!$C$27, 0.0021, 0)</f>
        <v>44.537599999999998</v>
      </c>
      <c r="H310" s="17">
        <f>44.4007 * CHOOSE(CONTROL!$C$9, $D$9, 100%, $F$9) + CHOOSE(CONTROL!$C$27, 0.0021, 0)</f>
        <v>44.402799999999999</v>
      </c>
      <c r="I310" s="17">
        <f>44.4007 * CHOOSE(CONTROL!$C$9, $D$9, 100%, $F$9) + CHOOSE(CONTROL!$C$27, 0.0021, 0)</f>
        <v>44.402799999999999</v>
      </c>
      <c r="J310" s="17">
        <f>44.4007 * CHOOSE(CONTROL!$C$9, $D$9, 100%, $F$9) + CHOOSE(CONTROL!$C$27, 0.0021, 0)</f>
        <v>44.402799999999999</v>
      </c>
      <c r="K310" s="17">
        <f>44.4007 * CHOOSE(CONTROL!$C$9, $D$9, 100%, $F$9) + CHOOSE(CONTROL!$C$27, 0.0021, 0)</f>
        <v>44.402799999999999</v>
      </c>
      <c r="L310" s="17"/>
    </row>
    <row r="311" spans="1:12" ht="15" x14ac:dyDescent="0.2">
      <c r="A311" s="15">
        <v>50375</v>
      </c>
      <c r="B311" s="17">
        <f>43.9989 * CHOOSE(CONTROL!$C$9, $D$9, 100%, $F$9) + CHOOSE(CONTROL!$C$27, 0.0021, 0)</f>
        <v>44.000999999999998</v>
      </c>
      <c r="C311" s="17">
        <f>43.5666 * CHOOSE(CONTROL!$C$9, $D$9, 100%, $F$9) + CHOOSE(CONTROL!$C$27, 0.0021, 0)</f>
        <v>43.5687</v>
      </c>
      <c r="D311" s="17">
        <f>43.5666 * CHOOSE(CONTROL!$C$9, $D$9, 100%, $F$9) + CHOOSE(CONTROL!$C$27, 0.0021, 0)</f>
        <v>43.5687</v>
      </c>
      <c r="E311" s="17">
        <f>43.43 * CHOOSE(CONTROL!$C$9, $D$9, 100%, $F$9) + CHOOSE(CONTROL!$C$27, 0.0021, 0)</f>
        <v>43.432099999999998</v>
      </c>
      <c r="F311" s="17">
        <f>43.43 * CHOOSE(CONTROL!$C$9, $D$9, 100%, $F$9) + CHOOSE(CONTROL!$C$27, 0.0021, 0)</f>
        <v>43.432099999999998</v>
      </c>
      <c r="G311" s="17">
        <f>43.7013 * CHOOSE(CONTROL!$C$9, $D$9, 100%, $F$9) + CHOOSE(CONTROL!$C$27, 0.0021, 0)</f>
        <v>43.703400000000002</v>
      </c>
      <c r="H311" s="17">
        <f>43.5666 * CHOOSE(CONTROL!$C$9, $D$9, 100%, $F$9) + CHOOSE(CONTROL!$C$27, 0.0021, 0)</f>
        <v>43.5687</v>
      </c>
      <c r="I311" s="17">
        <f>43.5666 * CHOOSE(CONTROL!$C$9, $D$9, 100%, $F$9) + CHOOSE(CONTROL!$C$27, 0.0021, 0)</f>
        <v>43.5687</v>
      </c>
      <c r="J311" s="17">
        <f>43.5666 * CHOOSE(CONTROL!$C$9, $D$9, 100%, $F$9) + CHOOSE(CONTROL!$C$27, 0.0021, 0)</f>
        <v>43.5687</v>
      </c>
      <c r="K311" s="17">
        <f>43.5666 * CHOOSE(CONTROL!$C$9, $D$9, 100%, $F$9) + CHOOSE(CONTROL!$C$27, 0.0021, 0)</f>
        <v>43.5687</v>
      </c>
      <c r="L311" s="17"/>
    </row>
    <row r="312" spans="1:12" ht="15.75" x14ac:dyDescent="0.25">
      <c r="A312" s="14">
        <v>50436</v>
      </c>
      <c r="B312" s="17">
        <f>43.4717 * CHOOSE(CONTROL!$C$9, $D$9, 100%, $F$9) + CHOOSE(CONTROL!$C$27, 0.0021, 0)</f>
        <v>43.473799999999997</v>
      </c>
      <c r="C312" s="17">
        <f>43.0394 * CHOOSE(CONTROL!$C$9, $D$9, 100%, $F$9) + CHOOSE(CONTROL!$C$27, 0.0021, 0)</f>
        <v>43.041499999999999</v>
      </c>
      <c r="D312" s="17">
        <f>43.0394 * CHOOSE(CONTROL!$C$9, $D$9, 100%, $F$9) + CHOOSE(CONTROL!$C$27, 0.0021, 0)</f>
        <v>43.041499999999999</v>
      </c>
      <c r="E312" s="17">
        <f>42.9028 * CHOOSE(CONTROL!$C$9, $D$9, 100%, $F$9) + CHOOSE(CONTROL!$C$27, 0.0021, 0)</f>
        <v>42.904899999999998</v>
      </c>
      <c r="F312" s="17">
        <f>42.9028 * CHOOSE(CONTROL!$C$9, $D$9, 100%, $F$9) + CHOOSE(CONTROL!$C$27, 0.0021, 0)</f>
        <v>42.904899999999998</v>
      </c>
      <c r="G312" s="17">
        <f>43.1741 * CHOOSE(CONTROL!$C$9, $D$9, 100%, $F$9) + CHOOSE(CONTROL!$C$27, 0.0021, 0)</f>
        <v>43.176200000000001</v>
      </c>
      <c r="H312" s="17">
        <f>43.0394 * CHOOSE(CONTROL!$C$9, $D$9, 100%, $F$9) + CHOOSE(CONTROL!$C$27, 0.0021, 0)</f>
        <v>43.041499999999999</v>
      </c>
      <c r="I312" s="17">
        <f>43.0394 * CHOOSE(CONTROL!$C$9, $D$9, 100%, $F$9) + CHOOSE(CONTROL!$C$27, 0.0021, 0)</f>
        <v>43.041499999999999</v>
      </c>
      <c r="J312" s="17">
        <f>43.0394 * CHOOSE(CONTROL!$C$9, $D$9, 100%, $F$9) + CHOOSE(CONTROL!$C$27, 0.0021, 0)</f>
        <v>43.041499999999999</v>
      </c>
      <c r="K312" s="17">
        <f>43.0394 * CHOOSE(CONTROL!$C$9, $D$9, 100%, $F$9) + CHOOSE(CONTROL!$C$27, 0.0021, 0)</f>
        <v>43.041499999999999</v>
      </c>
      <c r="L312" s="17"/>
    </row>
    <row r="313" spans="1:12" ht="15.75" x14ac:dyDescent="0.25">
      <c r="A313" s="14">
        <v>50464</v>
      </c>
      <c r="B313" s="17">
        <f>42.3069 * CHOOSE(CONTROL!$C$9, $D$9, 100%, $F$9) + CHOOSE(CONTROL!$C$27, 0.0021, 0)</f>
        <v>42.308999999999997</v>
      </c>
      <c r="C313" s="17">
        <f>41.8746 * CHOOSE(CONTROL!$C$9, $D$9, 100%, $F$9) + CHOOSE(CONTROL!$C$27, 0.0021, 0)</f>
        <v>41.8767</v>
      </c>
      <c r="D313" s="17">
        <f>41.8746 * CHOOSE(CONTROL!$C$9, $D$9, 100%, $F$9) + CHOOSE(CONTROL!$C$27, 0.0021, 0)</f>
        <v>41.8767</v>
      </c>
      <c r="E313" s="17">
        <f>41.738 * CHOOSE(CONTROL!$C$9, $D$9, 100%, $F$9) + CHOOSE(CONTROL!$C$27, 0.0021, 0)</f>
        <v>41.740099999999998</v>
      </c>
      <c r="F313" s="17">
        <f>41.738 * CHOOSE(CONTROL!$C$9, $D$9, 100%, $F$9) + CHOOSE(CONTROL!$C$27, 0.0021, 0)</f>
        <v>41.740099999999998</v>
      </c>
      <c r="G313" s="17">
        <f>42.0094 * CHOOSE(CONTROL!$C$9, $D$9, 100%, $F$9) + CHOOSE(CONTROL!$C$27, 0.0021, 0)</f>
        <v>42.011499999999998</v>
      </c>
      <c r="H313" s="17">
        <f>41.8746 * CHOOSE(CONTROL!$C$9, $D$9, 100%, $F$9) + CHOOSE(CONTROL!$C$27, 0.0021, 0)</f>
        <v>41.8767</v>
      </c>
      <c r="I313" s="17">
        <f>41.8746 * CHOOSE(CONTROL!$C$9, $D$9, 100%, $F$9) + CHOOSE(CONTROL!$C$27, 0.0021, 0)</f>
        <v>41.8767</v>
      </c>
      <c r="J313" s="17">
        <f>41.8746 * CHOOSE(CONTROL!$C$9, $D$9, 100%, $F$9) + CHOOSE(CONTROL!$C$27, 0.0021, 0)</f>
        <v>41.8767</v>
      </c>
      <c r="K313" s="17">
        <f>41.8746 * CHOOSE(CONTROL!$C$9, $D$9, 100%, $F$9) + CHOOSE(CONTROL!$C$27, 0.0021, 0)</f>
        <v>41.8767</v>
      </c>
      <c r="L313" s="17"/>
    </row>
    <row r="314" spans="1:12" ht="15.75" x14ac:dyDescent="0.25">
      <c r="A314" s="14">
        <v>50495</v>
      </c>
      <c r="B314" s="17">
        <f>41.8261 * CHOOSE(CONTROL!$C$9, $D$9, 100%, $F$9) + CHOOSE(CONTROL!$C$27, 0.0021, 0)</f>
        <v>41.828199999999995</v>
      </c>
      <c r="C314" s="17">
        <f>41.3938 * CHOOSE(CONTROL!$C$9, $D$9, 100%, $F$9) + CHOOSE(CONTROL!$C$27, 0.0021, 0)</f>
        <v>41.395899999999997</v>
      </c>
      <c r="D314" s="17">
        <f>41.3938 * CHOOSE(CONTROL!$C$9, $D$9, 100%, $F$9) + CHOOSE(CONTROL!$C$27, 0.0021, 0)</f>
        <v>41.395899999999997</v>
      </c>
      <c r="E314" s="17">
        <f>41.2572 * CHOOSE(CONTROL!$C$9, $D$9, 100%, $F$9) + CHOOSE(CONTROL!$C$27, 0.0021, 0)</f>
        <v>41.259299999999996</v>
      </c>
      <c r="F314" s="17">
        <f>41.2572 * CHOOSE(CONTROL!$C$9, $D$9, 100%, $F$9) + CHOOSE(CONTROL!$C$27, 0.0021, 0)</f>
        <v>41.259299999999996</v>
      </c>
      <c r="G314" s="17">
        <f>41.5285 * CHOOSE(CONTROL!$C$9, $D$9, 100%, $F$9) + CHOOSE(CONTROL!$C$27, 0.0021, 0)</f>
        <v>41.5306</v>
      </c>
      <c r="H314" s="17">
        <f>41.3938 * CHOOSE(CONTROL!$C$9, $D$9, 100%, $F$9) + CHOOSE(CONTROL!$C$27, 0.0021, 0)</f>
        <v>41.395899999999997</v>
      </c>
      <c r="I314" s="17">
        <f>41.3938 * CHOOSE(CONTROL!$C$9, $D$9, 100%, $F$9) + CHOOSE(CONTROL!$C$27, 0.0021, 0)</f>
        <v>41.395899999999997</v>
      </c>
      <c r="J314" s="17">
        <f>41.3938 * CHOOSE(CONTROL!$C$9, $D$9, 100%, $F$9) + CHOOSE(CONTROL!$C$27, 0.0021, 0)</f>
        <v>41.395899999999997</v>
      </c>
      <c r="K314" s="17">
        <f>41.3938 * CHOOSE(CONTROL!$C$9, $D$9, 100%, $F$9) + CHOOSE(CONTROL!$C$27, 0.0021, 0)</f>
        <v>41.395899999999997</v>
      </c>
      <c r="L314" s="17"/>
    </row>
    <row r="315" spans="1:12" ht="15.75" x14ac:dyDescent="0.25">
      <c r="A315" s="14">
        <v>50525</v>
      </c>
      <c r="B315" s="17">
        <f>41.252 * CHOOSE(CONTROL!$C$9, $D$9, 100%, $F$9) + CHOOSE(CONTROL!$C$27, 0.0021, 0)</f>
        <v>41.254100000000001</v>
      </c>
      <c r="C315" s="17">
        <f>40.8197 * CHOOSE(CONTROL!$C$9, $D$9, 100%, $F$9) + CHOOSE(CONTROL!$C$27, 0.0021, 0)</f>
        <v>40.821799999999996</v>
      </c>
      <c r="D315" s="17">
        <f>40.8197 * CHOOSE(CONTROL!$C$9, $D$9, 100%, $F$9) + CHOOSE(CONTROL!$C$27, 0.0021, 0)</f>
        <v>40.821799999999996</v>
      </c>
      <c r="E315" s="17">
        <f>40.6831 * CHOOSE(CONTROL!$C$9, $D$9, 100%, $F$9) + CHOOSE(CONTROL!$C$27, 0.0021, 0)</f>
        <v>40.685200000000002</v>
      </c>
      <c r="F315" s="17">
        <f>40.6831 * CHOOSE(CONTROL!$C$9, $D$9, 100%, $F$9) + CHOOSE(CONTROL!$C$27, 0.0021, 0)</f>
        <v>40.685200000000002</v>
      </c>
      <c r="G315" s="17">
        <f>40.9544 * CHOOSE(CONTROL!$C$9, $D$9, 100%, $F$9) + CHOOSE(CONTROL!$C$27, 0.0021, 0)</f>
        <v>40.956499999999998</v>
      </c>
      <c r="H315" s="17">
        <f>40.8197 * CHOOSE(CONTROL!$C$9, $D$9, 100%, $F$9) + CHOOSE(CONTROL!$C$27, 0.0021, 0)</f>
        <v>40.821799999999996</v>
      </c>
      <c r="I315" s="17">
        <f>40.8197 * CHOOSE(CONTROL!$C$9, $D$9, 100%, $F$9) + CHOOSE(CONTROL!$C$27, 0.0021, 0)</f>
        <v>40.821799999999996</v>
      </c>
      <c r="J315" s="17">
        <f>40.8197 * CHOOSE(CONTROL!$C$9, $D$9, 100%, $F$9) + CHOOSE(CONTROL!$C$27, 0.0021, 0)</f>
        <v>40.821799999999996</v>
      </c>
      <c r="K315" s="17">
        <f>40.8197 * CHOOSE(CONTROL!$C$9, $D$9, 100%, $F$9) + CHOOSE(CONTROL!$C$27, 0.0021, 0)</f>
        <v>40.821799999999996</v>
      </c>
      <c r="L315" s="17"/>
    </row>
    <row r="316" spans="1:12" ht="15.75" x14ac:dyDescent="0.25">
      <c r="A316" s="14">
        <v>50556</v>
      </c>
      <c r="B316" s="17">
        <f>42.0701 * CHOOSE(CONTROL!$C$9, $D$9, 100%, $F$9) + CHOOSE(CONTROL!$C$27, 0.0021, 0)</f>
        <v>42.072199999999995</v>
      </c>
      <c r="C316" s="17">
        <f>41.6379 * CHOOSE(CONTROL!$C$9, $D$9, 100%, $F$9) + CHOOSE(CONTROL!$C$27, 0.0021, 0)</f>
        <v>41.64</v>
      </c>
      <c r="D316" s="17">
        <f>41.6379 * CHOOSE(CONTROL!$C$9, $D$9, 100%, $F$9) + CHOOSE(CONTROL!$C$27, 0.0021, 0)</f>
        <v>41.64</v>
      </c>
      <c r="E316" s="17">
        <f>41.5012 * CHOOSE(CONTROL!$C$9, $D$9, 100%, $F$9) + CHOOSE(CONTROL!$C$27, 0.0021, 0)</f>
        <v>41.503299999999996</v>
      </c>
      <c r="F316" s="17">
        <f>41.5012 * CHOOSE(CONTROL!$C$9, $D$9, 100%, $F$9) + CHOOSE(CONTROL!$C$27, 0.0021, 0)</f>
        <v>41.503299999999996</v>
      </c>
      <c r="G316" s="17">
        <f>41.7726 * CHOOSE(CONTROL!$C$9, $D$9, 100%, $F$9) + CHOOSE(CONTROL!$C$27, 0.0021, 0)</f>
        <v>41.774699999999996</v>
      </c>
      <c r="H316" s="17">
        <f>41.6379 * CHOOSE(CONTROL!$C$9, $D$9, 100%, $F$9) + CHOOSE(CONTROL!$C$27, 0.0021, 0)</f>
        <v>41.64</v>
      </c>
      <c r="I316" s="17">
        <f>41.6379 * CHOOSE(CONTROL!$C$9, $D$9, 100%, $F$9) + CHOOSE(CONTROL!$C$27, 0.0021, 0)</f>
        <v>41.64</v>
      </c>
      <c r="J316" s="17">
        <f>41.6379 * CHOOSE(CONTROL!$C$9, $D$9, 100%, $F$9) + CHOOSE(CONTROL!$C$27, 0.0021, 0)</f>
        <v>41.64</v>
      </c>
      <c r="K316" s="17">
        <f>41.6379 * CHOOSE(CONTROL!$C$9, $D$9, 100%, $F$9) + CHOOSE(CONTROL!$C$27, 0.0021, 0)</f>
        <v>41.64</v>
      </c>
      <c r="L316" s="17"/>
    </row>
    <row r="317" spans="1:12" ht="15.75" x14ac:dyDescent="0.25">
      <c r="A317" s="14">
        <v>50586</v>
      </c>
      <c r="B317" s="17">
        <f>42.5602 * CHOOSE(CONTROL!$C$9, $D$9, 100%, $F$9) + CHOOSE(CONTROL!$C$27, 0.0021, 0)</f>
        <v>42.5623</v>
      </c>
      <c r="C317" s="17">
        <f>42.1279 * CHOOSE(CONTROL!$C$9, $D$9, 100%, $F$9) + CHOOSE(CONTROL!$C$27, 0.0021, 0)</f>
        <v>42.129999999999995</v>
      </c>
      <c r="D317" s="17">
        <f>42.1279 * CHOOSE(CONTROL!$C$9, $D$9, 100%, $F$9) + CHOOSE(CONTROL!$C$27, 0.0021, 0)</f>
        <v>42.129999999999995</v>
      </c>
      <c r="E317" s="17">
        <f>41.9913 * CHOOSE(CONTROL!$C$9, $D$9, 100%, $F$9) + CHOOSE(CONTROL!$C$27, 0.0021, 0)</f>
        <v>41.993400000000001</v>
      </c>
      <c r="F317" s="17">
        <f>41.9913 * CHOOSE(CONTROL!$C$9, $D$9, 100%, $F$9) + CHOOSE(CONTROL!$C$27, 0.0021, 0)</f>
        <v>41.993400000000001</v>
      </c>
      <c r="G317" s="17">
        <f>42.2627 * CHOOSE(CONTROL!$C$9, $D$9, 100%, $F$9) + CHOOSE(CONTROL!$C$27, 0.0021, 0)</f>
        <v>42.264800000000001</v>
      </c>
      <c r="H317" s="17">
        <f>42.1279 * CHOOSE(CONTROL!$C$9, $D$9, 100%, $F$9) + CHOOSE(CONTROL!$C$27, 0.0021, 0)</f>
        <v>42.129999999999995</v>
      </c>
      <c r="I317" s="17">
        <f>42.1279 * CHOOSE(CONTROL!$C$9, $D$9, 100%, $F$9) + CHOOSE(CONTROL!$C$27, 0.0021, 0)</f>
        <v>42.129999999999995</v>
      </c>
      <c r="J317" s="17">
        <f>42.1279 * CHOOSE(CONTROL!$C$9, $D$9, 100%, $F$9) + CHOOSE(CONTROL!$C$27, 0.0021, 0)</f>
        <v>42.129999999999995</v>
      </c>
      <c r="K317" s="17">
        <f>42.1279 * CHOOSE(CONTROL!$C$9, $D$9, 100%, $F$9) + CHOOSE(CONTROL!$C$27, 0.0021, 0)</f>
        <v>42.129999999999995</v>
      </c>
      <c r="L317" s="17"/>
    </row>
    <row r="318" spans="1:12" ht="15.75" x14ac:dyDescent="0.25">
      <c r="A318" s="14">
        <v>50617</v>
      </c>
      <c r="B318" s="17">
        <f>43.3686 * CHOOSE(CONTROL!$C$9, $D$9, 100%, $F$9) + CHOOSE(CONTROL!$C$27, 0.0021, 0)</f>
        <v>43.370699999999999</v>
      </c>
      <c r="C318" s="17">
        <f>42.9363 * CHOOSE(CONTROL!$C$9, $D$9, 100%, $F$9) + CHOOSE(CONTROL!$C$27, 0.0021, 0)</f>
        <v>42.938400000000001</v>
      </c>
      <c r="D318" s="17">
        <f>42.9363 * CHOOSE(CONTROL!$C$9, $D$9, 100%, $F$9) + CHOOSE(CONTROL!$C$27, 0.0021, 0)</f>
        <v>42.938400000000001</v>
      </c>
      <c r="E318" s="17">
        <f>42.7997 * CHOOSE(CONTROL!$C$9, $D$9, 100%, $F$9) + CHOOSE(CONTROL!$C$27, 0.0021, 0)</f>
        <v>42.8018</v>
      </c>
      <c r="F318" s="17">
        <f>42.7997 * CHOOSE(CONTROL!$C$9, $D$9, 100%, $F$9) + CHOOSE(CONTROL!$C$27, 0.0021, 0)</f>
        <v>42.8018</v>
      </c>
      <c r="G318" s="17">
        <f>43.0711 * CHOOSE(CONTROL!$C$9, $D$9, 100%, $F$9) + CHOOSE(CONTROL!$C$27, 0.0021, 0)</f>
        <v>43.0732</v>
      </c>
      <c r="H318" s="17">
        <f>42.9363 * CHOOSE(CONTROL!$C$9, $D$9, 100%, $F$9) + CHOOSE(CONTROL!$C$27, 0.0021, 0)</f>
        <v>42.938400000000001</v>
      </c>
      <c r="I318" s="17">
        <f>42.9363 * CHOOSE(CONTROL!$C$9, $D$9, 100%, $F$9) + CHOOSE(CONTROL!$C$27, 0.0021, 0)</f>
        <v>42.938400000000001</v>
      </c>
      <c r="J318" s="17">
        <f>42.9363 * CHOOSE(CONTROL!$C$9, $D$9, 100%, $F$9) + CHOOSE(CONTROL!$C$27, 0.0021, 0)</f>
        <v>42.938400000000001</v>
      </c>
      <c r="K318" s="17">
        <f>42.9363 * CHOOSE(CONTROL!$C$9, $D$9, 100%, $F$9) + CHOOSE(CONTROL!$C$27, 0.0021, 0)</f>
        <v>42.938400000000001</v>
      </c>
      <c r="L318" s="17"/>
    </row>
    <row r="319" spans="1:12" ht="15.75" x14ac:dyDescent="0.25">
      <c r="A319" s="14">
        <v>50648</v>
      </c>
      <c r="B319" s="17">
        <f>43.6153 * CHOOSE(CONTROL!$C$9, $D$9, 100%, $F$9) + CHOOSE(CONTROL!$C$27, 0.0021, 0)</f>
        <v>43.617399999999996</v>
      </c>
      <c r="C319" s="17">
        <f>43.1831 * CHOOSE(CONTROL!$C$9, $D$9, 100%, $F$9) + CHOOSE(CONTROL!$C$27, 0.0021, 0)</f>
        <v>43.185200000000002</v>
      </c>
      <c r="D319" s="17">
        <f>43.1831 * CHOOSE(CONTROL!$C$9, $D$9, 100%, $F$9) + CHOOSE(CONTROL!$C$27, 0.0021, 0)</f>
        <v>43.185200000000002</v>
      </c>
      <c r="E319" s="17">
        <f>43.0464 * CHOOSE(CONTROL!$C$9, $D$9, 100%, $F$9) + CHOOSE(CONTROL!$C$27, 0.0021, 0)</f>
        <v>43.048499999999997</v>
      </c>
      <c r="F319" s="17">
        <f>43.0464 * CHOOSE(CONTROL!$C$9, $D$9, 100%, $F$9) + CHOOSE(CONTROL!$C$27, 0.0021, 0)</f>
        <v>43.048499999999997</v>
      </c>
      <c r="G319" s="17">
        <f>43.3178 * CHOOSE(CONTROL!$C$9, $D$9, 100%, $F$9) + CHOOSE(CONTROL!$C$27, 0.0021, 0)</f>
        <v>43.319899999999997</v>
      </c>
      <c r="H319" s="17">
        <f>43.1831 * CHOOSE(CONTROL!$C$9, $D$9, 100%, $F$9) + CHOOSE(CONTROL!$C$27, 0.0021, 0)</f>
        <v>43.185200000000002</v>
      </c>
      <c r="I319" s="17">
        <f>43.1831 * CHOOSE(CONTROL!$C$9, $D$9, 100%, $F$9) + CHOOSE(CONTROL!$C$27, 0.0021, 0)</f>
        <v>43.185200000000002</v>
      </c>
      <c r="J319" s="17">
        <f>43.1831 * CHOOSE(CONTROL!$C$9, $D$9, 100%, $F$9) + CHOOSE(CONTROL!$C$27, 0.0021, 0)</f>
        <v>43.185200000000002</v>
      </c>
      <c r="K319" s="17">
        <f>43.1831 * CHOOSE(CONTROL!$C$9, $D$9, 100%, $F$9) + CHOOSE(CONTROL!$C$27, 0.0021, 0)</f>
        <v>43.185200000000002</v>
      </c>
      <c r="L319" s="17"/>
    </row>
    <row r="320" spans="1:12" ht="15.75" x14ac:dyDescent="0.25">
      <c r="A320" s="14">
        <v>50678</v>
      </c>
      <c r="B320" s="17">
        <f>44.4556 * CHOOSE(CONTROL!$C$9, $D$9, 100%, $F$9) + CHOOSE(CONTROL!$C$27, 0.0021, 0)</f>
        <v>44.457699999999996</v>
      </c>
      <c r="C320" s="17">
        <f>44.0234 * CHOOSE(CONTROL!$C$9, $D$9, 100%, $F$9) + CHOOSE(CONTROL!$C$27, 0.0021, 0)</f>
        <v>44.025500000000001</v>
      </c>
      <c r="D320" s="17">
        <f>44.0234 * CHOOSE(CONTROL!$C$9, $D$9, 100%, $F$9) + CHOOSE(CONTROL!$C$27, 0.0021, 0)</f>
        <v>44.025500000000001</v>
      </c>
      <c r="E320" s="17">
        <f>43.8867 * CHOOSE(CONTROL!$C$9, $D$9, 100%, $F$9) + CHOOSE(CONTROL!$C$27, 0.0021, 0)</f>
        <v>43.888799999999996</v>
      </c>
      <c r="F320" s="17">
        <f>43.8867 * CHOOSE(CONTROL!$C$9, $D$9, 100%, $F$9) + CHOOSE(CONTROL!$C$27, 0.0021, 0)</f>
        <v>43.888799999999996</v>
      </c>
      <c r="G320" s="17">
        <f>44.1581 * CHOOSE(CONTROL!$C$9, $D$9, 100%, $F$9) + CHOOSE(CONTROL!$C$27, 0.0021, 0)</f>
        <v>44.160199999999996</v>
      </c>
      <c r="H320" s="17">
        <f>44.0234 * CHOOSE(CONTROL!$C$9, $D$9, 100%, $F$9) + CHOOSE(CONTROL!$C$27, 0.0021, 0)</f>
        <v>44.025500000000001</v>
      </c>
      <c r="I320" s="17">
        <f>44.0234 * CHOOSE(CONTROL!$C$9, $D$9, 100%, $F$9) + CHOOSE(CONTROL!$C$27, 0.0021, 0)</f>
        <v>44.025500000000001</v>
      </c>
      <c r="J320" s="17">
        <f>44.0234 * CHOOSE(CONTROL!$C$9, $D$9, 100%, $F$9) + CHOOSE(CONTROL!$C$27, 0.0021, 0)</f>
        <v>44.025500000000001</v>
      </c>
      <c r="K320" s="17">
        <f>44.0234 * CHOOSE(CONTROL!$C$9, $D$9, 100%, $F$9) + CHOOSE(CONTROL!$C$27, 0.0021, 0)</f>
        <v>44.025500000000001</v>
      </c>
      <c r="L320" s="17"/>
    </row>
    <row r="321" spans="1:12" ht="15.75" x14ac:dyDescent="0.25">
      <c r="A321" s="14">
        <v>50709</v>
      </c>
      <c r="B321" s="17">
        <f>45.5193 * CHOOSE(CONTROL!$C$9, $D$9, 100%, $F$9) + CHOOSE(CONTROL!$C$27, 0.0021, 0)</f>
        <v>45.5214</v>
      </c>
      <c r="C321" s="17">
        <f>45.0871 * CHOOSE(CONTROL!$C$9, $D$9, 100%, $F$9) + CHOOSE(CONTROL!$C$27, 0.0021, 0)</f>
        <v>45.089199999999998</v>
      </c>
      <c r="D321" s="17">
        <f>45.0871 * CHOOSE(CONTROL!$C$9, $D$9, 100%, $F$9) + CHOOSE(CONTROL!$C$27, 0.0021, 0)</f>
        <v>45.089199999999998</v>
      </c>
      <c r="E321" s="17">
        <f>44.9504 * CHOOSE(CONTROL!$C$9, $D$9, 100%, $F$9) + CHOOSE(CONTROL!$C$27, 0.0021, 0)</f>
        <v>44.952500000000001</v>
      </c>
      <c r="F321" s="17">
        <f>44.9504 * CHOOSE(CONTROL!$C$9, $D$9, 100%, $F$9) + CHOOSE(CONTROL!$C$27, 0.0021, 0)</f>
        <v>44.952500000000001</v>
      </c>
      <c r="G321" s="17">
        <f>45.2218 * CHOOSE(CONTROL!$C$9, $D$9, 100%, $F$9) + CHOOSE(CONTROL!$C$27, 0.0021, 0)</f>
        <v>45.2239</v>
      </c>
      <c r="H321" s="17">
        <f>45.0871 * CHOOSE(CONTROL!$C$9, $D$9, 100%, $F$9) + CHOOSE(CONTROL!$C$27, 0.0021, 0)</f>
        <v>45.089199999999998</v>
      </c>
      <c r="I321" s="17">
        <f>45.0871 * CHOOSE(CONTROL!$C$9, $D$9, 100%, $F$9) + CHOOSE(CONTROL!$C$27, 0.0021, 0)</f>
        <v>45.089199999999998</v>
      </c>
      <c r="J321" s="17">
        <f>45.0871 * CHOOSE(CONTROL!$C$9, $D$9, 100%, $F$9) + CHOOSE(CONTROL!$C$27, 0.0021, 0)</f>
        <v>45.089199999999998</v>
      </c>
      <c r="K321" s="17">
        <f>45.0871 * CHOOSE(CONTROL!$C$9, $D$9, 100%, $F$9) + CHOOSE(CONTROL!$C$27, 0.0021, 0)</f>
        <v>45.089199999999998</v>
      </c>
      <c r="L321" s="17"/>
    </row>
    <row r="322" spans="1:12" ht="15.75" x14ac:dyDescent="0.25">
      <c r="A322" s="14">
        <v>50739</v>
      </c>
      <c r="B322" s="17">
        <f>45.6192 * CHOOSE(CONTROL!$C$9, $D$9, 100%, $F$9) + CHOOSE(CONTROL!$C$27, 0.0021, 0)</f>
        <v>45.621299999999998</v>
      </c>
      <c r="C322" s="17">
        <f>45.1869 * CHOOSE(CONTROL!$C$9, $D$9, 100%, $F$9) + CHOOSE(CONTROL!$C$27, 0.0021, 0)</f>
        <v>45.189</v>
      </c>
      <c r="D322" s="17">
        <f>45.1869 * CHOOSE(CONTROL!$C$9, $D$9, 100%, $F$9) + CHOOSE(CONTROL!$C$27, 0.0021, 0)</f>
        <v>45.189</v>
      </c>
      <c r="E322" s="17">
        <f>45.0503 * CHOOSE(CONTROL!$C$9, $D$9, 100%, $F$9) + CHOOSE(CONTROL!$C$27, 0.0021, 0)</f>
        <v>45.052399999999999</v>
      </c>
      <c r="F322" s="17">
        <f>45.0503 * CHOOSE(CONTROL!$C$9, $D$9, 100%, $F$9) + CHOOSE(CONTROL!$C$27, 0.0021, 0)</f>
        <v>45.052399999999999</v>
      </c>
      <c r="G322" s="17">
        <f>45.3216 * CHOOSE(CONTROL!$C$9, $D$9, 100%, $F$9) + CHOOSE(CONTROL!$C$27, 0.0021, 0)</f>
        <v>45.323699999999995</v>
      </c>
      <c r="H322" s="17">
        <f>45.1869 * CHOOSE(CONTROL!$C$9, $D$9, 100%, $F$9) + CHOOSE(CONTROL!$C$27, 0.0021, 0)</f>
        <v>45.189</v>
      </c>
      <c r="I322" s="17">
        <f>45.1869 * CHOOSE(CONTROL!$C$9, $D$9, 100%, $F$9) + CHOOSE(CONTROL!$C$27, 0.0021, 0)</f>
        <v>45.189</v>
      </c>
      <c r="J322" s="17">
        <f>45.1869 * CHOOSE(CONTROL!$C$9, $D$9, 100%, $F$9) + CHOOSE(CONTROL!$C$27, 0.0021, 0)</f>
        <v>45.189</v>
      </c>
      <c r="K322" s="17">
        <f>45.1869 * CHOOSE(CONTROL!$C$9, $D$9, 100%, $F$9) + CHOOSE(CONTROL!$C$27, 0.0021, 0)</f>
        <v>45.189</v>
      </c>
      <c r="L322" s="17"/>
    </row>
    <row r="323" spans="1:12" ht="15.75" x14ac:dyDescent="0.25">
      <c r="A323" s="14">
        <v>50770</v>
      </c>
      <c r="B323" s="17">
        <f>44.7696 * CHOOSE(CONTROL!$C$9, $D$9, 100%, $F$9) + CHOOSE(CONTROL!$C$27, 0.0021, 0)</f>
        <v>44.771699999999996</v>
      </c>
      <c r="C323" s="17">
        <f>44.3374 * CHOOSE(CONTROL!$C$9, $D$9, 100%, $F$9) + CHOOSE(CONTROL!$C$27, 0.0021, 0)</f>
        <v>44.339500000000001</v>
      </c>
      <c r="D323" s="17">
        <f>44.3374 * CHOOSE(CONTROL!$C$9, $D$9, 100%, $F$9) + CHOOSE(CONTROL!$C$27, 0.0021, 0)</f>
        <v>44.339500000000001</v>
      </c>
      <c r="E323" s="17">
        <f>44.2007 * CHOOSE(CONTROL!$C$9, $D$9, 100%, $F$9) + CHOOSE(CONTROL!$C$27, 0.0021, 0)</f>
        <v>44.202799999999996</v>
      </c>
      <c r="F323" s="17">
        <f>44.2007 * CHOOSE(CONTROL!$C$9, $D$9, 100%, $F$9) + CHOOSE(CONTROL!$C$27, 0.0021, 0)</f>
        <v>44.202799999999996</v>
      </c>
      <c r="G323" s="17">
        <f>44.4721 * CHOOSE(CONTROL!$C$9, $D$9, 100%, $F$9) + CHOOSE(CONTROL!$C$27, 0.0021, 0)</f>
        <v>44.474199999999996</v>
      </c>
      <c r="H323" s="17">
        <f>44.3374 * CHOOSE(CONTROL!$C$9, $D$9, 100%, $F$9) + CHOOSE(CONTROL!$C$27, 0.0021, 0)</f>
        <v>44.339500000000001</v>
      </c>
      <c r="I323" s="17">
        <f>44.3374 * CHOOSE(CONTROL!$C$9, $D$9, 100%, $F$9) + CHOOSE(CONTROL!$C$27, 0.0021, 0)</f>
        <v>44.339500000000001</v>
      </c>
      <c r="J323" s="17">
        <f>44.3374 * CHOOSE(CONTROL!$C$9, $D$9, 100%, $F$9) + CHOOSE(CONTROL!$C$27, 0.0021, 0)</f>
        <v>44.339500000000001</v>
      </c>
      <c r="K323" s="17">
        <f>44.3374 * CHOOSE(CONTROL!$C$9, $D$9, 100%, $F$9) + CHOOSE(CONTROL!$C$27, 0.0021, 0)</f>
        <v>44.339500000000001</v>
      </c>
      <c r="L323" s="17"/>
    </row>
    <row r="324" spans="1:12" ht="15.75" x14ac:dyDescent="0.25">
      <c r="A324" s="14">
        <v>50801</v>
      </c>
      <c r="B324" s="17">
        <f>44.2327 * CHOOSE(CONTROL!$C$9, $D$9, 100%, $F$9) + CHOOSE(CONTROL!$C$27, 0.0021, 0)</f>
        <v>44.2348</v>
      </c>
      <c r="C324" s="17">
        <f>43.8004 * CHOOSE(CONTROL!$C$9, $D$9, 100%, $F$9) + CHOOSE(CONTROL!$C$27, 0.0021, 0)</f>
        <v>43.802500000000002</v>
      </c>
      <c r="D324" s="17">
        <f>43.8004 * CHOOSE(CONTROL!$C$9, $D$9, 100%, $F$9) + CHOOSE(CONTROL!$C$27, 0.0021, 0)</f>
        <v>43.802500000000002</v>
      </c>
      <c r="E324" s="17">
        <f>43.6638 * CHOOSE(CONTROL!$C$9, $D$9, 100%, $F$9) + CHOOSE(CONTROL!$C$27, 0.0021, 0)</f>
        <v>43.665900000000001</v>
      </c>
      <c r="F324" s="17">
        <f>43.6638 * CHOOSE(CONTROL!$C$9, $D$9, 100%, $F$9) + CHOOSE(CONTROL!$C$27, 0.0021, 0)</f>
        <v>43.665900000000001</v>
      </c>
      <c r="G324" s="17">
        <f>43.9352 * CHOOSE(CONTROL!$C$9, $D$9, 100%, $F$9) + CHOOSE(CONTROL!$C$27, 0.0021, 0)</f>
        <v>43.9373</v>
      </c>
      <c r="H324" s="17">
        <f>43.8004 * CHOOSE(CONTROL!$C$9, $D$9, 100%, $F$9) + CHOOSE(CONTROL!$C$27, 0.0021, 0)</f>
        <v>43.802500000000002</v>
      </c>
      <c r="I324" s="17">
        <f>43.8004 * CHOOSE(CONTROL!$C$9, $D$9, 100%, $F$9) + CHOOSE(CONTROL!$C$27, 0.0021, 0)</f>
        <v>43.802500000000002</v>
      </c>
      <c r="J324" s="17">
        <f>43.8004 * CHOOSE(CONTROL!$C$9, $D$9, 100%, $F$9) + CHOOSE(CONTROL!$C$27, 0.0021, 0)</f>
        <v>43.802500000000002</v>
      </c>
      <c r="K324" s="17">
        <f>43.8004 * CHOOSE(CONTROL!$C$9, $D$9, 100%, $F$9) + CHOOSE(CONTROL!$C$27, 0.0021, 0)</f>
        <v>43.802500000000002</v>
      </c>
      <c r="L324" s="17"/>
    </row>
    <row r="325" spans="1:12" ht="15.75" x14ac:dyDescent="0.25">
      <c r="A325" s="14">
        <v>50829</v>
      </c>
      <c r="B325" s="17">
        <f>43.0464 * CHOOSE(CONTROL!$C$9, $D$9, 100%, $F$9) + CHOOSE(CONTROL!$C$27, 0.0021, 0)</f>
        <v>43.048499999999997</v>
      </c>
      <c r="C325" s="17">
        <f>42.6141 * CHOOSE(CONTROL!$C$9, $D$9, 100%, $F$9) + CHOOSE(CONTROL!$C$27, 0.0021, 0)</f>
        <v>42.616199999999999</v>
      </c>
      <c r="D325" s="17">
        <f>42.6141 * CHOOSE(CONTROL!$C$9, $D$9, 100%, $F$9) + CHOOSE(CONTROL!$C$27, 0.0021, 0)</f>
        <v>42.616199999999999</v>
      </c>
      <c r="E325" s="17">
        <f>42.4775 * CHOOSE(CONTROL!$C$9, $D$9, 100%, $F$9) + CHOOSE(CONTROL!$C$27, 0.0021, 0)</f>
        <v>42.479599999999998</v>
      </c>
      <c r="F325" s="17">
        <f>42.4775 * CHOOSE(CONTROL!$C$9, $D$9, 100%, $F$9) + CHOOSE(CONTROL!$C$27, 0.0021, 0)</f>
        <v>42.479599999999998</v>
      </c>
      <c r="G325" s="17">
        <f>42.7489 * CHOOSE(CONTROL!$C$9, $D$9, 100%, $F$9) + CHOOSE(CONTROL!$C$27, 0.0021, 0)</f>
        <v>42.750999999999998</v>
      </c>
      <c r="H325" s="17">
        <f>42.6141 * CHOOSE(CONTROL!$C$9, $D$9, 100%, $F$9) + CHOOSE(CONTROL!$C$27, 0.0021, 0)</f>
        <v>42.616199999999999</v>
      </c>
      <c r="I325" s="17">
        <f>42.6141 * CHOOSE(CONTROL!$C$9, $D$9, 100%, $F$9) + CHOOSE(CONTROL!$C$27, 0.0021, 0)</f>
        <v>42.616199999999999</v>
      </c>
      <c r="J325" s="17">
        <f>42.6141 * CHOOSE(CONTROL!$C$9, $D$9, 100%, $F$9) + CHOOSE(CONTROL!$C$27, 0.0021, 0)</f>
        <v>42.616199999999999</v>
      </c>
      <c r="K325" s="17">
        <f>42.6141 * CHOOSE(CONTROL!$C$9, $D$9, 100%, $F$9) + CHOOSE(CONTROL!$C$27, 0.0021, 0)</f>
        <v>42.616199999999999</v>
      </c>
      <c r="L325" s="17"/>
    </row>
    <row r="326" spans="1:12" ht="15.75" x14ac:dyDescent="0.25">
      <c r="A326" s="14">
        <v>50860</v>
      </c>
      <c r="B326" s="17">
        <f>42.5567 * CHOOSE(CONTROL!$C$9, $D$9, 100%, $F$9) + CHOOSE(CONTROL!$C$27, 0.0021, 0)</f>
        <v>42.558799999999998</v>
      </c>
      <c r="C326" s="17">
        <f>42.1244 * CHOOSE(CONTROL!$C$9, $D$9, 100%, $F$9) + CHOOSE(CONTROL!$C$27, 0.0021, 0)</f>
        <v>42.1265</v>
      </c>
      <c r="D326" s="17">
        <f>42.1244 * CHOOSE(CONTROL!$C$9, $D$9, 100%, $F$9) + CHOOSE(CONTROL!$C$27, 0.0021, 0)</f>
        <v>42.1265</v>
      </c>
      <c r="E326" s="17">
        <f>41.9878 * CHOOSE(CONTROL!$C$9, $D$9, 100%, $F$9) + CHOOSE(CONTROL!$C$27, 0.0021, 0)</f>
        <v>41.989899999999999</v>
      </c>
      <c r="F326" s="17">
        <f>41.9878 * CHOOSE(CONTROL!$C$9, $D$9, 100%, $F$9) + CHOOSE(CONTROL!$C$27, 0.0021, 0)</f>
        <v>41.989899999999999</v>
      </c>
      <c r="G326" s="17">
        <f>42.2592 * CHOOSE(CONTROL!$C$9, $D$9, 100%, $F$9) + CHOOSE(CONTROL!$C$27, 0.0021, 0)</f>
        <v>42.261299999999999</v>
      </c>
      <c r="H326" s="17">
        <f>42.1244 * CHOOSE(CONTROL!$C$9, $D$9, 100%, $F$9) + CHOOSE(CONTROL!$C$27, 0.0021, 0)</f>
        <v>42.1265</v>
      </c>
      <c r="I326" s="17">
        <f>42.1244 * CHOOSE(CONTROL!$C$9, $D$9, 100%, $F$9) + CHOOSE(CONTROL!$C$27, 0.0021, 0)</f>
        <v>42.1265</v>
      </c>
      <c r="J326" s="17">
        <f>42.1244 * CHOOSE(CONTROL!$C$9, $D$9, 100%, $F$9) + CHOOSE(CONTROL!$C$27, 0.0021, 0)</f>
        <v>42.1265</v>
      </c>
      <c r="K326" s="17">
        <f>42.1244 * CHOOSE(CONTROL!$C$9, $D$9, 100%, $F$9) + CHOOSE(CONTROL!$C$27, 0.0021, 0)</f>
        <v>42.1265</v>
      </c>
      <c r="L326" s="17"/>
    </row>
    <row r="327" spans="1:12" ht="15.75" x14ac:dyDescent="0.25">
      <c r="A327" s="14">
        <v>50890</v>
      </c>
      <c r="B327" s="17">
        <f>41.972 * CHOOSE(CONTROL!$C$9, $D$9, 100%, $F$9) + CHOOSE(CONTROL!$C$27, 0.0021, 0)</f>
        <v>41.9741</v>
      </c>
      <c r="C327" s="17">
        <f>41.5397 * CHOOSE(CONTROL!$C$9, $D$9, 100%, $F$9) + CHOOSE(CONTROL!$C$27, 0.0021, 0)</f>
        <v>41.541800000000002</v>
      </c>
      <c r="D327" s="17">
        <f>41.5397 * CHOOSE(CONTROL!$C$9, $D$9, 100%, $F$9) + CHOOSE(CONTROL!$C$27, 0.0021, 0)</f>
        <v>41.541800000000002</v>
      </c>
      <c r="E327" s="17">
        <f>41.4031 * CHOOSE(CONTROL!$C$9, $D$9, 100%, $F$9) + CHOOSE(CONTROL!$C$27, 0.0021, 0)</f>
        <v>41.405200000000001</v>
      </c>
      <c r="F327" s="17">
        <f>41.4031 * CHOOSE(CONTROL!$C$9, $D$9, 100%, $F$9) + CHOOSE(CONTROL!$C$27, 0.0021, 0)</f>
        <v>41.405200000000001</v>
      </c>
      <c r="G327" s="17">
        <f>41.6744 * CHOOSE(CONTROL!$C$9, $D$9, 100%, $F$9) + CHOOSE(CONTROL!$C$27, 0.0021, 0)</f>
        <v>41.676499999999997</v>
      </c>
      <c r="H327" s="17">
        <f>41.5397 * CHOOSE(CONTROL!$C$9, $D$9, 100%, $F$9) + CHOOSE(CONTROL!$C$27, 0.0021, 0)</f>
        <v>41.541800000000002</v>
      </c>
      <c r="I327" s="17">
        <f>41.5397 * CHOOSE(CONTROL!$C$9, $D$9, 100%, $F$9) + CHOOSE(CONTROL!$C$27, 0.0021, 0)</f>
        <v>41.541800000000002</v>
      </c>
      <c r="J327" s="17">
        <f>41.5397 * CHOOSE(CONTROL!$C$9, $D$9, 100%, $F$9) + CHOOSE(CONTROL!$C$27, 0.0021, 0)</f>
        <v>41.541800000000002</v>
      </c>
      <c r="K327" s="17">
        <f>41.5397 * CHOOSE(CONTROL!$C$9, $D$9, 100%, $F$9) + CHOOSE(CONTROL!$C$27, 0.0021, 0)</f>
        <v>41.541800000000002</v>
      </c>
      <c r="L327" s="17"/>
    </row>
    <row r="328" spans="1:12" ht="15.75" x14ac:dyDescent="0.25">
      <c r="A328" s="14">
        <v>50921</v>
      </c>
      <c r="B328" s="17">
        <f>42.8053 * CHOOSE(CONTROL!$C$9, $D$9, 100%, $F$9) + CHOOSE(CONTROL!$C$27, 0.0021, 0)</f>
        <v>42.807400000000001</v>
      </c>
      <c r="C328" s="17">
        <f>42.373 * CHOOSE(CONTROL!$C$9, $D$9, 100%, $F$9) + CHOOSE(CONTROL!$C$27, 0.0021, 0)</f>
        <v>42.375099999999996</v>
      </c>
      <c r="D328" s="17">
        <f>42.373 * CHOOSE(CONTROL!$C$9, $D$9, 100%, $F$9) + CHOOSE(CONTROL!$C$27, 0.0021, 0)</f>
        <v>42.375099999999996</v>
      </c>
      <c r="E328" s="17">
        <f>42.2364 * CHOOSE(CONTROL!$C$9, $D$9, 100%, $F$9) + CHOOSE(CONTROL!$C$27, 0.0021, 0)</f>
        <v>42.238500000000002</v>
      </c>
      <c r="F328" s="17">
        <f>42.2364 * CHOOSE(CONTROL!$C$9, $D$9, 100%, $F$9) + CHOOSE(CONTROL!$C$27, 0.0021, 0)</f>
        <v>42.238500000000002</v>
      </c>
      <c r="G328" s="17">
        <f>42.5077 * CHOOSE(CONTROL!$C$9, $D$9, 100%, $F$9) + CHOOSE(CONTROL!$C$27, 0.0021, 0)</f>
        <v>42.509799999999998</v>
      </c>
      <c r="H328" s="17">
        <f>42.373 * CHOOSE(CONTROL!$C$9, $D$9, 100%, $F$9) + CHOOSE(CONTROL!$C$27, 0.0021, 0)</f>
        <v>42.375099999999996</v>
      </c>
      <c r="I328" s="17">
        <f>42.373 * CHOOSE(CONTROL!$C$9, $D$9, 100%, $F$9) + CHOOSE(CONTROL!$C$27, 0.0021, 0)</f>
        <v>42.375099999999996</v>
      </c>
      <c r="J328" s="17">
        <f>42.373 * CHOOSE(CONTROL!$C$9, $D$9, 100%, $F$9) + CHOOSE(CONTROL!$C$27, 0.0021, 0)</f>
        <v>42.375099999999996</v>
      </c>
      <c r="K328" s="17">
        <f>42.373 * CHOOSE(CONTROL!$C$9, $D$9, 100%, $F$9) + CHOOSE(CONTROL!$C$27, 0.0021, 0)</f>
        <v>42.375099999999996</v>
      </c>
      <c r="L328" s="17"/>
    </row>
    <row r="329" spans="1:12" ht="15.75" x14ac:dyDescent="0.25">
      <c r="A329" s="14">
        <v>50951</v>
      </c>
      <c r="B329" s="17">
        <f>43.3044 * CHOOSE(CONTROL!$C$9, $D$9, 100%, $F$9) + CHOOSE(CONTROL!$C$27, 0.0021, 0)</f>
        <v>43.3065</v>
      </c>
      <c r="C329" s="17">
        <f>42.8721 * CHOOSE(CONTROL!$C$9, $D$9, 100%, $F$9) + CHOOSE(CONTROL!$C$27, 0.0021, 0)</f>
        <v>42.874200000000002</v>
      </c>
      <c r="D329" s="17">
        <f>42.8721 * CHOOSE(CONTROL!$C$9, $D$9, 100%, $F$9) + CHOOSE(CONTROL!$C$27, 0.0021, 0)</f>
        <v>42.874200000000002</v>
      </c>
      <c r="E329" s="17">
        <f>42.7355 * CHOOSE(CONTROL!$C$9, $D$9, 100%, $F$9) + CHOOSE(CONTROL!$C$27, 0.0021, 0)</f>
        <v>42.7376</v>
      </c>
      <c r="F329" s="17">
        <f>42.7355 * CHOOSE(CONTROL!$C$9, $D$9, 100%, $F$9) + CHOOSE(CONTROL!$C$27, 0.0021, 0)</f>
        <v>42.7376</v>
      </c>
      <c r="G329" s="17">
        <f>43.0068 * CHOOSE(CONTROL!$C$9, $D$9, 100%, $F$9) + CHOOSE(CONTROL!$C$27, 0.0021, 0)</f>
        <v>43.008899999999997</v>
      </c>
      <c r="H329" s="17">
        <f>42.8721 * CHOOSE(CONTROL!$C$9, $D$9, 100%, $F$9) + CHOOSE(CONTROL!$C$27, 0.0021, 0)</f>
        <v>42.874200000000002</v>
      </c>
      <c r="I329" s="17">
        <f>42.8721 * CHOOSE(CONTROL!$C$9, $D$9, 100%, $F$9) + CHOOSE(CONTROL!$C$27, 0.0021, 0)</f>
        <v>42.874200000000002</v>
      </c>
      <c r="J329" s="17">
        <f>42.8721 * CHOOSE(CONTROL!$C$9, $D$9, 100%, $F$9) + CHOOSE(CONTROL!$C$27, 0.0021, 0)</f>
        <v>42.874200000000002</v>
      </c>
      <c r="K329" s="17">
        <f>42.8721 * CHOOSE(CONTROL!$C$9, $D$9, 100%, $F$9) + CHOOSE(CONTROL!$C$27, 0.0021, 0)</f>
        <v>42.874200000000002</v>
      </c>
      <c r="L329" s="17"/>
    </row>
    <row r="330" spans="1:12" ht="15.75" x14ac:dyDescent="0.25">
      <c r="A330" s="14">
        <v>50982</v>
      </c>
      <c r="B330" s="17">
        <f>44.1277 * CHOOSE(CONTROL!$C$9, $D$9, 100%, $F$9) + CHOOSE(CONTROL!$C$27, 0.0021, 0)</f>
        <v>44.129799999999996</v>
      </c>
      <c r="C330" s="17">
        <f>43.6955 * CHOOSE(CONTROL!$C$9, $D$9, 100%, $F$9) + CHOOSE(CONTROL!$C$27, 0.0021, 0)</f>
        <v>43.697600000000001</v>
      </c>
      <c r="D330" s="17">
        <f>43.6955 * CHOOSE(CONTROL!$C$9, $D$9, 100%, $F$9) + CHOOSE(CONTROL!$C$27, 0.0021, 0)</f>
        <v>43.697600000000001</v>
      </c>
      <c r="E330" s="17">
        <f>43.5588 * CHOOSE(CONTROL!$C$9, $D$9, 100%, $F$9) + CHOOSE(CONTROL!$C$27, 0.0021, 0)</f>
        <v>43.560899999999997</v>
      </c>
      <c r="F330" s="17">
        <f>43.5588 * CHOOSE(CONTROL!$C$9, $D$9, 100%, $F$9) + CHOOSE(CONTROL!$C$27, 0.0021, 0)</f>
        <v>43.560899999999997</v>
      </c>
      <c r="G330" s="17">
        <f>43.8302 * CHOOSE(CONTROL!$C$9, $D$9, 100%, $F$9) + CHOOSE(CONTROL!$C$27, 0.0021, 0)</f>
        <v>43.832299999999996</v>
      </c>
      <c r="H330" s="17">
        <f>43.6955 * CHOOSE(CONTROL!$C$9, $D$9, 100%, $F$9) + CHOOSE(CONTROL!$C$27, 0.0021, 0)</f>
        <v>43.697600000000001</v>
      </c>
      <c r="I330" s="17">
        <f>43.6955 * CHOOSE(CONTROL!$C$9, $D$9, 100%, $F$9) + CHOOSE(CONTROL!$C$27, 0.0021, 0)</f>
        <v>43.697600000000001</v>
      </c>
      <c r="J330" s="17">
        <f>43.6955 * CHOOSE(CONTROL!$C$9, $D$9, 100%, $F$9) + CHOOSE(CONTROL!$C$27, 0.0021, 0)</f>
        <v>43.697600000000001</v>
      </c>
      <c r="K330" s="17">
        <f>43.6955 * CHOOSE(CONTROL!$C$9, $D$9, 100%, $F$9) + CHOOSE(CONTROL!$C$27, 0.0021, 0)</f>
        <v>43.697600000000001</v>
      </c>
      <c r="L330" s="17"/>
    </row>
    <row r="331" spans="1:12" ht="15.75" x14ac:dyDescent="0.25">
      <c r="A331" s="14">
        <v>51013</v>
      </c>
      <c r="B331" s="17">
        <f>44.379 * CHOOSE(CONTROL!$C$9, $D$9, 100%, $F$9) + CHOOSE(CONTROL!$C$27, 0.0021, 0)</f>
        <v>44.381099999999996</v>
      </c>
      <c r="C331" s="17">
        <f>43.9468 * CHOOSE(CONTROL!$C$9, $D$9, 100%, $F$9) + CHOOSE(CONTROL!$C$27, 0.0021, 0)</f>
        <v>43.948900000000002</v>
      </c>
      <c r="D331" s="17">
        <f>43.9468 * CHOOSE(CONTROL!$C$9, $D$9, 100%, $F$9) + CHOOSE(CONTROL!$C$27, 0.0021, 0)</f>
        <v>43.948900000000002</v>
      </c>
      <c r="E331" s="17">
        <f>43.8101 * CHOOSE(CONTROL!$C$9, $D$9, 100%, $F$9) + CHOOSE(CONTROL!$C$27, 0.0021, 0)</f>
        <v>43.812199999999997</v>
      </c>
      <c r="F331" s="17">
        <f>43.8101 * CHOOSE(CONTROL!$C$9, $D$9, 100%, $F$9) + CHOOSE(CONTROL!$C$27, 0.0021, 0)</f>
        <v>43.812199999999997</v>
      </c>
      <c r="G331" s="17">
        <f>44.0815 * CHOOSE(CONTROL!$C$9, $D$9, 100%, $F$9) + CHOOSE(CONTROL!$C$27, 0.0021, 0)</f>
        <v>44.083599999999997</v>
      </c>
      <c r="H331" s="17">
        <f>43.9468 * CHOOSE(CONTROL!$C$9, $D$9, 100%, $F$9) + CHOOSE(CONTROL!$C$27, 0.0021, 0)</f>
        <v>43.948900000000002</v>
      </c>
      <c r="I331" s="17">
        <f>43.9468 * CHOOSE(CONTROL!$C$9, $D$9, 100%, $F$9) + CHOOSE(CONTROL!$C$27, 0.0021, 0)</f>
        <v>43.948900000000002</v>
      </c>
      <c r="J331" s="17">
        <f>43.9468 * CHOOSE(CONTROL!$C$9, $D$9, 100%, $F$9) + CHOOSE(CONTROL!$C$27, 0.0021, 0)</f>
        <v>43.948900000000002</v>
      </c>
      <c r="K331" s="17">
        <f>43.9468 * CHOOSE(CONTROL!$C$9, $D$9, 100%, $F$9) + CHOOSE(CONTROL!$C$27, 0.0021, 0)</f>
        <v>43.948900000000002</v>
      </c>
      <c r="L331" s="17"/>
    </row>
    <row r="332" spans="1:12" ht="15.75" x14ac:dyDescent="0.25">
      <c r="A332" s="14">
        <v>51043</v>
      </c>
      <c r="B332" s="17">
        <f>45.2348 * CHOOSE(CONTROL!$C$9, $D$9, 100%, $F$9) + CHOOSE(CONTROL!$C$27, 0.0021, 0)</f>
        <v>45.236899999999999</v>
      </c>
      <c r="C332" s="17">
        <f>44.8026 * CHOOSE(CONTROL!$C$9, $D$9, 100%, $F$9) + CHOOSE(CONTROL!$C$27, 0.0021, 0)</f>
        <v>44.804699999999997</v>
      </c>
      <c r="D332" s="17">
        <f>44.8026 * CHOOSE(CONTROL!$C$9, $D$9, 100%, $F$9) + CHOOSE(CONTROL!$C$27, 0.0021, 0)</f>
        <v>44.804699999999997</v>
      </c>
      <c r="E332" s="17">
        <f>44.6659 * CHOOSE(CONTROL!$C$9, $D$9, 100%, $F$9) + CHOOSE(CONTROL!$C$27, 0.0021, 0)</f>
        <v>44.667999999999999</v>
      </c>
      <c r="F332" s="17">
        <f>44.6659 * CHOOSE(CONTROL!$C$9, $D$9, 100%, $F$9) + CHOOSE(CONTROL!$C$27, 0.0021, 0)</f>
        <v>44.667999999999999</v>
      </c>
      <c r="G332" s="17">
        <f>44.9373 * CHOOSE(CONTROL!$C$9, $D$9, 100%, $F$9) + CHOOSE(CONTROL!$C$27, 0.0021, 0)</f>
        <v>44.939399999999999</v>
      </c>
      <c r="H332" s="17">
        <f>44.8026 * CHOOSE(CONTROL!$C$9, $D$9, 100%, $F$9) + CHOOSE(CONTROL!$C$27, 0.0021, 0)</f>
        <v>44.804699999999997</v>
      </c>
      <c r="I332" s="17">
        <f>44.8026 * CHOOSE(CONTROL!$C$9, $D$9, 100%, $F$9) + CHOOSE(CONTROL!$C$27, 0.0021, 0)</f>
        <v>44.804699999999997</v>
      </c>
      <c r="J332" s="17">
        <f>44.8026 * CHOOSE(CONTROL!$C$9, $D$9, 100%, $F$9) + CHOOSE(CONTROL!$C$27, 0.0021, 0)</f>
        <v>44.804699999999997</v>
      </c>
      <c r="K332" s="17">
        <f>44.8026 * CHOOSE(CONTROL!$C$9, $D$9, 100%, $F$9) + CHOOSE(CONTROL!$C$27, 0.0021, 0)</f>
        <v>44.804699999999997</v>
      </c>
      <c r="L332" s="17"/>
    </row>
    <row r="333" spans="1:12" ht="15.75" x14ac:dyDescent="0.25">
      <c r="A333" s="14">
        <v>51074</v>
      </c>
      <c r="B333" s="17">
        <f>46.3182 * CHOOSE(CONTROL!$C$9, $D$9, 100%, $F$9) + CHOOSE(CONTROL!$C$27, 0.0021, 0)</f>
        <v>46.320299999999996</v>
      </c>
      <c r="C333" s="17">
        <f>45.8859 * CHOOSE(CONTROL!$C$9, $D$9, 100%, $F$9) + CHOOSE(CONTROL!$C$27, 0.0021, 0)</f>
        <v>45.887999999999998</v>
      </c>
      <c r="D333" s="17">
        <f>45.8859 * CHOOSE(CONTROL!$C$9, $D$9, 100%, $F$9) + CHOOSE(CONTROL!$C$27, 0.0021, 0)</f>
        <v>45.887999999999998</v>
      </c>
      <c r="E333" s="17">
        <f>45.7493 * CHOOSE(CONTROL!$C$9, $D$9, 100%, $F$9) + CHOOSE(CONTROL!$C$27, 0.0021, 0)</f>
        <v>45.751399999999997</v>
      </c>
      <c r="F333" s="17">
        <f>45.7493 * CHOOSE(CONTROL!$C$9, $D$9, 100%, $F$9) + CHOOSE(CONTROL!$C$27, 0.0021, 0)</f>
        <v>45.751399999999997</v>
      </c>
      <c r="G333" s="17">
        <f>46.0207 * CHOOSE(CONTROL!$C$9, $D$9, 100%, $F$9) + CHOOSE(CONTROL!$C$27, 0.0021, 0)</f>
        <v>46.022799999999997</v>
      </c>
      <c r="H333" s="17">
        <f>45.8859 * CHOOSE(CONTROL!$C$9, $D$9, 100%, $F$9) + CHOOSE(CONTROL!$C$27, 0.0021, 0)</f>
        <v>45.887999999999998</v>
      </c>
      <c r="I333" s="17">
        <f>45.8859 * CHOOSE(CONTROL!$C$9, $D$9, 100%, $F$9) + CHOOSE(CONTROL!$C$27, 0.0021, 0)</f>
        <v>45.887999999999998</v>
      </c>
      <c r="J333" s="17">
        <f>45.8859 * CHOOSE(CONTROL!$C$9, $D$9, 100%, $F$9) + CHOOSE(CONTROL!$C$27, 0.0021, 0)</f>
        <v>45.887999999999998</v>
      </c>
      <c r="K333" s="17">
        <f>45.8859 * CHOOSE(CONTROL!$C$9, $D$9, 100%, $F$9) + CHOOSE(CONTROL!$C$27, 0.0021, 0)</f>
        <v>45.887999999999998</v>
      </c>
      <c r="L333" s="17"/>
    </row>
    <row r="334" spans="1:12" ht="15.75" x14ac:dyDescent="0.25">
      <c r="A334" s="14">
        <v>51104</v>
      </c>
      <c r="B334" s="17">
        <f>46.4199 * CHOOSE(CONTROL!$C$9, $D$9, 100%, $F$9) + CHOOSE(CONTROL!$C$27, 0.0021, 0)</f>
        <v>46.421999999999997</v>
      </c>
      <c r="C334" s="17">
        <f>45.9876 * CHOOSE(CONTROL!$C$9, $D$9, 100%, $F$9) + CHOOSE(CONTROL!$C$27, 0.0021, 0)</f>
        <v>45.989699999999999</v>
      </c>
      <c r="D334" s="17">
        <f>45.9876 * CHOOSE(CONTROL!$C$9, $D$9, 100%, $F$9) + CHOOSE(CONTROL!$C$27, 0.0021, 0)</f>
        <v>45.989699999999999</v>
      </c>
      <c r="E334" s="17">
        <f>45.851 * CHOOSE(CONTROL!$C$9, $D$9, 100%, $F$9) + CHOOSE(CONTROL!$C$27, 0.0021, 0)</f>
        <v>45.853099999999998</v>
      </c>
      <c r="F334" s="17">
        <f>45.851 * CHOOSE(CONTROL!$C$9, $D$9, 100%, $F$9) + CHOOSE(CONTROL!$C$27, 0.0021, 0)</f>
        <v>45.853099999999998</v>
      </c>
      <c r="G334" s="17">
        <f>46.1224 * CHOOSE(CONTROL!$C$9, $D$9, 100%, $F$9) + CHOOSE(CONTROL!$C$27, 0.0021, 0)</f>
        <v>46.124499999999998</v>
      </c>
      <c r="H334" s="17">
        <f>45.9876 * CHOOSE(CONTROL!$C$9, $D$9, 100%, $F$9) + CHOOSE(CONTROL!$C$27, 0.0021, 0)</f>
        <v>45.989699999999999</v>
      </c>
      <c r="I334" s="17">
        <f>45.9876 * CHOOSE(CONTROL!$C$9, $D$9, 100%, $F$9) + CHOOSE(CONTROL!$C$27, 0.0021, 0)</f>
        <v>45.989699999999999</v>
      </c>
      <c r="J334" s="17">
        <f>45.9876 * CHOOSE(CONTROL!$C$9, $D$9, 100%, $F$9) + CHOOSE(CONTROL!$C$27, 0.0021, 0)</f>
        <v>45.989699999999999</v>
      </c>
      <c r="K334" s="17">
        <f>45.9876 * CHOOSE(CONTROL!$C$9, $D$9, 100%, $F$9) + CHOOSE(CONTROL!$C$27, 0.0021, 0)</f>
        <v>45.989699999999999</v>
      </c>
      <c r="L334" s="17"/>
    </row>
    <row r="335" spans="1:12" ht="15.75" x14ac:dyDescent="0.25">
      <c r="A335" s="14">
        <v>51135</v>
      </c>
      <c r="B335" s="17">
        <f>45.5546 * CHOOSE(CONTROL!$C$9, $D$9, 100%, $F$9) + CHOOSE(CONTROL!$C$27, 0.0021, 0)</f>
        <v>45.556699999999999</v>
      </c>
      <c r="C335" s="17">
        <f>45.1224 * CHOOSE(CONTROL!$C$9, $D$9, 100%, $F$9) + CHOOSE(CONTROL!$C$27, 0.0021, 0)</f>
        <v>45.124499999999998</v>
      </c>
      <c r="D335" s="17">
        <f>45.1224 * CHOOSE(CONTROL!$C$9, $D$9, 100%, $F$9) + CHOOSE(CONTROL!$C$27, 0.0021, 0)</f>
        <v>45.124499999999998</v>
      </c>
      <c r="E335" s="17">
        <f>44.9857 * CHOOSE(CONTROL!$C$9, $D$9, 100%, $F$9) + CHOOSE(CONTROL!$C$27, 0.0021, 0)</f>
        <v>44.9878</v>
      </c>
      <c r="F335" s="17">
        <f>44.9857 * CHOOSE(CONTROL!$C$9, $D$9, 100%, $F$9) + CHOOSE(CONTROL!$C$27, 0.0021, 0)</f>
        <v>44.9878</v>
      </c>
      <c r="G335" s="17">
        <f>45.2571 * CHOOSE(CONTROL!$C$9, $D$9, 100%, $F$9) + CHOOSE(CONTROL!$C$27, 0.0021, 0)</f>
        <v>45.2592</v>
      </c>
      <c r="H335" s="17">
        <f>45.1224 * CHOOSE(CONTROL!$C$9, $D$9, 100%, $F$9) + CHOOSE(CONTROL!$C$27, 0.0021, 0)</f>
        <v>45.124499999999998</v>
      </c>
      <c r="I335" s="17">
        <f>45.1224 * CHOOSE(CONTROL!$C$9, $D$9, 100%, $F$9) + CHOOSE(CONTROL!$C$27, 0.0021, 0)</f>
        <v>45.124499999999998</v>
      </c>
      <c r="J335" s="17">
        <f>45.1224 * CHOOSE(CONTROL!$C$9, $D$9, 100%, $F$9) + CHOOSE(CONTROL!$C$27, 0.0021, 0)</f>
        <v>45.124499999999998</v>
      </c>
      <c r="K335" s="17">
        <f>45.1224 * CHOOSE(CONTROL!$C$9, $D$9, 100%, $F$9) + CHOOSE(CONTROL!$C$27, 0.0021, 0)</f>
        <v>45.124499999999998</v>
      </c>
      <c r="L335" s="17"/>
    </row>
    <row r="336" spans="1:12" ht="15.75" x14ac:dyDescent="0.25">
      <c r="A336" s="14">
        <v>51166</v>
      </c>
      <c r="B336" s="17">
        <f>45.0078 * CHOOSE(CONTROL!$C$9, $D$9, 100%, $F$9) + CHOOSE(CONTROL!$C$27, 0.0021, 0)</f>
        <v>45.009900000000002</v>
      </c>
      <c r="C336" s="17">
        <f>44.5755 * CHOOSE(CONTROL!$C$9, $D$9, 100%, $F$9) + CHOOSE(CONTROL!$C$27, 0.0021, 0)</f>
        <v>44.577599999999997</v>
      </c>
      <c r="D336" s="17">
        <f>44.5755 * CHOOSE(CONTROL!$C$9, $D$9, 100%, $F$9) + CHOOSE(CONTROL!$C$27, 0.0021, 0)</f>
        <v>44.577599999999997</v>
      </c>
      <c r="E336" s="17">
        <f>44.4389 * CHOOSE(CONTROL!$C$9, $D$9, 100%, $F$9) + CHOOSE(CONTROL!$C$27, 0.0021, 0)</f>
        <v>44.440999999999995</v>
      </c>
      <c r="F336" s="17">
        <f>44.4389 * CHOOSE(CONTROL!$C$9, $D$9, 100%, $F$9) + CHOOSE(CONTROL!$C$27, 0.0021, 0)</f>
        <v>44.440999999999995</v>
      </c>
      <c r="G336" s="17">
        <f>44.7102 * CHOOSE(CONTROL!$C$9, $D$9, 100%, $F$9) + CHOOSE(CONTROL!$C$27, 0.0021, 0)</f>
        <v>44.712299999999999</v>
      </c>
      <c r="H336" s="17">
        <f>44.5755 * CHOOSE(CONTROL!$C$9, $D$9, 100%, $F$9) + CHOOSE(CONTROL!$C$27, 0.0021, 0)</f>
        <v>44.577599999999997</v>
      </c>
      <c r="I336" s="17">
        <f>44.5755 * CHOOSE(CONTROL!$C$9, $D$9, 100%, $F$9) + CHOOSE(CONTROL!$C$27, 0.0021, 0)</f>
        <v>44.577599999999997</v>
      </c>
      <c r="J336" s="17">
        <f>44.5755 * CHOOSE(CONTROL!$C$9, $D$9, 100%, $F$9) + CHOOSE(CONTROL!$C$27, 0.0021, 0)</f>
        <v>44.577599999999997</v>
      </c>
      <c r="K336" s="17">
        <f>44.5755 * CHOOSE(CONTROL!$C$9, $D$9, 100%, $F$9) + CHOOSE(CONTROL!$C$27, 0.0021, 0)</f>
        <v>44.577599999999997</v>
      </c>
      <c r="L336" s="17"/>
    </row>
    <row r="337" spans="1:12" ht="15.75" x14ac:dyDescent="0.25">
      <c r="A337" s="14">
        <v>51194</v>
      </c>
      <c r="B337" s="17">
        <f>43.7995 * CHOOSE(CONTROL!$C$9, $D$9, 100%, $F$9) + CHOOSE(CONTROL!$C$27, 0.0021, 0)</f>
        <v>43.801600000000001</v>
      </c>
      <c r="C337" s="17">
        <f>43.3673 * CHOOSE(CONTROL!$C$9, $D$9, 100%, $F$9) + CHOOSE(CONTROL!$C$27, 0.0021, 0)</f>
        <v>43.369399999999999</v>
      </c>
      <c r="D337" s="17">
        <f>43.3673 * CHOOSE(CONTROL!$C$9, $D$9, 100%, $F$9) + CHOOSE(CONTROL!$C$27, 0.0021, 0)</f>
        <v>43.369399999999999</v>
      </c>
      <c r="E337" s="17">
        <f>43.2306 * CHOOSE(CONTROL!$C$9, $D$9, 100%, $F$9) + CHOOSE(CONTROL!$C$27, 0.0021, 0)</f>
        <v>43.232700000000001</v>
      </c>
      <c r="F337" s="17">
        <f>43.2306 * CHOOSE(CONTROL!$C$9, $D$9, 100%, $F$9) + CHOOSE(CONTROL!$C$27, 0.0021, 0)</f>
        <v>43.232700000000001</v>
      </c>
      <c r="G337" s="17">
        <f>43.502 * CHOOSE(CONTROL!$C$9, $D$9, 100%, $F$9) + CHOOSE(CONTROL!$C$27, 0.0021, 0)</f>
        <v>43.504100000000001</v>
      </c>
      <c r="H337" s="17">
        <f>43.3673 * CHOOSE(CONTROL!$C$9, $D$9, 100%, $F$9) + CHOOSE(CONTROL!$C$27, 0.0021, 0)</f>
        <v>43.369399999999999</v>
      </c>
      <c r="I337" s="17">
        <f>43.3673 * CHOOSE(CONTROL!$C$9, $D$9, 100%, $F$9) + CHOOSE(CONTROL!$C$27, 0.0021, 0)</f>
        <v>43.369399999999999</v>
      </c>
      <c r="J337" s="17">
        <f>43.3673 * CHOOSE(CONTROL!$C$9, $D$9, 100%, $F$9) + CHOOSE(CONTROL!$C$27, 0.0021, 0)</f>
        <v>43.369399999999999</v>
      </c>
      <c r="K337" s="17">
        <f>43.3673 * CHOOSE(CONTROL!$C$9, $D$9, 100%, $F$9) + CHOOSE(CONTROL!$C$27, 0.0021, 0)</f>
        <v>43.369399999999999</v>
      </c>
      <c r="L337" s="17"/>
    </row>
    <row r="338" spans="1:12" ht="15.75" x14ac:dyDescent="0.25">
      <c r="A338" s="14">
        <v>51226</v>
      </c>
      <c r="B338" s="17">
        <f>43.3008 * CHOOSE(CONTROL!$C$9, $D$9, 100%, $F$9) + CHOOSE(CONTROL!$C$27, 0.0021, 0)</f>
        <v>43.302900000000001</v>
      </c>
      <c r="C338" s="17">
        <f>42.8686 * CHOOSE(CONTROL!$C$9, $D$9, 100%, $F$9) + CHOOSE(CONTROL!$C$27, 0.0021, 0)</f>
        <v>42.870699999999999</v>
      </c>
      <c r="D338" s="17">
        <f>42.8686 * CHOOSE(CONTROL!$C$9, $D$9, 100%, $F$9) + CHOOSE(CONTROL!$C$27, 0.0021, 0)</f>
        <v>42.870699999999999</v>
      </c>
      <c r="E338" s="17">
        <f>42.7319 * CHOOSE(CONTROL!$C$9, $D$9, 100%, $F$9) + CHOOSE(CONTROL!$C$27, 0.0021, 0)</f>
        <v>42.734000000000002</v>
      </c>
      <c r="F338" s="17">
        <f>42.7319 * CHOOSE(CONTROL!$C$9, $D$9, 100%, $F$9) + CHOOSE(CONTROL!$C$27, 0.0021, 0)</f>
        <v>42.734000000000002</v>
      </c>
      <c r="G338" s="17">
        <f>43.0033 * CHOOSE(CONTROL!$C$9, $D$9, 100%, $F$9) + CHOOSE(CONTROL!$C$27, 0.0021, 0)</f>
        <v>43.005400000000002</v>
      </c>
      <c r="H338" s="17">
        <f>42.8686 * CHOOSE(CONTROL!$C$9, $D$9, 100%, $F$9) + CHOOSE(CONTROL!$C$27, 0.0021, 0)</f>
        <v>42.870699999999999</v>
      </c>
      <c r="I338" s="17">
        <f>42.8686 * CHOOSE(CONTROL!$C$9, $D$9, 100%, $F$9) + CHOOSE(CONTROL!$C$27, 0.0021, 0)</f>
        <v>42.870699999999999</v>
      </c>
      <c r="J338" s="17">
        <f>42.8686 * CHOOSE(CONTROL!$C$9, $D$9, 100%, $F$9) + CHOOSE(CONTROL!$C$27, 0.0021, 0)</f>
        <v>42.870699999999999</v>
      </c>
      <c r="K338" s="17">
        <f>42.8686 * CHOOSE(CONTROL!$C$9, $D$9, 100%, $F$9) + CHOOSE(CONTROL!$C$27, 0.0021, 0)</f>
        <v>42.870699999999999</v>
      </c>
      <c r="L338" s="17"/>
    </row>
    <row r="339" spans="1:12" ht="15.75" x14ac:dyDescent="0.25">
      <c r="A339" s="14">
        <v>51256</v>
      </c>
      <c r="B339" s="17">
        <f>42.7053 * CHOOSE(CONTROL!$C$9, $D$9, 100%, $F$9) + CHOOSE(CONTROL!$C$27, 0.0021, 0)</f>
        <v>42.7074</v>
      </c>
      <c r="C339" s="17">
        <f>42.273 * CHOOSE(CONTROL!$C$9, $D$9, 100%, $F$9) + CHOOSE(CONTROL!$C$27, 0.0021, 0)</f>
        <v>42.275100000000002</v>
      </c>
      <c r="D339" s="17">
        <f>42.273 * CHOOSE(CONTROL!$C$9, $D$9, 100%, $F$9) + CHOOSE(CONTROL!$C$27, 0.0021, 0)</f>
        <v>42.275100000000002</v>
      </c>
      <c r="E339" s="17">
        <f>42.1364 * CHOOSE(CONTROL!$C$9, $D$9, 100%, $F$9) + CHOOSE(CONTROL!$C$27, 0.0021, 0)</f>
        <v>42.138500000000001</v>
      </c>
      <c r="F339" s="17">
        <f>42.1364 * CHOOSE(CONTROL!$C$9, $D$9, 100%, $F$9) + CHOOSE(CONTROL!$C$27, 0.0021, 0)</f>
        <v>42.138500000000001</v>
      </c>
      <c r="G339" s="17">
        <f>42.4077 * CHOOSE(CONTROL!$C$9, $D$9, 100%, $F$9) + CHOOSE(CONTROL!$C$27, 0.0021, 0)</f>
        <v>42.409799999999997</v>
      </c>
      <c r="H339" s="17">
        <f>42.273 * CHOOSE(CONTROL!$C$9, $D$9, 100%, $F$9) + CHOOSE(CONTROL!$C$27, 0.0021, 0)</f>
        <v>42.275100000000002</v>
      </c>
      <c r="I339" s="17">
        <f>42.273 * CHOOSE(CONTROL!$C$9, $D$9, 100%, $F$9) + CHOOSE(CONTROL!$C$27, 0.0021, 0)</f>
        <v>42.275100000000002</v>
      </c>
      <c r="J339" s="17">
        <f>42.273 * CHOOSE(CONTROL!$C$9, $D$9, 100%, $F$9) + CHOOSE(CONTROL!$C$27, 0.0021, 0)</f>
        <v>42.275100000000002</v>
      </c>
      <c r="K339" s="17">
        <f>42.273 * CHOOSE(CONTROL!$C$9, $D$9, 100%, $F$9) + CHOOSE(CONTROL!$C$27, 0.0021, 0)</f>
        <v>42.275100000000002</v>
      </c>
      <c r="L339" s="17"/>
    </row>
    <row r="340" spans="1:12" ht="15.75" x14ac:dyDescent="0.25">
      <c r="A340" s="14">
        <v>51287</v>
      </c>
      <c r="B340" s="17">
        <f>43.554 * CHOOSE(CONTROL!$C$9, $D$9, 100%, $F$9) + CHOOSE(CONTROL!$C$27, 0.0021, 0)</f>
        <v>43.556100000000001</v>
      </c>
      <c r="C340" s="17">
        <f>43.1217 * CHOOSE(CONTROL!$C$9, $D$9, 100%, $F$9) + CHOOSE(CONTROL!$C$27, 0.0021, 0)</f>
        <v>43.123799999999996</v>
      </c>
      <c r="D340" s="17">
        <f>43.1217 * CHOOSE(CONTROL!$C$9, $D$9, 100%, $F$9) + CHOOSE(CONTROL!$C$27, 0.0021, 0)</f>
        <v>43.123799999999996</v>
      </c>
      <c r="E340" s="17">
        <f>42.9851 * CHOOSE(CONTROL!$C$9, $D$9, 100%, $F$9) + CHOOSE(CONTROL!$C$27, 0.0021, 0)</f>
        <v>42.987200000000001</v>
      </c>
      <c r="F340" s="17">
        <f>42.9851 * CHOOSE(CONTROL!$C$9, $D$9, 100%, $F$9) + CHOOSE(CONTROL!$C$27, 0.0021, 0)</f>
        <v>42.987200000000001</v>
      </c>
      <c r="G340" s="17">
        <f>43.2564 * CHOOSE(CONTROL!$C$9, $D$9, 100%, $F$9) + CHOOSE(CONTROL!$C$27, 0.0021, 0)</f>
        <v>43.258499999999998</v>
      </c>
      <c r="H340" s="17">
        <f>43.1217 * CHOOSE(CONTROL!$C$9, $D$9, 100%, $F$9) + CHOOSE(CONTROL!$C$27, 0.0021, 0)</f>
        <v>43.123799999999996</v>
      </c>
      <c r="I340" s="17">
        <f>43.1217 * CHOOSE(CONTROL!$C$9, $D$9, 100%, $F$9) + CHOOSE(CONTROL!$C$27, 0.0021, 0)</f>
        <v>43.123799999999996</v>
      </c>
      <c r="J340" s="17">
        <f>43.1217 * CHOOSE(CONTROL!$C$9, $D$9, 100%, $F$9) + CHOOSE(CONTROL!$C$27, 0.0021, 0)</f>
        <v>43.123799999999996</v>
      </c>
      <c r="K340" s="17">
        <f>43.1217 * CHOOSE(CONTROL!$C$9, $D$9, 100%, $F$9) + CHOOSE(CONTROL!$C$27, 0.0021, 0)</f>
        <v>43.123799999999996</v>
      </c>
      <c r="L340" s="17"/>
    </row>
    <row r="341" spans="1:12" ht="15.75" x14ac:dyDescent="0.25">
      <c r="A341" s="14">
        <v>51317</v>
      </c>
      <c r="B341" s="17">
        <f>44.0623 * CHOOSE(CONTROL!$C$9, $D$9, 100%, $F$9) + CHOOSE(CONTROL!$C$27, 0.0021, 0)</f>
        <v>44.064399999999999</v>
      </c>
      <c r="C341" s="17">
        <f>43.6301 * CHOOSE(CONTROL!$C$9, $D$9, 100%, $F$9) + CHOOSE(CONTROL!$C$27, 0.0021, 0)</f>
        <v>43.632199999999997</v>
      </c>
      <c r="D341" s="17">
        <f>43.6301 * CHOOSE(CONTROL!$C$9, $D$9, 100%, $F$9) + CHOOSE(CONTROL!$C$27, 0.0021, 0)</f>
        <v>43.632199999999997</v>
      </c>
      <c r="E341" s="17">
        <f>43.4934 * CHOOSE(CONTROL!$C$9, $D$9, 100%, $F$9) + CHOOSE(CONTROL!$C$27, 0.0021, 0)</f>
        <v>43.4955</v>
      </c>
      <c r="F341" s="17">
        <f>43.4934 * CHOOSE(CONTROL!$C$9, $D$9, 100%, $F$9) + CHOOSE(CONTROL!$C$27, 0.0021, 0)</f>
        <v>43.4955</v>
      </c>
      <c r="G341" s="17">
        <f>43.7648 * CHOOSE(CONTROL!$C$9, $D$9, 100%, $F$9) + CHOOSE(CONTROL!$C$27, 0.0021, 0)</f>
        <v>43.7669</v>
      </c>
      <c r="H341" s="17">
        <f>43.6301 * CHOOSE(CONTROL!$C$9, $D$9, 100%, $F$9) + CHOOSE(CONTROL!$C$27, 0.0021, 0)</f>
        <v>43.632199999999997</v>
      </c>
      <c r="I341" s="17">
        <f>43.6301 * CHOOSE(CONTROL!$C$9, $D$9, 100%, $F$9) + CHOOSE(CONTROL!$C$27, 0.0021, 0)</f>
        <v>43.632199999999997</v>
      </c>
      <c r="J341" s="17">
        <f>43.6301 * CHOOSE(CONTROL!$C$9, $D$9, 100%, $F$9) + CHOOSE(CONTROL!$C$27, 0.0021, 0)</f>
        <v>43.632199999999997</v>
      </c>
      <c r="K341" s="17">
        <f>43.6301 * CHOOSE(CONTROL!$C$9, $D$9, 100%, $F$9) + CHOOSE(CONTROL!$C$27, 0.0021, 0)</f>
        <v>43.632199999999997</v>
      </c>
      <c r="L341" s="17"/>
    </row>
    <row r="342" spans="1:12" ht="15.75" x14ac:dyDescent="0.25">
      <c r="A342" s="14">
        <v>51348</v>
      </c>
      <c r="B342" s="17">
        <f>44.9009 * CHOOSE(CONTROL!$C$9, $D$9, 100%, $F$9) + CHOOSE(CONTROL!$C$27, 0.0021, 0)</f>
        <v>44.902999999999999</v>
      </c>
      <c r="C342" s="17">
        <f>44.4686 * CHOOSE(CONTROL!$C$9, $D$9, 100%, $F$9) + CHOOSE(CONTROL!$C$27, 0.0021, 0)</f>
        <v>44.470700000000001</v>
      </c>
      <c r="D342" s="17">
        <f>44.4686 * CHOOSE(CONTROL!$C$9, $D$9, 100%, $F$9) + CHOOSE(CONTROL!$C$27, 0.0021, 0)</f>
        <v>44.470700000000001</v>
      </c>
      <c r="E342" s="17">
        <f>44.332 * CHOOSE(CONTROL!$C$9, $D$9, 100%, $F$9) + CHOOSE(CONTROL!$C$27, 0.0021, 0)</f>
        <v>44.334099999999999</v>
      </c>
      <c r="F342" s="17">
        <f>44.332 * CHOOSE(CONTROL!$C$9, $D$9, 100%, $F$9) + CHOOSE(CONTROL!$C$27, 0.0021, 0)</f>
        <v>44.334099999999999</v>
      </c>
      <c r="G342" s="17">
        <f>44.6033 * CHOOSE(CONTROL!$C$9, $D$9, 100%, $F$9) + CHOOSE(CONTROL!$C$27, 0.0021, 0)</f>
        <v>44.605399999999996</v>
      </c>
      <c r="H342" s="17">
        <f>44.4686 * CHOOSE(CONTROL!$C$9, $D$9, 100%, $F$9) + CHOOSE(CONTROL!$C$27, 0.0021, 0)</f>
        <v>44.470700000000001</v>
      </c>
      <c r="I342" s="17">
        <f>44.4686 * CHOOSE(CONTROL!$C$9, $D$9, 100%, $F$9) + CHOOSE(CONTROL!$C$27, 0.0021, 0)</f>
        <v>44.470700000000001</v>
      </c>
      <c r="J342" s="17">
        <f>44.4686 * CHOOSE(CONTROL!$C$9, $D$9, 100%, $F$9) + CHOOSE(CONTROL!$C$27, 0.0021, 0)</f>
        <v>44.470700000000001</v>
      </c>
      <c r="K342" s="17">
        <f>44.4686 * CHOOSE(CONTROL!$C$9, $D$9, 100%, $F$9) + CHOOSE(CONTROL!$C$27, 0.0021, 0)</f>
        <v>44.470700000000001</v>
      </c>
      <c r="L342" s="17"/>
    </row>
    <row r="343" spans="1:12" ht="15.75" x14ac:dyDescent="0.25">
      <c r="A343" s="14">
        <v>51379</v>
      </c>
      <c r="B343" s="17">
        <f>45.1568 * CHOOSE(CONTROL!$C$9, $D$9, 100%, $F$9) + CHOOSE(CONTROL!$C$27, 0.0021, 0)</f>
        <v>45.158899999999996</v>
      </c>
      <c r="C343" s="17">
        <f>44.7246 * CHOOSE(CONTROL!$C$9, $D$9, 100%, $F$9) + CHOOSE(CONTROL!$C$27, 0.0021, 0)</f>
        <v>44.726700000000001</v>
      </c>
      <c r="D343" s="17">
        <f>44.7246 * CHOOSE(CONTROL!$C$9, $D$9, 100%, $F$9) + CHOOSE(CONTROL!$C$27, 0.0021, 0)</f>
        <v>44.726700000000001</v>
      </c>
      <c r="E343" s="17">
        <f>44.5879 * CHOOSE(CONTROL!$C$9, $D$9, 100%, $F$9) + CHOOSE(CONTROL!$C$27, 0.0021, 0)</f>
        <v>44.589999999999996</v>
      </c>
      <c r="F343" s="17">
        <f>44.5879 * CHOOSE(CONTROL!$C$9, $D$9, 100%, $F$9) + CHOOSE(CONTROL!$C$27, 0.0021, 0)</f>
        <v>44.589999999999996</v>
      </c>
      <c r="G343" s="17">
        <f>44.8593 * CHOOSE(CONTROL!$C$9, $D$9, 100%, $F$9) + CHOOSE(CONTROL!$C$27, 0.0021, 0)</f>
        <v>44.861399999999996</v>
      </c>
      <c r="H343" s="17">
        <f>44.7246 * CHOOSE(CONTROL!$C$9, $D$9, 100%, $F$9) + CHOOSE(CONTROL!$C$27, 0.0021, 0)</f>
        <v>44.726700000000001</v>
      </c>
      <c r="I343" s="17">
        <f>44.7246 * CHOOSE(CONTROL!$C$9, $D$9, 100%, $F$9) + CHOOSE(CONTROL!$C$27, 0.0021, 0)</f>
        <v>44.726700000000001</v>
      </c>
      <c r="J343" s="17">
        <f>44.7246 * CHOOSE(CONTROL!$C$9, $D$9, 100%, $F$9) + CHOOSE(CONTROL!$C$27, 0.0021, 0)</f>
        <v>44.726700000000001</v>
      </c>
      <c r="K343" s="17">
        <f>44.7246 * CHOOSE(CONTROL!$C$9, $D$9, 100%, $F$9) + CHOOSE(CONTROL!$C$27, 0.0021, 0)</f>
        <v>44.726700000000001</v>
      </c>
      <c r="L343" s="17"/>
    </row>
    <row r="344" spans="1:12" ht="15.75" x14ac:dyDescent="0.25">
      <c r="A344" s="14">
        <v>51409</v>
      </c>
      <c r="B344" s="17">
        <f>46.0285 * CHOOSE(CONTROL!$C$9, $D$9, 100%, $F$9) + CHOOSE(CONTROL!$C$27, 0.0021, 0)</f>
        <v>46.0306</v>
      </c>
      <c r="C344" s="17">
        <f>45.5962 * CHOOSE(CONTROL!$C$9, $D$9, 100%, $F$9) + CHOOSE(CONTROL!$C$27, 0.0021, 0)</f>
        <v>45.598300000000002</v>
      </c>
      <c r="D344" s="17">
        <f>45.5962 * CHOOSE(CONTROL!$C$9, $D$9, 100%, $F$9) + CHOOSE(CONTROL!$C$27, 0.0021, 0)</f>
        <v>45.598300000000002</v>
      </c>
      <c r="E344" s="17">
        <f>45.4596 * CHOOSE(CONTROL!$C$9, $D$9, 100%, $F$9) + CHOOSE(CONTROL!$C$27, 0.0021, 0)</f>
        <v>45.4617</v>
      </c>
      <c r="F344" s="17">
        <f>45.4596 * CHOOSE(CONTROL!$C$9, $D$9, 100%, $F$9) + CHOOSE(CONTROL!$C$27, 0.0021, 0)</f>
        <v>45.4617</v>
      </c>
      <c r="G344" s="17">
        <f>45.7309 * CHOOSE(CONTROL!$C$9, $D$9, 100%, $F$9) + CHOOSE(CONTROL!$C$27, 0.0021, 0)</f>
        <v>45.732999999999997</v>
      </c>
      <c r="H344" s="17">
        <f>45.5962 * CHOOSE(CONTROL!$C$9, $D$9, 100%, $F$9) + CHOOSE(CONTROL!$C$27, 0.0021, 0)</f>
        <v>45.598300000000002</v>
      </c>
      <c r="I344" s="17">
        <f>45.5962 * CHOOSE(CONTROL!$C$9, $D$9, 100%, $F$9) + CHOOSE(CONTROL!$C$27, 0.0021, 0)</f>
        <v>45.598300000000002</v>
      </c>
      <c r="J344" s="17">
        <f>45.5962 * CHOOSE(CONTROL!$C$9, $D$9, 100%, $F$9) + CHOOSE(CONTROL!$C$27, 0.0021, 0)</f>
        <v>45.598300000000002</v>
      </c>
      <c r="K344" s="17">
        <f>45.5962 * CHOOSE(CONTROL!$C$9, $D$9, 100%, $F$9) + CHOOSE(CONTROL!$C$27, 0.0021, 0)</f>
        <v>45.598300000000002</v>
      </c>
      <c r="L344" s="17"/>
    </row>
    <row r="345" spans="1:12" ht="15.75" x14ac:dyDescent="0.25">
      <c r="A345" s="14">
        <v>51440</v>
      </c>
      <c r="B345" s="17">
        <f>47.1318 * CHOOSE(CONTROL!$C$9, $D$9, 100%, $F$9) + CHOOSE(CONTROL!$C$27, 0.0021, 0)</f>
        <v>47.133899999999997</v>
      </c>
      <c r="C345" s="17">
        <f>46.6996 * CHOOSE(CONTROL!$C$9, $D$9, 100%, $F$9) + CHOOSE(CONTROL!$C$27, 0.0021, 0)</f>
        <v>46.701699999999995</v>
      </c>
      <c r="D345" s="17">
        <f>46.6996 * CHOOSE(CONTROL!$C$9, $D$9, 100%, $F$9) + CHOOSE(CONTROL!$C$27, 0.0021, 0)</f>
        <v>46.701699999999995</v>
      </c>
      <c r="E345" s="17">
        <f>46.5629 * CHOOSE(CONTROL!$C$9, $D$9, 100%, $F$9) + CHOOSE(CONTROL!$C$27, 0.0021, 0)</f>
        <v>46.564999999999998</v>
      </c>
      <c r="F345" s="17">
        <f>46.5629 * CHOOSE(CONTROL!$C$9, $D$9, 100%, $F$9) + CHOOSE(CONTROL!$C$27, 0.0021, 0)</f>
        <v>46.564999999999998</v>
      </c>
      <c r="G345" s="17">
        <f>46.8343 * CHOOSE(CONTROL!$C$9, $D$9, 100%, $F$9) + CHOOSE(CONTROL!$C$27, 0.0021, 0)</f>
        <v>46.836399999999998</v>
      </c>
      <c r="H345" s="17">
        <f>46.6996 * CHOOSE(CONTROL!$C$9, $D$9, 100%, $F$9) + CHOOSE(CONTROL!$C$27, 0.0021, 0)</f>
        <v>46.701699999999995</v>
      </c>
      <c r="I345" s="17">
        <f>46.6996 * CHOOSE(CONTROL!$C$9, $D$9, 100%, $F$9) + CHOOSE(CONTROL!$C$27, 0.0021, 0)</f>
        <v>46.701699999999995</v>
      </c>
      <c r="J345" s="17">
        <f>46.6996 * CHOOSE(CONTROL!$C$9, $D$9, 100%, $F$9) + CHOOSE(CONTROL!$C$27, 0.0021, 0)</f>
        <v>46.701699999999995</v>
      </c>
      <c r="K345" s="17">
        <f>46.6996 * CHOOSE(CONTROL!$C$9, $D$9, 100%, $F$9) + CHOOSE(CONTROL!$C$27, 0.0021, 0)</f>
        <v>46.701699999999995</v>
      </c>
      <c r="L345" s="17"/>
    </row>
    <row r="346" spans="1:12" ht="15.75" x14ac:dyDescent="0.25">
      <c r="A346" s="14">
        <v>51470</v>
      </c>
      <c r="B346" s="17">
        <f>47.2354 * CHOOSE(CONTROL!$C$9, $D$9, 100%, $F$9) + CHOOSE(CONTROL!$C$27, 0.0021, 0)</f>
        <v>47.237499999999997</v>
      </c>
      <c r="C346" s="17">
        <f>46.8031 * CHOOSE(CONTROL!$C$9, $D$9, 100%, $F$9) + CHOOSE(CONTROL!$C$27, 0.0021, 0)</f>
        <v>46.805199999999999</v>
      </c>
      <c r="D346" s="17">
        <f>46.8031 * CHOOSE(CONTROL!$C$9, $D$9, 100%, $F$9) + CHOOSE(CONTROL!$C$27, 0.0021, 0)</f>
        <v>46.805199999999999</v>
      </c>
      <c r="E346" s="17">
        <f>46.6665 * CHOOSE(CONTROL!$C$9, $D$9, 100%, $F$9) + CHOOSE(CONTROL!$C$27, 0.0021, 0)</f>
        <v>46.668599999999998</v>
      </c>
      <c r="F346" s="17">
        <f>46.6665 * CHOOSE(CONTROL!$C$9, $D$9, 100%, $F$9) + CHOOSE(CONTROL!$C$27, 0.0021, 0)</f>
        <v>46.668599999999998</v>
      </c>
      <c r="G346" s="17">
        <f>46.9379 * CHOOSE(CONTROL!$C$9, $D$9, 100%, $F$9) + CHOOSE(CONTROL!$C$27, 0.0021, 0)</f>
        <v>46.94</v>
      </c>
      <c r="H346" s="17">
        <f>46.8031 * CHOOSE(CONTROL!$C$9, $D$9, 100%, $F$9) + CHOOSE(CONTROL!$C$27, 0.0021, 0)</f>
        <v>46.805199999999999</v>
      </c>
      <c r="I346" s="17">
        <f>46.8031 * CHOOSE(CONTROL!$C$9, $D$9, 100%, $F$9) + CHOOSE(CONTROL!$C$27, 0.0021, 0)</f>
        <v>46.805199999999999</v>
      </c>
      <c r="J346" s="17">
        <f>46.8031 * CHOOSE(CONTROL!$C$9, $D$9, 100%, $F$9) + CHOOSE(CONTROL!$C$27, 0.0021, 0)</f>
        <v>46.805199999999999</v>
      </c>
      <c r="K346" s="17">
        <f>46.8031 * CHOOSE(CONTROL!$C$9, $D$9, 100%, $F$9) + CHOOSE(CONTROL!$C$27, 0.0021, 0)</f>
        <v>46.805199999999999</v>
      </c>
      <c r="L346" s="17"/>
    </row>
    <row r="347" spans="1:12" ht="15.75" x14ac:dyDescent="0.25">
      <c r="A347" s="14">
        <v>51501</v>
      </c>
      <c r="B347" s="17">
        <f>46.3542 * CHOOSE(CONTROL!$C$9, $D$9, 100%, $F$9) + CHOOSE(CONTROL!$C$27, 0.0021, 0)</f>
        <v>46.356299999999997</v>
      </c>
      <c r="C347" s="17">
        <f>45.9219 * CHOOSE(CONTROL!$C$9, $D$9, 100%, $F$9) + CHOOSE(CONTROL!$C$27, 0.0021, 0)</f>
        <v>45.923999999999999</v>
      </c>
      <c r="D347" s="17">
        <f>45.9219 * CHOOSE(CONTROL!$C$9, $D$9, 100%, $F$9) + CHOOSE(CONTROL!$C$27, 0.0021, 0)</f>
        <v>45.923999999999999</v>
      </c>
      <c r="E347" s="17">
        <f>45.7853 * CHOOSE(CONTROL!$C$9, $D$9, 100%, $F$9) + CHOOSE(CONTROL!$C$27, 0.0021, 0)</f>
        <v>45.787399999999998</v>
      </c>
      <c r="F347" s="17">
        <f>45.7853 * CHOOSE(CONTROL!$C$9, $D$9, 100%, $F$9) + CHOOSE(CONTROL!$C$27, 0.0021, 0)</f>
        <v>45.787399999999998</v>
      </c>
      <c r="G347" s="17">
        <f>46.0566 * CHOOSE(CONTROL!$C$9, $D$9, 100%, $F$9) + CHOOSE(CONTROL!$C$27, 0.0021, 0)</f>
        <v>46.058700000000002</v>
      </c>
      <c r="H347" s="17">
        <f>45.9219 * CHOOSE(CONTROL!$C$9, $D$9, 100%, $F$9) + CHOOSE(CONTROL!$C$27, 0.0021, 0)</f>
        <v>45.923999999999999</v>
      </c>
      <c r="I347" s="17">
        <f>45.9219 * CHOOSE(CONTROL!$C$9, $D$9, 100%, $F$9) + CHOOSE(CONTROL!$C$27, 0.0021, 0)</f>
        <v>45.923999999999999</v>
      </c>
      <c r="J347" s="17">
        <f>45.9219 * CHOOSE(CONTROL!$C$9, $D$9, 100%, $F$9) + CHOOSE(CONTROL!$C$27, 0.0021, 0)</f>
        <v>45.923999999999999</v>
      </c>
      <c r="K347" s="17">
        <f>45.9219 * CHOOSE(CONTROL!$C$9, $D$9, 100%, $F$9) + CHOOSE(CONTROL!$C$27, 0.0021, 0)</f>
        <v>45.923999999999999</v>
      </c>
      <c r="L347" s="17"/>
    </row>
    <row r="348" spans="1:12" ht="15.75" x14ac:dyDescent="0.25">
      <c r="A348" s="14">
        <v>51532</v>
      </c>
      <c r="B348" s="17">
        <f>45.7972 * CHOOSE(CONTROL!$C$9, $D$9, 100%, $F$9) + CHOOSE(CONTROL!$C$27, 0.0021, 0)</f>
        <v>45.799299999999995</v>
      </c>
      <c r="C348" s="17">
        <f>45.3649 * CHOOSE(CONTROL!$C$9, $D$9, 100%, $F$9) + CHOOSE(CONTROL!$C$27, 0.0021, 0)</f>
        <v>45.366999999999997</v>
      </c>
      <c r="D348" s="17">
        <f>45.3649 * CHOOSE(CONTROL!$C$9, $D$9, 100%, $F$9) + CHOOSE(CONTROL!$C$27, 0.0021, 0)</f>
        <v>45.366999999999997</v>
      </c>
      <c r="E348" s="17">
        <f>45.2283 * CHOOSE(CONTROL!$C$9, $D$9, 100%, $F$9) + CHOOSE(CONTROL!$C$27, 0.0021, 0)</f>
        <v>45.230399999999996</v>
      </c>
      <c r="F348" s="17">
        <f>45.2283 * CHOOSE(CONTROL!$C$9, $D$9, 100%, $F$9) + CHOOSE(CONTROL!$C$27, 0.0021, 0)</f>
        <v>45.230399999999996</v>
      </c>
      <c r="G348" s="17">
        <f>45.4997 * CHOOSE(CONTROL!$C$9, $D$9, 100%, $F$9) + CHOOSE(CONTROL!$C$27, 0.0021, 0)</f>
        <v>45.501799999999996</v>
      </c>
      <c r="H348" s="17">
        <f>45.3649 * CHOOSE(CONTROL!$C$9, $D$9, 100%, $F$9) + CHOOSE(CONTROL!$C$27, 0.0021, 0)</f>
        <v>45.366999999999997</v>
      </c>
      <c r="I348" s="17">
        <f>45.3649 * CHOOSE(CONTROL!$C$9, $D$9, 100%, $F$9) + CHOOSE(CONTROL!$C$27, 0.0021, 0)</f>
        <v>45.366999999999997</v>
      </c>
      <c r="J348" s="17">
        <f>45.3649 * CHOOSE(CONTROL!$C$9, $D$9, 100%, $F$9) + CHOOSE(CONTROL!$C$27, 0.0021, 0)</f>
        <v>45.366999999999997</v>
      </c>
      <c r="K348" s="17">
        <f>45.3649 * CHOOSE(CONTROL!$C$9, $D$9, 100%, $F$9) + CHOOSE(CONTROL!$C$27, 0.0021, 0)</f>
        <v>45.366999999999997</v>
      </c>
      <c r="L348" s="17"/>
    </row>
    <row r="349" spans="1:12" ht="15.75" x14ac:dyDescent="0.25">
      <c r="A349" s="14">
        <v>51560</v>
      </c>
      <c r="B349" s="17">
        <f>44.5666 * CHOOSE(CONTROL!$C$9, $D$9, 100%, $F$9) + CHOOSE(CONTROL!$C$27, 0.0021, 0)</f>
        <v>44.5687</v>
      </c>
      <c r="C349" s="17">
        <f>44.1344 * CHOOSE(CONTROL!$C$9, $D$9, 100%, $F$9) + CHOOSE(CONTROL!$C$27, 0.0021, 0)</f>
        <v>44.136499999999998</v>
      </c>
      <c r="D349" s="17">
        <f>44.1344 * CHOOSE(CONTROL!$C$9, $D$9, 100%, $F$9) + CHOOSE(CONTROL!$C$27, 0.0021, 0)</f>
        <v>44.136499999999998</v>
      </c>
      <c r="E349" s="17">
        <f>43.9977 * CHOOSE(CONTROL!$C$9, $D$9, 100%, $F$9) + CHOOSE(CONTROL!$C$27, 0.0021, 0)</f>
        <v>43.9998</v>
      </c>
      <c r="F349" s="17">
        <f>43.9977 * CHOOSE(CONTROL!$C$9, $D$9, 100%, $F$9) + CHOOSE(CONTROL!$C$27, 0.0021, 0)</f>
        <v>43.9998</v>
      </c>
      <c r="G349" s="17">
        <f>44.2691 * CHOOSE(CONTROL!$C$9, $D$9, 100%, $F$9) + CHOOSE(CONTROL!$C$27, 0.0021, 0)</f>
        <v>44.2712</v>
      </c>
      <c r="H349" s="17">
        <f>44.1344 * CHOOSE(CONTROL!$C$9, $D$9, 100%, $F$9) + CHOOSE(CONTROL!$C$27, 0.0021, 0)</f>
        <v>44.136499999999998</v>
      </c>
      <c r="I349" s="17">
        <f>44.1344 * CHOOSE(CONTROL!$C$9, $D$9, 100%, $F$9) + CHOOSE(CONTROL!$C$27, 0.0021, 0)</f>
        <v>44.136499999999998</v>
      </c>
      <c r="J349" s="17">
        <f>44.1344 * CHOOSE(CONTROL!$C$9, $D$9, 100%, $F$9) + CHOOSE(CONTROL!$C$27, 0.0021, 0)</f>
        <v>44.136499999999998</v>
      </c>
      <c r="K349" s="17">
        <f>44.1344 * CHOOSE(CONTROL!$C$9, $D$9, 100%, $F$9) + CHOOSE(CONTROL!$C$27, 0.0021, 0)</f>
        <v>44.136499999999998</v>
      </c>
      <c r="L349" s="17"/>
    </row>
    <row r="350" spans="1:12" ht="15.75" x14ac:dyDescent="0.25">
      <c r="A350" s="14">
        <v>51591</v>
      </c>
      <c r="B350" s="17">
        <f>44.0587 * CHOOSE(CONTROL!$C$9, $D$9, 100%, $F$9) + CHOOSE(CONTROL!$C$27, 0.0021, 0)</f>
        <v>44.0608</v>
      </c>
      <c r="C350" s="17">
        <f>43.6264 * CHOOSE(CONTROL!$C$9, $D$9, 100%, $F$9) + CHOOSE(CONTROL!$C$27, 0.0021, 0)</f>
        <v>43.628499999999995</v>
      </c>
      <c r="D350" s="17">
        <f>43.6264 * CHOOSE(CONTROL!$C$9, $D$9, 100%, $F$9) + CHOOSE(CONTROL!$C$27, 0.0021, 0)</f>
        <v>43.628499999999995</v>
      </c>
      <c r="E350" s="17">
        <f>43.4898 * CHOOSE(CONTROL!$C$9, $D$9, 100%, $F$9) + CHOOSE(CONTROL!$C$27, 0.0021, 0)</f>
        <v>43.491900000000001</v>
      </c>
      <c r="F350" s="17">
        <f>43.4898 * CHOOSE(CONTROL!$C$9, $D$9, 100%, $F$9) + CHOOSE(CONTROL!$C$27, 0.0021, 0)</f>
        <v>43.491900000000001</v>
      </c>
      <c r="G350" s="17">
        <f>43.7611 * CHOOSE(CONTROL!$C$9, $D$9, 100%, $F$9) + CHOOSE(CONTROL!$C$27, 0.0021, 0)</f>
        <v>43.763199999999998</v>
      </c>
      <c r="H350" s="17">
        <f>43.6264 * CHOOSE(CONTROL!$C$9, $D$9, 100%, $F$9) + CHOOSE(CONTROL!$C$27, 0.0021, 0)</f>
        <v>43.628499999999995</v>
      </c>
      <c r="I350" s="17">
        <f>43.6264 * CHOOSE(CONTROL!$C$9, $D$9, 100%, $F$9) + CHOOSE(CONTROL!$C$27, 0.0021, 0)</f>
        <v>43.628499999999995</v>
      </c>
      <c r="J350" s="17">
        <f>43.6264 * CHOOSE(CONTROL!$C$9, $D$9, 100%, $F$9) + CHOOSE(CONTROL!$C$27, 0.0021, 0)</f>
        <v>43.628499999999995</v>
      </c>
      <c r="K350" s="17">
        <f>43.6264 * CHOOSE(CONTROL!$C$9, $D$9, 100%, $F$9) + CHOOSE(CONTROL!$C$27, 0.0021, 0)</f>
        <v>43.628499999999995</v>
      </c>
      <c r="L350" s="17"/>
    </row>
    <row r="351" spans="1:12" ht="15.75" x14ac:dyDescent="0.25">
      <c r="A351" s="14">
        <v>51621</v>
      </c>
      <c r="B351" s="17">
        <f>43.4521 * CHOOSE(CONTROL!$C$9, $D$9, 100%, $F$9) + CHOOSE(CONTROL!$C$27, 0.0021, 0)</f>
        <v>43.4542</v>
      </c>
      <c r="C351" s="17">
        <f>43.0199 * CHOOSE(CONTROL!$C$9, $D$9, 100%, $F$9) + CHOOSE(CONTROL!$C$27, 0.0021, 0)</f>
        <v>43.021999999999998</v>
      </c>
      <c r="D351" s="17">
        <f>43.0199 * CHOOSE(CONTROL!$C$9, $D$9, 100%, $F$9) + CHOOSE(CONTROL!$C$27, 0.0021, 0)</f>
        <v>43.021999999999998</v>
      </c>
      <c r="E351" s="17">
        <f>42.8832 * CHOOSE(CONTROL!$C$9, $D$9, 100%, $F$9) + CHOOSE(CONTROL!$C$27, 0.0021, 0)</f>
        <v>42.885300000000001</v>
      </c>
      <c r="F351" s="17">
        <f>42.8832 * CHOOSE(CONTROL!$C$9, $D$9, 100%, $F$9) + CHOOSE(CONTROL!$C$27, 0.0021, 0)</f>
        <v>42.885300000000001</v>
      </c>
      <c r="G351" s="17">
        <f>43.1546 * CHOOSE(CONTROL!$C$9, $D$9, 100%, $F$9) + CHOOSE(CONTROL!$C$27, 0.0021, 0)</f>
        <v>43.156700000000001</v>
      </c>
      <c r="H351" s="17">
        <f>43.0199 * CHOOSE(CONTROL!$C$9, $D$9, 100%, $F$9) + CHOOSE(CONTROL!$C$27, 0.0021, 0)</f>
        <v>43.021999999999998</v>
      </c>
      <c r="I351" s="17">
        <f>43.0199 * CHOOSE(CONTROL!$C$9, $D$9, 100%, $F$9) + CHOOSE(CONTROL!$C$27, 0.0021, 0)</f>
        <v>43.021999999999998</v>
      </c>
      <c r="J351" s="17">
        <f>43.0199 * CHOOSE(CONTROL!$C$9, $D$9, 100%, $F$9) + CHOOSE(CONTROL!$C$27, 0.0021, 0)</f>
        <v>43.021999999999998</v>
      </c>
      <c r="K351" s="17">
        <f>43.0199 * CHOOSE(CONTROL!$C$9, $D$9, 100%, $F$9) + CHOOSE(CONTROL!$C$27, 0.0021, 0)</f>
        <v>43.021999999999998</v>
      </c>
      <c r="L351" s="17"/>
    </row>
    <row r="352" spans="1:12" ht="15.75" x14ac:dyDescent="0.25">
      <c r="A352" s="14">
        <v>51652</v>
      </c>
      <c r="B352" s="17">
        <f>44.3165 * CHOOSE(CONTROL!$C$9, $D$9, 100%, $F$9) + CHOOSE(CONTROL!$C$27, 0.0021, 0)</f>
        <v>44.318599999999996</v>
      </c>
      <c r="C352" s="17">
        <f>43.8843 * CHOOSE(CONTROL!$C$9, $D$9, 100%, $F$9) + CHOOSE(CONTROL!$C$27, 0.0021, 0)</f>
        <v>43.886400000000002</v>
      </c>
      <c r="D352" s="17">
        <f>43.8843 * CHOOSE(CONTROL!$C$9, $D$9, 100%, $F$9) + CHOOSE(CONTROL!$C$27, 0.0021, 0)</f>
        <v>43.886400000000002</v>
      </c>
      <c r="E352" s="17">
        <f>43.7476 * CHOOSE(CONTROL!$C$9, $D$9, 100%, $F$9) + CHOOSE(CONTROL!$C$27, 0.0021, 0)</f>
        <v>43.749699999999997</v>
      </c>
      <c r="F352" s="17">
        <f>43.7476 * CHOOSE(CONTROL!$C$9, $D$9, 100%, $F$9) + CHOOSE(CONTROL!$C$27, 0.0021, 0)</f>
        <v>43.749699999999997</v>
      </c>
      <c r="G352" s="17">
        <f>44.019 * CHOOSE(CONTROL!$C$9, $D$9, 100%, $F$9) + CHOOSE(CONTROL!$C$27, 0.0021, 0)</f>
        <v>44.021099999999997</v>
      </c>
      <c r="H352" s="17">
        <f>43.8843 * CHOOSE(CONTROL!$C$9, $D$9, 100%, $F$9) + CHOOSE(CONTROL!$C$27, 0.0021, 0)</f>
        <v>43.886400000000002</v>
      </c>
      <c r="I352" s="17">
        <f>43.8843 * CHOOSE(CONTROL!$C$9, $D$9, 100%, $F$9) + CHOOSE(CONTROL!$C$27, 0.0021, 0)</f>
        <v>43.886400000000002</v>
      </c>
      <c r="J352" s="17">
        <f>43.8843 * CHOOSE(CONTROL!$C$9, $D$9, 100%, $F$9) + CHOOSE(CONTROL!$C$27, 0.0021, 0)</f>
        <v>43.886400000000002</v>
      </c>
      <c r="K352" s="17">
        <f>43.8843 * CHOOSE(CONTROL!$C$9, $D$9, 100%, $F$9) + CHOOSE(CONTROL!$C$27, 0.0021, 0)</f>
        <v>43.886400000000002</v>
      </c>
      <c r="L352" s="17"/>
    </row>
    <row r="353" spans="1:12" ht="15.75" x14ac:dyDescent="0.25">
      <c r="A353" s="14">
        <v>51682</v>
      </c>
      <c r="B353" s="17">
        <f>44.8342 * CHOOSE(CONTROL!$C$9, $D$9, 100%, $F$9) + CHOOSE(CONTROL!$C$27, 0.0021, 0)</f>
        <v>44.836300000000001</v>
      </c>
      <c r="C353" s="17">
        <f>44.402 * CHOOSE(CONTROL!$C$9, $D$9, 100%, $F$9) + CHOOSE(CONTROL!$C$27, 0.0021, 0)</f>
        <v>44.4041</v>
      </c>
      <c r="D353" s="17">
        <f>44.402 * CHOOSE(CONTROL!$C$9, $D$9, 100%, $F$9) + CHOOSE(CONTROL!$C$27, 0.0021, 0)</f>
        <v>44.4041</v>
      </c>
      <c r="E353" s="17">
        <f>44.2653 * CHOOSE(CONTROL!$C$9, $D$9, 100%, $F$9) + CHOOSE(CONTROL!$C$27, 0.0021, 0)</f>
        <v>44.267400000000002</v>
      </c>
      <c r="F353" s="17">
        <f>44.2653 * CHOOSE(CONTROL!$C$9, $D$9, 100%, $F$9) + CHOOSE(CONTROL!$C$27, 0.0021, 0)</f>
        <v>44.267400000000002</v>
      </c>
      <c r="G353" s="17">
        <f>44.5367 * CHOOSE(CONTROL!$C$9, $D$9, 100%, $F$9) + CHOOSE(CONTROL!$C$27, 0.0021, 0)</f>
        <v>44.538800000000002</v>
      </c>
      <c r="H353" s="17">
        <f>44.402 * CHOOSE(CONTROL!$C$9, $D$9, 100%, $F$9) + CHOOSE(CONTROL!$C$27, 0.0021, 0)</f>
        <v>44.4041</v>
      </c>
      <c r="I353" s="17">
        <f>44.402 * CHOOSE(CONTROL!$C$9, $D$9, 100%, $F$9) + CHOOSE(CONTROL!$C$27, 0.0021, 0)</f>
        <v>44.4041</v>
      </c>
      <c r="J353" s="17">
        <f>44.402 * CHOOSE(CONTROL!$C$9, $D$9, 100%, $F$9) + CHOOSE(CONTROL!$C$27, 0.0021, 0)</f>
        <v>44.4041</v>
      </c>
      <c r="K353" s="17">
        <f>44.402 * CHOOSE(CONTROL!$C$9, $D$9, 100%, $F$9) + CHOOSE(CONTROL!$C$27, 0.0021, 0)</f>
        <v>44.4041</v>
      </c>
      <c r="L353" s="17"/>
    </row>
    <row r="354" spans="1:12" ht="15.75" x14ac:dyDescent="0.25">
      <c r="A354" s="14">
        <v>51713</v>
      </c>
      <c r="B354" s="17">
        <f>45.6883 * CHOOSE(CONTROL!$C$9, $D$9, 100%, $F$9) + CHOOSE(CONTROL!$C$27, 0.0021, 0)</f>
        <v>45.690399999999997</v>
      </c>
      <c r="C354" s="17">
        <f>45.256 * CHOOSE(CONTROL!$C$9, $D$9, 100%, $F$9) + CHOOSE(CONTROL!$C$27, 0.0021, 0)</f>
        <v>45.258099999999999</v>
      </c>
      <c r="D354" s="17">
        <f>45.256 * CHOOSE(CONTROL!$C$9, $D$9, 100%, $F$9) + CHOOSE(CONTROL!$C$27, 0.0021, 0)</f>
        <v>45.258099999999999</v>
      </c>
      <c r="E354" s="17">
        <f>45.1194 * CHOOSE(CONTROL!$C$9, $D$9, 100%, $F$9) + CHOOSE(CONTROL!$C$27, 0.0021, 0)</f>
        <v>45.121499999999997</v>
      </c>
      <c r="F354" s="17">
        <f>45.1194 * CHOOSE(CONTROL!$C$9, $D$9, 100%, $F$9) + CHOOSE(CONTROL!$C$27, 0.0021, 0)</f>
        <v>45.121499999999997</v>
      </c>
      <c r="G354" s="17">
        <f>45.3908 * CHOOSE(CONTROL!$C$9, $D$9, 100%, $F$9) + CHOOSE(CONTROL!$C$27, 0.0021, 0)</f>
        <v>45.392899999999997</v>
      </c>
      <c r="H354" s="17">
        <f>45.256 * CHOOSE(CONTROL!$C$9, $D$9, 100%, $F$9) + CHOOSE(CONTROL!$C$27, 0.0021, 0)</f>
        <v>45.258099999999999</v>
      </c>
      <c r="I354" s="17">
        <f>45.256 * CHOOSE(CONTROL!$C$9, $D$9, 100%, $F$9) + CHOOSE(CONTROL!$C$27, 0.0021, 0)</f>
        <v>45.258099999999999</v>
      </c>
      <c r="J354" s="17">
        <f>45.256 * CHOOSE(CONTROL!$C$9, $D$9, 100%, $F$9) + CHOOSE(CONTROL!$C$27, 0.0021, 0)</f>
        <v>45.258099999999999</v>
      </c>
      <c r="K354" s="17">
        <f>45.256 * CHOOSE(CONTROL!$C$9, $D$9, 100%, $F$9) + CHOOSE(CONTROL!$C$27, 0.0021, 0)</f>
        <v>45.258099999999999</v>
      </c>
      <c r="L354" s="17"/>
    </row>
    <row r="355" spans="1:12" ht="15.75" x14ac:dyDescent="0.25">
      <c r="A355" s="14">
        <v>51744</v>
      </c>
      <c r="B355" s="17">
        <f>45.949 * CHOOSE(CONTROL!$C$9, $D$9, 100%, $F$9) + CHOOSE(CONTROL!$C$27, 0.0021, 0)</f>
        <v>45.951099999999997</v>
      </c>
      <c r="C355" s="17">
        <f>45.5167 * CHOOSE(CONTROL!$C$9, $D$9, 100%, $F$9) + CHOOSE(CONTROL!$C$27, 0.0021, 0)</f>
        <v>45.518799999999999</v>
      </c>
      <c r="D355" s="17">
        <f>45.5167 * CHOOSE(CONTROL!$C$9, $D$9, 100%, $F$9) + CHOOSE(CONTROL!$C$27, 0.0021, 0)</f>
        <v>45.518799999999999</v>
      </c>
      <c r="E355" s="17">
        <f>45.3801 * CHOOSE(CONTROL!$C$9, $D$9, 100%, $F$9) + CHOOSE(CONTROL!$C$27, 0.0021, 0)</f>
        <v>45.382199999999997</v>
      </c>
      <c r="F355" s="17">
        <f>45.3801 * CHOOSE(CONTROL!$C$9, $D$9, 100%, $F$9) + CHOOSE(CONTROL!$C$27, 0.0021, 0)</f>
        <v>45.382199999999997</v>
      </c>
      <c r="G355" s="17">
        <f>45.6514 * CHOOSE(CONTROL!$C$9, $D$9, 100%, $F$9) + CHOOSE(CONTROL!$C$27, 0.0021, 0)</f>
        <v>45.653500000000001</v>
      </c>
      <c r="H355" s="17">
        <f>45.5167 * CHOOSE(CONTROL!$C$9, $D$9, 100%, $F$9) + CHOOSE(CONTROL!$C$27, 0.0021, 0)</f>
        <v>45.518799999999999</v>
      </c>
      <c r="I355" s="17">
        <f>45.5167 * CHOOSE(CONTROL!$C$9, $D$9, 100%, $F$9) + CHOOSE(CONTROL!$C$27, 0.0021, 0)</f>
        <v>45.518799999999999</v>
      </c>
      <c r="J355" s="17">
        <f>45.5167 * CHOOSE(CONTROL!$C$9, $D$9, 100%, $F$9) + CHOOSE(CONTROL!$C$27, 0.0021, 0)</f>
        <v>45.518799999999999</v>
      </c>
      <c r="K355" s="17">
        <f>45.5167 * CHOOSE(CONTROL!$C$9, $D$9, 100%, $F$9) + CHOOSE(CONTROL!$C$27, 0.0021, 0)</f>
        <v>45.518799999999999</v>
      </c>
      <c r="L355" s="17"/>
    </row>
    <row r="356" spans="1:12" ht="15.75" x14ac:dyDescent="0.25">
      <c r="A356" s="14">
        <v>51774</v>
      </c>
      <c r="B356" s="17">
        <f>46.8367 * CHOOSE(CONTROL!$C$9, $D$9, 100%, $F$9) + CHOOSE(CONTROL!$C$27, 0.0021, 0)</f>
        <v>46.838799999999999</v>
      </c>
      <c r="C356" s="17">
        <f>46.4045 * CHOOSE(CONTROL!$C$9, $D$9, 100%, $F$9) + CHOOSE(CONTROL!$C$27, 0.0021, 0)</f>
        <v>46.406599999999997</v>
      </c>
      <c r="D356" s="17">
        <f>46.4045 * CHOOSE(CONTROL!$C$9, $D$9, 100%, $F$9) + CHOOSE(CONTROL!$C$27, 0.0021, 0)</f>
        <v>46.406599999999997</v>
      </c>
      <c r="E356" s="17">
        <f>46.2678 * CHOOSE(CONTROL!$C$9, $D$9, 100%, $F$9) + CHOOSE(CONTROL!$C$27, 0.0021, 0)</f>
        <v>46.2699</v>
      </c>
      <c r="F356" s="17">
        <f>46.2678 * CHOOSE(CONTROL!$C$9, $D$9, 100%, $F$9) + CHOOSE(CONTROL!$C$27, 0.0021, 0)</f>
        <v>46.2699</v>
      </c>
      <c r="G356" s="17">
        <f>46.5392 * CHOOSE(CONTROL!$C$9, $D$9, 100%, $F$9) + CHOOSE(CONTROL!$C$27, 0.0021, 0)</f>
        <v>46.5413</v>
      </c>
      <c r="H356" s="17">
        <f>46.4045 * CHOOSE(CONTROL!$C$9, $D$9, 100%, $F$9) + CHOOSE(CONTROL!$C$27, 0.0021, 0)</f>
        <v>46.406599999999997</v>
      </c>
      <c r="I356" s="17">
        <f>46.4045 * CHOOSE(CONTROL!$C$9, $D$9, 100%, $F$9) + CHOOSE(CONTROL!$C$27, 0.0021, 0)</f>
        <v>46.406599999999997</v>
      </c>
      <c r="J356" s="17">
        <f>46.4045 * CHOOSE(CONTROL!$C$9, $D$9, 100%, $F$9) + CHOOSE(CONTROL!$C$27, 0.0021, 0)</f>
        <v>46.406599999999997</v>
      </c>
      <c r="K356" s="17">
        <f>46.4045 * CHOOSE(CONTROL!$C$9, $D$9, 100%, $F$9) + CHOOSE(CONTROL!$C$27, 0.0021, 0)</f>
        <v>46.406599999999997</v>
      </c>
      <c r="L356" s="17"/>
    </row>
    <row r="357" spans="1:12" ht="15.75" x14ac:dyDescent="0.25">
      <c r="A357" s="14">
        <v>51805</v>
      </c>
      <c r="B357" s="17">
        <f>47.9605 * CHOOSE(CONTROL!$C$9, $D$9, 100%, $F$9) + CHOOSE(CONTROL!$C$27, 0.0021, 0)</f>
        <v>47.962600000000002</v>
      </c>
      <c r="C357" s="17">
        <f>47.5282 * CHOOSE(CONTROL!$C$9, $D$9, 100%, $F$9) + CHOOSE(CONTROL!$C$27, 0.0021, 0)</f>
        <v>47.530299999999997</v>
      </c>
      <c r="D357" s="17">
        <f>47.5282 * CHOOSE(CONTROL!$C$9, $D$9, 100%, $F$9) + CHOOSE(CONTROL!$C$27, 0.0021, 0)</f>
        <v>47.530299999999997</v>
      </c>
      <c r="E357" s="17">
        <f>47.3916 * CHOOSE(CONTROL!$C$9, $D$9, 100%, $F$9) + CHOOSE(CONTROL!$C$27, 0.0021, 0)</f>
        <v>47.393699999999995</v>
      </c>
      <c r="F357" s="17">
        <f>47.3916 * CHOOSE(CONTROL!$C$9, $D$9, 100%, $F$9) + CHOOSE(CONTROL!$C$27, 0.0021, 0)</f>
        <v>47.393699999999995</v>
      </c>
      <c r="G357" s="17">
        <f>47.663 * CHOOSE(CONTROL!$C$9, $D$9, 100%, $F$9) + CHOOSE(CONTROL!$C$27, 0.0021, 0)</f>
        <v>47.665099999999995</v>
      </c>
      <c r="H357" s="17">
        <f>47.5282 * CHOOSE(CONTROL!$C$9, $D$9, 100%, $F$9) + CHOOSE(CONTROL!$C$27, 0.0021, 0)</f>
        <v>47.530299999999997</v>
      </c>
      <c r="I357" s="17">
        <f>47.5282 * CHOOSE(CONTROL!$C$9, $D$9, 100%, $F$9) + CHOOSE(CONTROL!$C$27, 0.0021, 0)</f>
        <v>47.530299999999997</v>
      </c>
      <c r="J357" s="17">
        <f>47.5282 * CHOOSE(CONTROL!$C$9, $D$9, 100%, $F$9) + CHOOSE(CONTROL!$C$27, 0.0021, 0)</f>
        <v>47.530299999999997</v>
      </c>
      <c r="K357" s="17">
        <f>47.5282 * CHOOSE(CONTROL!$C$9, $D$9, 100%, $F$9) + CHOOSE(CONTROL!$C$27, 0.0021, 0)</f>
        <v>47.530299999999997</v>
      </c>
      <c r="L357" s="17"/>
    </row>
    <row r="358" spans="1:12" ht="15.75" x14ac:dyDescent="0.25">
      <c r="A358" s="14">
        <v>51835</v>
      </c>
      <c r="B358" s="17">
        <f>48.066 * CHOOSE(CONTROL!$C$9, $D$9, 100%, $F$9) + CHOOSE(CONTROL!$C$27, 0.0021, 0)</f>
        <v>48.068100000000001</v>
      </c>
      <c r="C358" s="17">
        <f>47.6337 * CHOOSE(CONTROL!$C$9, $D$9, 100%, $F$9) + CHOOSE(CONTROL!$C$27, 0.0021, 0)</f>
        <v>47.635799999999996</v>
      </c>
      <c r="D358" s="17">
        <f>47.6337 * CHOOSE(CONTROL!$C$9, $D$9, 100%, $F$9) + CHOOSE(CONTROL!$C$27, 0.0021, 0)</f>
        <v>47.635799999999996</v>
      </c>
      <c r="E358" s="17">
        <f>47.4971 * CHOOSE(CONTROL!$C$9, $D$9, 100%, $F$9) + CHOOSE(CONTROL!$C$27, 0.0021, 0)</f>
        <v>47.499200000000002</v>
      </c>
      <c r="F358" s="17">
        <f>47.4971 * CHOOSE(CONTROL!$C$9, $D$9, 100%, $F$9) + CHOOSE(CONTROL!$C$27, 0.0021, 0)</f>
        <v>47.499200000000002</v>
      </c>
      <c r="G358" s="17">
        <f>47.7684 * CHOOSE(CONTROL!$C$9, $D$9, 100%, $F$9) + CHOOSE(CONTROL!$C$27, 0.0021, 0)</f>
        <v>47.770499999999998</v>
      </c>
      <c r="H358" s="17">
        <f>47.6337 * CHOOSE(CONTROL!$C$9, $D$9, 100%, $F$9) + CHOOSE(CONTROL!$C$27, 0.0021, 0)</f>
        <v>47.635799999999996</v>
      </c>
      <c r="I358" s="17">
        <f>47.6337 * CHOOSE(CONTROL!$C$9, $D$9, 100%, $F$9) + CHOOSE(CONTROL!$C$27, 0.0021, 0)</f>
        <v>47.635799999999996</v>
      </c>
      <c r="J358" s="17">
        <f>47.6337 * CHOOSE(CONTROL!$C$9, $D$9, 100%, $F$9) + CHOOSE(CONTROL!$C$27, 0.0021, 0)</f>
        <v>47.635799999999996</v>
      </c>
      <c r="K358" s="17">
        <f>47.6337 * CHOOSE(CONTROL!$C$9, $D$9, 100%, $F$9) + CHOOSE(CONTROL!$C$27, 0.0021, 0)</f>
        <v>47.635799999999996</v>
      </c>
      <c r="L358" s="17"/>
    </row>
    <row r="359" spans="1:12" ht="15.75" x14ac:dyDescent="0.25">
      <c r="A359" s="14">
        <v>51866</v>
      </c>
      <c r="B359" s="17">
        <f>47.1685 * CHOOSE(CONTROL!$C$9, $D$9, 100%, $F$9) + CHOOSE(CONTROL!$C$27, 0.0021, 0)</f>
        <v>47.1706</v>
      </c>
      <c r="C359" s="17">
        <f>46.7362 * CHOOSE(CONTROL!$C$9, $D$9, 100%, $F$9) + CHOOSE(CONTROL!$C$27, 0.0021, 0)</f>
        <v>46.738299999999995</v>
      </c>
      <c r="D359" s="17">
        <f>46.7362 * CHOOSE(CONTROL!$C$9, $D$9, 100%, $F$9) + CHOOSE(CONTROL!$C$27, 0.0021, 0)</f>
        <v>46.738299999999995</v>
      </c>
      <c r="E359" s="17">
        <f>46.5996 * CHOOSE(CONTROL!$C$9, $D$9, 100%, $F$9) + CHOOSE(CONTROL!$C$27, 0.0021, 0)</f>
        <v>46.601700000000001</v>
      </c>
      <c r="F359" s="17">
        <f>46.5996 * CHOOSE(CONTROL!$C$9, $D$9, 100%, $F$9) + CHOOSE(CONTROL!$C$27, 0.0021, 0)</f>
        <v>46.601700000000001</v>
      </c>
      <c r="G359" s="17">
        <f>46.8709 * CHOOSE(CONTROL!$C$9, $D$9, 100%, $F$9) + CHOOSE(CONTROL!$C$27, 0.0021, 0)</f>
        <v>46.872999999999998</v>
      </c>
      <c r="H359" s="17">
        <f>46.7362 * CHOOSE(CONTROL!$C$9, $D$9, 100%, $F$9) + CHOOSE(CONTROL!$C$27, 0.0021, 0)</f>
        <v>46.738299999999995</v>
      </c>
      <c r="I359" s="17">
        <f>46.7362 * CHOOSE(CONTROL!$C$9, $D$9, 100%, $F$9) + CHOOSE(CONTROL!$C$27, 0.0021, 0)</f>
        <v>46.738299999999995</v>
      </c>
      <c r="J359" s="17">
        <f>46.7362 * CHOOSE(CONTROL!$C$9, $D$9, 100%, $F$9) + CHOOSE(CONTROL!$C$27, 0.0021, 0)</f>
        <v>46.738299999999995</v>
      </c>
      <c r="K359" s="17">
        <f>46.7362 * CHOOSE(CONTROL!$C$9, $D$9, 100%, $F$9) + CHOOSE(CONTROL!$C$27, 0.0021, 0)</f>
        <v>46.738299999999995</v>
      </c>
      <c r="L359" s="17"/>
    </row>
    <row r="360" spans="1:12" ht="15.75" x14ac:dyDescent="0.25">
      <c r="A360" s="14">
        <v>51897</v>
      </c>
      <c r="B360" s="17">
        <f>46.6012 * CHOOSE(CONTROL!$C$9, $D$9, 100%, $F$9) + CHOOSE(CONTROL!$C$27, 0.0021, 0)</f>
        <v>46.603299999999997</v>
      </c>
      <c r="C360" s="17">
        <f>46.1689 * CHOOSE(CONTROL!$C$9, $D$9, 100%, $F$9) + CHOOSE(CONTROL!$C$27, 0.0021, 0)</f>
        <v>46.170999999999999</v>
      </c>
      <c r="D360" s="17">
        <f>46.1689 * CHOOSE(CONTROL!$C$9, $D$9, 100%, $F$9) + CHOOSE(CONTROL!$C$27, 0.0021, 0)</f>
        <v>46.170999999999999</v>
      </c>
      <c r="E360" s="17">
        <f>46.0323 * CHOOSE(CONTROL!$C$9, $D$9, 100%, $F$9) + CHOOSE(CONTROL!$C$27, 0.0021, 0)</f>
        <v>46.034399999999998</v>
      </c>
      <c r="F360" s="17">
        <f>46.0323 * CHOOSE(CONTROL!$C$9, $D$9, 100%, $F$9) + CHOOSE(CONTROL!$C$27, 0.0021, 0)</f>
        <v>46.034399999999998</v>
      </c>
      <c r="G360" s="17">
        <f>46.3037 * CHOOSE(CONTROL!$C$9, $D$9, 100%, $F$9) + CHOOSE(CONTROL!$C$27, 0.0021, 0)</f>
        <v>46.305799999999998</v>
      </c>
      <c r="H360" s="17">
        <f>46.1689 * CHOOSE(CONTROL!$C$9, $D$9, 100%, $F$9) + CHOOSE(CONTROL!$C$27, 0.0021, 0)</f>
        <v>46.170999999999999</v>
      </c>
      <c r="I360" s="17">
        <f>46.1689 * CHOOSE(CONTROL!$C$9, $D$9, 100%, $F$9) + CHOOSE(CONTROL!$C$27, 0.0021, 0)</f>
        <v>46.170999999999999</v>
      </c>
      <c r="J360" s="17">
        <f>46.1689 * CHOOSE(CONTROL!$C$9, $D$9, 100%, $F$9) + CHOOSE(CONTROL!$C$27, 0.0021, 0)</f>
        <v>46.170999999999999</v>
      </c>
      <c r="K360" s="17">
        <f>46.1689 * CHOOSE(CONTROL!$C$9, $D$9, 100%, $F$9) + CHOOSE(CONTROL!$C$27, 0.0021, 0)</f>
        <v>46.170999999999999</v>
      </c>
      <c r="L360" s="17"/>
    </row>
    <row r="361" spans="1:12" ht="15.75" x14ac:dyDescent="0.25">
      <c r="A361" s="14">
        <v>51925</v>
      </c>
      <c r="B361" s="17">
        <f>45.3479 * CHOOSE(CONTROL!$C$9, $D$9, 100%, $F$9) + CHOOSE(CONTROL!$C$27, 0.0021, 0)</f>
        <v>45.35</v>
      </c>
      <c r="C361" s="17">
        <f>44.9156 * CHOOSE(CONTROL!$C$9, $D$9, 100%, $F$9) + CHOOSE(CONTROL!$C$27, 0.0021, 0)</f>
        <v>44.917699999999996</v>
      </c>
      <c r="D361" s="17">
        <f>44.9156 * CHOOSE(CONTROL!$C$9, $D$9, 100%, $F$9) + CHOOSE(CONTROL!$C$27, 0.0021, 0)</f>
        <v>44.917699999999996</v>
      </c>
      <c r="E361" s="17">
        <f>44.779 * CHOOSE(CONTROL!$C$9, $D$9, 100%, $F$9) + CHOOSE(CONTROL!$C$27, 0.0021, 0)</f>
        <v>44.781100000000002</v>
      </c>
      <c r="F361" s="17">
        <f>44.779 * CHOOSE(CONTROL!$C$9, $D$9, 100%, $F$9) + CHOOSE(CONTROL!$C$27, 0.0021, 0)</f>
        <v>44.781100000000002</v>
      </c>
      <c r="G361" s="17">
        <f>45.0504 * CHOOSE(CONTROL!$C$9, $D$9, 100%, $F$9) + CHOOSE(CONTROL!$C$27, 0.0021, 0)</f>
        <v>45.052500000000002</v>
      </c>
      <c r="H361" s="17">
        <f>44.9156 * CHOOSE(CONTROL!$C$9, $D$9, 100%, $F$9) + CHOOSE(CONTROL!$C$27, 0.0021, 0)</f>
        <v>44.917699999999996</v>
      </c>
      <c r="I361" s="17">
        <f>44.9156 * CHOOSE(CONTROL!$C$9, $D$9, 100%, $F$9) + CHOOSE(CONTROL!$C$27, 0.0021, 0)</f>
        <v>44.917699999999996</v>
      </c>
      <c r="J361" s="17">
        <f>44.9156 * CHOOSE(CONTROL!$C$9, $D$9, 100%, $F$9) + CHOOSE(CONTROL!$C$27, 0.0021, 0)</f>
        <v>44.917699999999996</v>
      </c>
      <c r="K361" s="17">
        <f>44.9156 * CHOOSE(CONTROL!$C$9, $D$9, 100%, $F$9) + CHOOSE(CONTROL!$C$27, 0.0021, 0)</f>
        <v>44.917699999999996</v>
      </c>
      <c r="L361" s="17"/>
    </row>
    <row r="362" spans="1:12" ht="15.75" x14ac:dyDescent="0.25">
      <c r="A362" s="14">
        <v>51956</v>
      </c>
      <c r="B362" s="17">
        <f>44.8305 * CHOOSE(CONTROL!$C$9, $D$9, 100%, $F$9) + CHOOSE(CONTROL!$C$27, 0.0021, 0)</f>
        <v>44.832599999999999</v>
      </c>
      <c r="C362" s="17">
        <f>44.3983 * CHOOSE(CONTROL!$C$9, $D$9, 100%, $F$9) + CHOOSE(CONTROL!$C$27, 0.0021, 0)</f>
        <v>44.400399999999998</v>
      </c>
      <c r="D362" s="17">
        <f>44.3983 * CHOOSE(CONTROL!$C$9, $D$9, 100%, $F$9) + CHOOSE(CONTROL!$C$27, 0.0021, 0)</f>
        <v>44.400399999999998</v>
      </c>
      <c r="E362" s="17">
        <f>44.2616 * CHOOSE(CONTROL!$C$9, $D$9, 100%, $F$9) + CHOOSE(CONTROL!$C$27, 0.0021, 0)</f>
        <v>44.2637</v>
      </c>
      <c r="F362" s="17">
        <f>44.2616 * CHOOSE(CONTROL!$C$9, $D$9, 100%, $F$9) + CHOOSE(CONTROL!$C$27, 0.0021, 0)</f>
        <v>44.2637</v>
      </c>
      <c r="G362" s="17">
        <f>44.533 * CHOOSE(CONTROL!$C$9, $D$9, 100%, $F$9) + CHOOSE(CONTROL!$C$27, 0.0021, 0)</f>
        <v>44.5351</v>
      </c>
      <c r="H362" s="17">
        <f>44.3983 * CHOOSE(CONTROL!$C$9, $D$9, 100%, $F$9) + CHOOSE(CONTROL!$C$27, 0.0021, 0)</f>
        <v>44.400399999999998</v>
      </c>
      <c r="I362" s="17">
        <f>44.3983 * CHOOSE(CONTROL!$C$9, $D$9, 100%, $F$9) + CHOOSE(CONTROL!$C$27, 0.0021, 0)</f>
        <v>44.400399999999998</v>
      </c>
      <c r="J362" s="17">
        <f>44.3983 * CHOOSE(CONTROL!$C$9, $D$9, 100%, $F$9) + CHOOSE(CONTROL!$C$27, 0.0021, 0)</f>
        <v>44.400399999999998</v>
      </c>
      <c r="K362" s="17">
        <f>44.3983 * CHOOSE(CONTROL!$C$9, $D$9, 100%, $F$9) + CHOOSE(CONTROL!$C$27, 0.0021, 0)</f>
        <v>44.400399999999998</v>
      </c>
      <c r="L362" s="17"/>
    </row>
    <row r="363" spans="1:12" ht="15.75" x14ac:dyDescent="0.25">
      <c r="A363" s="14">
        <v>51986</v>
      </c>
      <c r="B363" s="17">
        <f>44.2128 * CHOOSE(CONTROL!$C$9, $D$9, 100%, $F$9) + CHOOSE(CONTROL!$C$27, 0.0021, 0)</f>
        <v>44.2149</v>
      </c>
      <c r="C363" s="17">
        <f>43.7806 * CHOOSE(CONTROL!$C$9, $D$9, 100%, $F$9) + CHOOSE(CONTROL!$C$27, 0.0021, 0)</f>
        <v>43.782699999999998</v>
      </c>
      <c r="D363" s="17">
        <f>43.7806 * CHOOSE(CONTROL!$C$9, $D$9, 100%, $F$9) + CHOOSE(CONTROL!$C$27, 0.0021, 0)</f>
        <v>43.782699999999998</v>
      </c>
      <c r="E363" s="17">
        <f>43.6439 * CHOOSE(CONTROL!$C$9, $D$9, 100%, $F$9) + CHOOSE(CONTROL!$C$27, 0.0021, 0)</f>
        <v>43.646000000000001</v>
      </c>
      <c r="F363" s="17">
        <f>43.6439 * CHOOSE(CONTROL!$C$9, $D$9, 100%, $F$9) + CHOOSE(CONTROL!$C$27, 0.0021, 0)</f>
        <v>43.646000000000001</v>
      </c>
      <c r="G363" s="17">
        <f>43.9153 * CHOOSE(CONTROL!$C$9, $D$9, 100%, $F$9) + CHOOSE(CONTROL!$C$27, 0.0021, 0)</f>
        <v>43.917400000000001</v>
      </c>
      <c r="H363" s="17">
        <f>43.7806 * CHOOSE(CONTROL!$C$9, $D$9, 100%, $F$9) + CHOOSE(CONTROL!$C$27, 0.0021, 0)</f>
        <v>43.782699999999998</v>
      </c>
      <c r="I363" s="17">
        <f>43.7806 * CHOOSE(CONTROL!$C$9, $D$9, 100%, $F$9) + CHOOSE(CONTROL!$C$27, 0.0021, 0)</f>
        <v>43.782699999999998</v>
      </c>
      <c r="J363" s="17">
        <f>43.7806 * CHOOSE(CONTROL!$C$9, $D$9, 100%, $F$9) + CHOOSE(CONTROL!$C$27, 0.0021, 0)</f>
        <v>43.782699999999998</v>
      </c>
      <c r="K363" s="17">
        <f>43.7806 * CHOOSE(CONTROL!$C$9, $D$9, 100%, $F$9) + CHOOSE(CONTROL!$C$27, 0.0021, 0)</f>
        <v>43.782699999999998</v>
      </c>
      <c r="L363" s="17"/>
    </row>
    <row r="364" spans="1:12" ht="15.75" x14ac:dyDescent="0.25">
      <c r="A364" s="14">
        <v>52017</v>
      </c>
      <c r="B364" s="17">
        <f>45.0931 * CHOOSE(CONTROL!$C$9, $D$9, 100%, $F$9) + CHOOSE(CONTROL!$C$27, 0.0021, 0)</f>
        <v>45.095199999999998</v>
      </c>
      <c r="C364" s="17">
        <f>44.6609 * CHOOSE(CONTROL!$C$9, $D$9, 100%, $F$9) + CHOOSE(CONTROL!$C$27, 0.0021, 0)</f>
        <v>44.662999999999997</v>
      </c>
      <c r="D364" s="17">
        <f>44.6609 * CHOOSE(CONTROL!$C$9, $D$9, 100%, $F$9) + CHOOSE(CONTROL!$C$27, 0.0021, 0)</f>
        <v>44.662999999999997</v>
      </c>
      <c r="E364" s="17">
        <f>44.5242 * CHOOSE(CONTROL!$C$9, $D$9, 100%, $F$9) + CHOOSE(CONTROL!$C$27, 0.0021, 0)</f>
        <v>44.526299999999999</v>
      </c>
      <c r="F364" s="17">
        <f>44.5242 * CHOOSE(CONTROL!$C$9, $D$9, 100%, $F$9) + CHOOSE(CONTROL!$C$27, 0.0021, 0)</f>
        <v>44.526299999999999</v>
      </c>
      <c r="G364" s="17">
        <f>44.7956 * CHOOSE(CONTROL!$C$9, $D$9, 100%, $F$9) + CHOOSE(CONTROL!$C$27, 0.0021, 0)</f>
        <v>44.797699999999999</v>
      </c>
      <c r="H364" s="17">
        <f>44.6609 * CHOOSE(CONTROL!$C$9, $D$9, 100%, $F$9) + CHOOSE(CONTROL!$C$27, 0.0021, 0)</f>
        <v>44.662999999999997</v>
      </c>
      <c r="I364" s="17">
        <f>44.6609 * CHOOSE(CONTROL!$C$9, $D$9, 100%, $F$9) + CHOOSE(CONTROL!$C$27, 0.0021, 0)</f>
        <v>44.662999999999997</v>
      </c>
      <c r="J364" s="17">
        <f>44.6609 * CHOOSE(CONTROL!$C$9, $D$9, 100%, $F$9) + CHOOSE(CONTROL!$C$27, 0.0021, 0)</f>
        <v>44.662999999999997</v>
      </c>
      <c r="K364" s="17">
        <f>44.6609 * CHOOSE(CONTROL!$C$9, $D$9, 100%, $F$9) + CHOOSE(CONTROL!$C$27, 0.0021, 0)</f>
        <v>44.662999999999997</v>
      </c>
      <c r="L364" s="17"/>
    </row>
    <row r="365" spans="1:12" ht="15.75" x14ac:dyDescent="0.25">
      <c r="A365" s="14">
        <v>52047</v>
      </c>
      <c r="B365" s="17">
        <f>45.6204 * CHOOSE(CONTROL!$C$9, $D$9, 100%, $F$9) + CHOOSE(CONTROL!$C$27, 0.0021, 0)</f>
        <v>45.622499999999995</v>
      </c>
      <c r="C365" s="17">
        <f>45.1882 * CHOOSE(CONTROL!$C$9, $D$9, 100%, $F$9) + CHOOSE(CONTROL!$C$27, 0.0021, 0)</f>
        <v>45.190300000000001</v>
      </c>
      <c r="D365" s="17">
        <f>45.1882 * CHOOSE(CONTROL!$C$9, $D$9, 100%, $F$9) + CHOOSE(CONTROL!$C$27, 0.0021, 0)</f>
        <v>45.190300000000001</v>
      </c>
      <c r="E365" s="17">
        <f>45.0515 * CHOOSE(CONTROL!$C$9, $D$9, 100%, $F$9) + CHOOSE(CONTROL!$C$27, 0.0021, 0)</f>
        <v>45.053599999999996</v>
      </c>
      <c r="F365" s="17">
        <f>45.0515 * CHOOSE(CONTROL!$C$9, $D$9, 100%, $F$9) + CHOOSE(CONTROL!$C$27, 0.0021, 0)</f>
        <v>45.053599999999996</v>
      </c>
      <c r="G365" s="17">
        <f>45.3229 * CHOOSE(CONTROL!$C$9, $D$9, 100%, $F$9) + CHOOSE(CONTROL!$C$27, 0.0021, 0)</f>
        <v>45.324999999999996</v>
      </c>
      <c r="H365" s="17">
        <f>45.1882 * CHOOSE(CONTROL!$C$9, $D$9, 100%, $F$9) + CHOOSE(CONTROL!$C$27, 0.0021, 0)</f>
        <v>45.190300000000001</v>
      </c>
      <c r="I365" s="17">
        <f>45.1882 * CHOOSE(CONTROL!$C$9, $D$9, 100%, $F$9) + CHOOSE(CONTROL!$C$27, 0.0021, 0)</f>
        <v>45.190300000000001</v>
      </c>
      <c r="J365" s="17">
        <f>45.1882 * CHOOSE(CONTROL!$C$9, $D$9, 100%, $F$9) + CHOOSE(CONTROL!$C$27, 0.0021, 0)</f>
        <v>45.190300000000001</v>
      </c>
      <c r="K365" s="17">
        <f>45.1882 * CHOOSE(CONTROL!$C$9, $D$9, 100%, $F$9) + CHOOSE(CONTROL!$C$27, 0.0021, 0)</f>
        <v>45.190300000000001</v>
      </c>
      <c r="L365" s="17"/>
    </row>
    <row r="366" spans="1:12" ht="15.75" x14ac:dyDescent="0.25">
      <c r="A366" s="14">
        <v>52078</v>
      </c>
      <c r="B366" s="17">
        <f>46.4903 * CHOOSE(CONTROL!$C$9, $D$9, 100%, $F$9) + CHOOSE(CONTROL!$C$27, 0.0021, 0)</f>
        <v>46.492399999999996</v>
      </c>
      <c r="C366" s="17">
        <f>46.058 * CHOOSE(CONTROL!$C$9, $D$9, 100%, $F$9) + CHOOSE(CONTROL!$C$27, 0.0021, 0)</f>
        <v>46.060099999999998</v>
      </c>
      <c r="D366" s="17">
        <f>46.058 * CHOOSE(CONTROL!$C$9, $D$9, 100%, $F$9) + CHOOSE(CONTROL!$C$27, 0.0021, 0)</f>
        <v>46.060099999999998</v>
      </c>
      <c r="E366" s="17">
        <f>45.9214 * CHOOSE(CONTROL!$C$9, $D$9, 100%, $F$9) + CHOOSE(CONTROL!$C$27, 0.0021, 0)</f>
        <v>45.923499999999997</v>
      </c>
      <c r="F366" s="17">
        <f>45.9214 * CHOOSE(CONTROL!$C$9, $D$9, 100%, $F$9) + CHOOSE(CONTROL!$C$27, 0.0021, 0)</f>
        <v>45.923499999999997</v>
      </c>
      <c r="G366" s="17">
        <f>46.1928 * CHOOSE(CONTROL!$C$9, $D$9, 100%, $F$9) + CHOOSE(CONTROL!$C$27, 0.0021, 0)</f>
        <v>46.194899999999997</v>
      </c>
      <c r="H366" s="17">
        <f>46.058 * CHOOSE(CONTROL!$C$9, $D$9, 100%, $F$9) + CHOOSE(CONTROL!$C$27, 0.0021, 0)</f>
        <v>46.060099999999998</v>
      </c>
      <c r="I366" s="17">
        <f>46.058 * CHOOSE(CONTROL!$C$9, $D$9, 100%, $F$9) + CHOOSE(CONTROL!$C$27, 0.0021, 0)</f>
        <v>46.060099999999998</v>
      </c>
      <c r="J366" s="17">
        <f>46.058 * CHOOSE(CONTROL!$C$9, $D$9, 100%, $F$9) + CHOOSE(CONTROL!$C$27, 0.0021, 0)</f>
        <v>46.060099999999998</v>
      </c>
      <c r="K366" s="17">
        <f>46.058 * CHOOSE(CONTROL!$C$9, $D$9, 100%, $F$9) + CHOOSE(CONTROL!$C$27, 0.0021, 0)</f>
        <v>46.060099999999998</v>
      </c>
      <c r="L366" s="17"/>
    </row>
    <row r="367" spans="1:12" ht="15.75" x14ac:dyDescent="0.25">
      <c r="A367" s="14">
        <v>52109</v>
      </c>
      <c r="B367" s="17">
        <f>46.7558 * CHOOSE(CONTROL!$C$9, $D$9, 100%, $F$9) + CHOOSE(CONTROL!$C$27, 0.0021, 0)</f>
        <v>46.757899999999999</v>
      </c>
      <c r="C367" s="17">
        <f>46.3235 * CHOOSE(CONTROL!$C$9, $D$9, 100%, $F$9) + CHOOSE(CONTROL!$C$27, 0.0021, 0)</f>
        <v>46.325600000000001</v>
      </c>
      <c r="D367" s="17">
        <f>46.3235 * CHOOSE(CONTROL!$C$9, $D$9, 100%, $F$9) + CHOOSE(CONTROL!$C$27, 0.0021, 0)</f>
        <v>46.325600000000001</v>
      </c>
      <c r="E367" s="17">
        <f>46.1869 * CHOOSE(CONTROL!$C$9, $D$9, 100%, $F$9) + CHOOSE(CONTROL!$C$27, 0.0021, 0)</f>
        <v>46.189</v>
      </c>
      <c r="F367" s="17">
        <f>46.1869 * CHOOSE(CONTROL!$C$9, $D$9, 100%, $F$9) + CHOOSE(CONTROL!$C$27, 0.0021, 0)</f>
        <v>46.189</v>
      </c>
      <c r="G367" s="17">
        <f>46.4583 * CHOOSE(CONTROL!$C$9, $D$9, 100%, $F$9) + CHOOSE(CONTROL!$C$27, 0.0021, 0)</f>
        <v>46.4604</v>
      </c>
      <c r="H367" s="17">
        <f>46.3235 * CHOOSE(CONTROL!$C$9, $D$9, 100%, $F$9) + CHOOSE(CONTROL!$C$27, 0.0021, 0)</f>
        <v>46.325600000000001</v>
      </c>
      <c r="I367" s="17">
        <f>46.3235 * CHOOSE(CONTROL!$C$9, $D$9, 100%, $F$9) + CHOOSE(CONTROL!$C$27, 0.0021, 0)</f>
        <v>46.325600000000001</v>
      </c>
      <c r="J367" s="17">
        <f>46.3235 * CHOOSE(CONTROL!$C$9, $D$9, 100%, $F$9) + CHOOSE(CONTROL!$C$27, 0.0021, 0)</f>
        <v>46.325600000000001</v>
      </c>
      <c r="K367" s="17">
        <f>46.3235 * CHOOSE(CONTROL!$C$9, $D$9, 100%, $F$9) + CHOOSE(CONTROL!$C$27, 0.0021, 0)</f>
        <v>46.325600000000001</v>
      </c>
      <c r="L367" s="17"/>
    </row>
    <row r="368" spans="1:12" ht="15.75" x14ac:dyDescent="0.25">
      <c r="A368" s="14">
        <v>52139</v>
      </c>
      <c r="B368" s="17">
        <f>47.6599 * CHOOSE(CONTROL!$C$9, $D$9, 100%, $F$9) + CHOOSE(CONTROL!$C$27, 0.0021, 0)</f>
        <v>47.661999999999999</v>
      </c>
      <c r="C368" s="17">
        <f>47.2277 * CHOOSE(CONTROL!$C$9, $D$9, 100%, $F$9) + CHOOSE(CONTROL!$C$27, 0.0021, 0)</f>
        <v>47.229799999999997</v>
      </c>
      <c r="D368" s="17">
        <f>47.2277 * CHOOSE(CONTROL!$C$9, $D$9, 100%, $F$9) + CHOOSE(CONTROL!$C$27, 0.0021, 0)</f>
        <v>47.229799999999997</v>
      </c>
      <c r="E368" s="17">
        <f>47.091 * CHOOSE(CONTROL!$C$9, $D$9, 100%, $F$9) + CHOOSE(CONTROL!$C$27, 0.0021, 0)</f>
        <v>47.0931</v>
      </c>
      <c r="F368" s="17">
        <f>47.091 * CHOOSE(CONTROL!$C$9, $D$9, 100%, $F$9) + CHOOSE(CONTROL!$C$27, 0.0021, 0)</f>
        <v>47.0931</v>
      </c>
      <c r="G368" s="17">
        <f>47.3624 * CHOOSE(CONTROL!$C$9, $D$9, 100%, $F$9) + CHOOSE(CONTROL!$C$27, 0.0021, 0)</f>
        <v>47.3645</v>
      </c>
      <c r="H368" s="17">
        <f>47.2277 * CHOOSE(CONTROL!$C$9, $D$9, 100%, $F$9) + CHOOSE(CONTROL!$C$27, 0.0021, 0)</f>
        <v>47.229799999999997</v>
      </c>
      <c r="I368" s="17">
        <f>47.2277 * CHOOSE(CONTROL!$C$9, $D$9, 100%, $F$9) + CHOOSE(CONTROL!$C$27, 0.0021, 0)</f>
        <v>47.229799999999997</v>
      </c>
      <c r="J368" s="17">
        <f>47.2277 * CHOOSE(CONTROL!$C$9, $D$9, 100%, $F$9) + CHOOSE(CONTROL!$C$27, 0.0021, 0)</f>
        <v>47.229799999999997</v>
      </c>
      <c r="K368" s="17">
        <f>47.2277 * CHOOSE(CONTROL!$C$9, $D$9, 100%, $F$9) + CHOOSE(CONTROL!$C$27, 0.0021, 0)</f>
        <v>47.229799999999997</v>
      </c>
      <c r="L368" s="17"/>
    </row>
    <row r="369" spans="1:12" ht="15.75" x14ac:dyDescent="0.25">
      <c r="A369" s="14">
        <v>52170</v>
      </c>
      <c r="B369" s="17">
        <f>48.8045 * CHOOSE(CONTROL!$C$9, $D$9, 100%, $F$9) + CHOOSE(CONTROL!$C$27, 0.0021, 0)</f>
        <v>48.806599999999996</v>
      </c>
      <c r="C369" s="17">
        <f>48.3722 * CHOOSE(CONTROL!$C$9, $D$9, 100%, $F$9) + CHOOSE(CONTROL!$C$27, 0.0021, 0)</f>
        <v>48.374299999999998</v>
      </c>
      <c r="D369" s="17">
        <f>48.3722 * CHOOSE(CONTROL!$C$9, $D$9, 100%, $F$9) + CHOOSE(CONTROL!$C$27, 0.0021, 0)</f>
        <v>48.374299999999998</v>
      </c>
      <c r="E369" s="17">
        <f>48.2356 * CHOOSE(CONTROL!$C$9, $D$9, 100%, $F$9) + CHOOSE(CONTROL!$C$27, 0.0021, 0)</f>
        <v>48.237699999999997</v>
      </c>
      <c r="F369" s="17">
        <f>48.2356 * CHOOSE(CONTROL!$C$9, $D$9, 100%, $F$9) + CHOOSE(CONTROL!$C$27, 0.0021, 0)</f>
        <v>48.237699999999997</v>
      </c>
      <c r="G369" s="17">
        <f>48.5069 * CHOOSE(CONTROL!$C$9, $D$9, 100%, $F$9) + CHOOSE(CONTROL!$C$27, 0.0021, 0)</f>
        <v>48.509</v>
      </c>
      <c r="H369" s="17">
        <f>48.3722 * CHOOSE(CONTROL!$C$9, $D$9, 100%, $F$9) + CHOOSE(CONTROL!$C$27, 0.0021, 0)</f>
        <v>48.374299999999998</v>
      </c>
      <c r="I369" s="17">
        <f>48.3722 * CHOOSE(CONTROL!$C$9, $D$9, 100%, $F$9) + CHOOSE(CONTROL!$C$27, 0.0021, 0)</f>
        <v>48.374299999999998</v>
      </c>
      <c r="J369" s="17">
        <f>48.3722 * CHOOSE(CONTROL!$C$9, $D$9, 100%, $F$9) + CHOOSE(CONTROL!$C$27, 0.0021, 0)</f>
        <v>48.374299999999998</v>
      </c>
      <c r="K369" s="17">
        <f>48.3722 * CHOOSE(CONTROL!$C$9, $D$9, 100%, $F$9) + CHOOSE(CONTROL!$C$27, 0.0021, 0)</f>
        <v>48.374299999999998</v>
      </c>
      <c r="L369" s="17"/>
    </row>
    <row r="370" spans="1:12" ht="15.75" x14ac:dyDescent="0.25">
      <c r="A370" s="14">
        <v>52200</v>
      </c>
      <c r="B370" s="17">
        <f>48.9119 * CHOOSE(CONTROL!$C$9, $D$9, 100%, $F$9) + CHOOSE(CONTROL!$C$27, 0.0021, 0)</f>
        <v>48.914000000000001</v>
      </c>
      <c r="C370" s="17">
        <f>48.4797 * CHOOSE(CONTROL!$C$9, $D$9, 100%, $F$9) + CHOOSE(CONTROL!$C$27, 0.0021, 0)</f>
        <v>48.4818</v>
      </c>
      <c r="D370" s="17">
        <f>48.4797 * CHOOSE(CONTROL!$C$9, $D$9, 100%, $F$9) + CHOOSE(CONTROL!$C$27, 0.0021, 0)</f>
        <v>48.4818</v>
      </c>
      <c r="E370" s="17">
        <f>48.343 * CHOOSE(CONTROL!$C$9, $D$9, 100%, $F$9) + CHOOSE(CONTROL!$C$27, 0.0021, 0)</f>
        <v>48.345100000000002</v>
      </c>
      <c r="F370" s="17">
        <f>48.343 * CHOOSE(CONTROL!$C$9, $D$9, 100%, $F$9) + CHOOSE(CONTROL!$C$27, 0.0021, 0)</f>
        <v>48.345100000000002</v>
      </c>
      <c r="G370" s="17">
        <f>48.6144 * CHOOSE(CONTROL!$C$9, $D$9, 100%, $F$9) + CHOOSE(CONTROL!$C$27, 0.0021, 0)</f>
        <v>48.616500000000002</v>
      </c>
      <c r="H370" s="17">
        <f>48.4797 * CHOOSE(CONTROL!$C$9, $D$9, 100%, $F$9) + CHOOSE(CONTROL!$C$27, 0.0021, 0)</f>
        <v>48.4818</v>
      </c>
      <c r="I370" s="17">
        <f>48.4797 * CHOOSE(CONTROL!$C$9, $D$9, 100%, $F$9) + CHOOSE(CONTROL!$C$27, 0.0021, 0)</f>
        <v>48.4818</v>
      </c>
      <c r="J370" s="17">
        <f>48.4797 * CHOOSE(CONTROL!$C$9, $D$9, 100%, $F$9) + CHOOSE(CONTROL!$C$27, 0.0021, 0)</f>
        <v>48.4818</v>
      </c>
      <c r="K370" s="17">
        <f>48.4797 * CHOOSE(CONTROL!$C$9, $D$9, 100%, $F$9) + CHOOSE(CONTROL!$C$27, 0.0021, 0)</f>
        <v>48.4818</v>
      </c>
      <c r="L370" s="17"/>
    </row>
    <row r="371" spans="1:12" ht="15.75" x14ac:dyDescent="0.25">
      <c r="A371" s="14">
        <v>52231</v>
      </c>
      <c r="B371" s="17">
        <f>47.9978 * CHOOSE(CONTROL!$C$9, $D$9, 100%, $F$9) + CHOOSE(CONTROL!$C$27, 0.0021, 0)</f>
        <v>47.999899999999997</v>
      </c>
      <c r="C371" s="17">
        <f>47.5656 * CHOOSE(CONTROL!$C$9, $D$9, 100%, $F$9) + CHOOSE(CONTROL!$C$27, 0.0021, 0)</f>
        <v>47.567700000000002</v>
      </c>
      <c r="D371" s="17">
        <f>47.5656 * CHOOSE(CONTROL!$C$9, $D$9, 100%, $F$9) + CHOOSE(CONTROL!$C$27, 0.0021, 0)</f>
        <v>47.567700000000002</v>
      </c>
      <c r="E371" s="17">
        <f>47.4289 * CHOOSE(CONTROL!$C$9, $D$9, 100%, $F$9) + CHOOSE(CONTROL!$C$27, 0.0021, 0)</f>
        <v>47.430999999999997</v>
      </c>
      <c r="F371" s="17">
        <f>47.4289 * CHOOSE(CONTROL!$C$9, $D$9, 100%, $F$9) + CHOOSE(CONTROL!$C$27, 0.0021, 0)</f>
        <v>47.430999999999997</v>
      </c>
      <c r="G371" s="17">
        <f>47.7003 * CHOOSE(CONTROL!$C$9, $D$9, 100%, $F$9) + CHOOSE(CONTROL!$C$27, 0.0021, 0)</f>
        <v>47.702399999999997</v>
      </c>
      <c r="H371" s="17">
        <f>47.5656 * CHOOSE(CONTROL!$C$9, $D$9, 100%, $F$9) + CHOOSE(CONTROL!$C$27, 0.0021, 0)</f>
        <v>47.567700000000002</v>
      </c>
      <c r="I371" s="17">
        <f>47.5656 * CHOOSE(CONTROL!$C$9, $D$9, 100%, $F$9) + CHOOSE(CONTROL!$C$27, 0.0021, 0)</f>
        <v>47.567700000000002</v>
      </c>
      <c r="J371" s="17">
        <f>47.5656 * CHOOSE(CONTROL!$C$9, $D$9, 100%, $F$9) + CHOOSE(CONTROL!$C$27, 0.0021, 0)</f>
        <v>47.567700000000002</v>
      </c>
      <c r="K371" s="17">
        <f>47.5656 * CHOOSE(CONTROL!$C$9, $D$9, 100%, $F$9) + CHOOSE(CONTROL!$C$27, 0.0021, 0)</f>
        <v>47.567700000000002</v>
      </c>
      <c r="L371" s="17"/>
    </row>
    <row r="372" spans="1:12" ht="15.75" x14ac:dyDescent="0.25">
      <c r="A372" s="14">
        <v>52262</v>
      </c>
      <c r="B372" s="17">
        <f>47.42 * CHOOSE(CONTROL!$C$9, $D$9, 100%, $F$9) + CHOOSE(CONTROL!$C$27, 0.0021, 0)</f>
        <v>47.4221</v>
      </c>
      <c r="C372" s="17">
        <f>46.9878 * CHOOSE(CONTROL!$C$9, $D$9, 100%, $F$9) + CHOOSE(CONTROL!$C$27, 0.0021, 0)</f>
        <v>46.989899999999999</v>
      </c>
      <c r="D372" s="17">
        <f>46.9878 * CHOOSE(CONTROL!$C$9, $D$9, 100%, $F$9) + CHOOSE(CONTROL!$C$27, 0.0021, 0)</f>
        <v>46.989899999999999</v>
      </c>
      <c r="E372" s="17">
        <f>46.8511 * CHOOSE(CONTROL!$C$9, $D$9, 100%, $F$9) + CHOOSE(CONTROL!$C$27, 0.0021, 0)</f>
        <v>46.853200000000001</v>
      </c>
      <c r="F372" s="17">
        <f>46.8511 * CHOOSE(CONTROL!$C$9, $D$9, 100%, $F$9) + CHOOSE(CONTROL!$C$27, 0.0021, 0)</f>
        <v>46.853200000000001</v>
      </c>
      <c r="G372" s="17">
        <f>47.1225 * CHOOSE(CONTROL!$C$9, $D$9, 100%, $F$9) + CHOOSE(CONTROL!$C$27, 0.0021, 0)</f>
        <v>47.124600000000001</v>
      </c>
      <c r="H372" s="17">
        <f>46.9878 * CHOOSE(CONTROL!$C$9, $D$9, 100%, $F$9) + CHOOSE(CONTROL!$C$27, 0.0021, 0)</f>
        <v>46.989899999999999</v>
      </c>
      <c r="I372" s="17">
        <f>46.9878 * CHOOSE(CONTROL!$C$9, $D$9, 100%, $F$9) + CHOOSE(CONTROL!$C$27, 0.0021, 0)</f>
        <v>46.989899999999999</v>
      </c>
      <c r="J372" s="17">
        <f>46.9878 * CHOOSE(CONTROL!$C$9, $D$9, 100%, $F$9) + CHOOSE(CONTROL!$C$27, 0.0021, 0)</f>
        <v>46.989899999999999</v>
      </c>
      <c r="K372" s="17">
        <f>46.9878 * CHOOSE(CONTROL!$C$9, $D$9, 100%, $F$9) + CHOOSE(CONTROL!$C$27, 0.0021, 0)</f>
        <v>46.989899999999999</v>
      </c>
      <c r="L372" s="17"/>
    </row>
    <row r="373" spans="1:12" ht="15.75" x14ac:dyDescent="0.25">
      <c r="A373" s="14">
        <v>52290</v>
      </c>
      <c r="B373" s="17">
        <f>46.1436 * CHOOSE(CONTROL!$C$9, $D$9, 100%, $F$9) + CHOOSE(CONTROL!$C$27, 0.0021, 0)</f>
        <v>46.145699999999998</v>
      </c>
      <c r="C373" s="17">
        <f>45.7113 * CHOOSE(CONTROL!$C$9, $D$9, 100%, $F$9) + CHOOSE(CONTROL!$C$27, 0.0021, 0)</f>
        <v>45.7134</v>
      </c>
      <c r="D373" s="17">
        <f>45.7113 * CHOOSE(CONTROL!$C$9, $D$9, 100%, $F$9) + CHOOSE(CONTROL!$C$27, 0.0021, 0)</f>
        <v>45.7134</v>
      </c>
      <c r="E373" s="17">
        <f>45.5747 * CHOOSE(CONTROL!$C$9, $D$9, 100%, $F$9) + CHOOSE(CONTROL!$C$27, 0.0021, 0)</f>
        <v>45.576799999999999</v>
      </c>
      <c r="F373" s="17">
        <f>45.5747 * CHOOSE(CONTROL!$C$9, $D$9, 100%, $F$9) + CHOOSE(CONTROL!$C$27, 0.0021, 0)</f>
        <v>45.576799999999999</v>
      </c>
      <c r="G373" s="17">
        <f>45.8461 * CHOOSE(CONTROL!$C$9, $D$9, 100%, $F$9) + CHOOSE(CONTROL!$C$27, 0.0021, 0)</f>
        <v>45.848199999999999</v>
      </c>
      <c r="H373" s="17">
        <f>45.7113 * CHOOSE(CONTROL!$C$9, $D$9, 100%, $F$9) + CHOOSE(CONTROL!$C$27, 0.0021, 0)</f>
        <v>45.7134</v>
      </c>
      <c r="I373" s="17">
        <f>45.7113 * CHOOSE(CONTROL!$C$9, $D$9, 100%, $F$9) + CHOOSE(CONTROL!$C$27, 0.0021, 0)</f>
        <v>45.7134</v>
      </c>
      <c r="J373" s="17">
        <f>45.7113 * CHOOSE(CONTROL!$C$9, $D$9, 100%, $F$9) + CHOOSE(CONTROL!$C$27, 0.0021, 0)</f>
        <v>45.7134</v>
      </c>
      <c r="K373" s="17">
        <f>45.7113 * CHOOSE(CONTROL!$C$9, $D$9, 100%, $F$9) + CHOOSE(CONTROL!$C$27, 0.0021, 0)</f>
        <v>45.7134</v>
      </c>
      <c r="L373" s="17"/>
    </row>
    <row r="374" spans="1:12" ht="15.75" x14ac:dyDescent="0.25">
      <c r="A374" s="14">
        <v>52321</v>
      </c>
      <c r="B374" s="17">
        <f>45.6167 * CHOOSE(CONTROL!$C$9, $D$9, 100%, $F$9) + CHOOSE(CONTROL!$C$27, 0.0021, 0)</f>
        <v>45.6188</v>
      </c>
      <c r="C374" s="17">
        <f>45.1844 * CHOOSE(CONTROL!$C$9, $D$9, 100%, $F$9) + CHOOSE(CONTROL!$C$27, 0.0021, 0)</f>
        <v>45.186499999999995</v>
      </c>
      <c r="D374" s="17">
        <f>45.1844 * CHOOSE(CONTROL!$C$9, $D$9, 100%, $F$9) + CHOOSE(CONTROL!$C$27, 0.0021, 0)</f>
        <v>45.186499999999995</v>
      </c>
      <c r="E374" s="17">
        <f>45.0478 * CHOOSE(CONTROL!$C$9, $D$9, 100%, $F$9) + CHOOSE(CONTROL!$C$27, 0.0021, 0)</f>
        <v>45.049900000000001</v>
      </c>
      <c r="F374" s="17">
        <f>45.0478 * CHOOSE(CONTROL!$C$9, $D$9, 100%, $F$9) + CHOOSE(CONTROL!$C$27, 0.0021, 0)</f>
        <v>45.049900000000001</v>
      </c>
      <c r="G374" s="17">
        <f>45.3191 * CHOOSE(CONTROL!$C$9, $D$9, 100%, $F$9) + CHOOSE(CONTROL!$C$27, 0.0021, 0)</f>
        <v>45.321199999999997</v>
      </c>
      <c r="H374" s="17">
        <f>45.1844 * CHOOSE(CONTROL!$C$9, $D$9, 100%, $F$9) + CHOOSE(CONTROL!$C$27, 0.0021, 0)</f>
        <v>45.186499999999995</v>
      </c>
      <c r="I374" s="17">
        <f>45.1844 * CHOOSE(CONTROL!$C$9, $D$9, 100%, $F$9) + CHOOSE(CONTROL!$C$27, 0.0021, 0)</f>
        <v>45.186499999999995</v>
      </c>
      <c r="J374" s="17">
        <f>45.1844 * CHOOSE(CONTROL!$C$9, $D$9, 100%, $F$9) + CHOOSE(CONTROL!$C$27, 0.0021, 0)</f>
        <v>45.186499999999995</v>
      </c>
      <c r="K374" s="17">
        <f>45.1844 * CHOOSE(CONTROL!$C$9, $D$9, 100%, $F$9) + CHOOSE(CONTROL!$C$27, 0.0021, 0)</f>
        <v>45.186499999999995</v>
      </c>
      <c r="L374" s="17"/>
    </row>
    <row r="375" spans="1:12" ht="15.75" x14ac:dyDescent="0.25">
      <c r="A375" s="14">
        <v>52351</v>
      </c>
      <c r="B375" s="17">
        <f>44.9875 * CHOOSE(CONTROL!$C$9, $D$9, 100%, $F$9) + CHOOSE(CONTROL!$C$27, 0.0021, 0)</f>
        <v>44.989599999999996</v>
      </c>
      <c r="C375" s="17">
        <f>44.5553 * CHOOSE(CONTROL!$C$9, $D$9, 100%, $F$9) + CHOOSE(CONTROL!$C$27, 0.0021, 0)</f>
        <v>44.557400000000001</v>
      </c>
      <c r="D375" s="17">
        <f>44.5553 * CHOOSE(CONTROL!$C$9, $D$9, 100%, $F$9) + CHOOSE(CONTROL!$C$27, 0.0021, 0)</f>
        <v>44.557400000000001</v>
      </c>
      <c r="E375" s="17">
        <f>44.4186 * CHOOSE(CONTROL!$C$9, $D$9, 100%, $F$9) + CHOOSE(CONTROL!$C$27, 0.0021, 0)</f>
        <v>44.420699999999997</v>
      </c>
      <c r="F375" s="17">
        <f>44.4186 * CHOOSE(CONTROL!$C$9, $D$9, 100%, $F$9) + CHOOSE(CONTROL!$C$27, 0.0021, 0)</f>
        <v>44.420699999999997</v>
      </c>
      <c r="G375" s="17">
        <f>44.69 * CHOOSE(CONTROL!$C$9, $D$9, 100%, $F$9) + CHOOSE(CONTROL!$C$27, 0.0021, 0)</f>
        <v>44.692099999999996</v>
      </c>
      <c r="H375" s="17">
        <f>44.5553 * CHOOSE(CONTROL!$C$9, $D$9, 100%, $F$9) + CHOOSE(CONTROL!$C$27, 0.0021, 0)</f>
        <v>44.557400000000001</v>
      </c>
      <c r="I375" s="17">
        <f>44.5553 * CHOOSE(CONTROL!$C$9, $D$9, 100%, $F$9) + CHOOSE(CONTROL!$C$27, 0.0021, 0)</f>
        <v>44.557400000000001</v>
      </c>
      <c r="J375" s="17">
        <f>44.5553 * CHOOSE(CONTROL!$C$9, $D$9, 100%, $F$9) + CHOOSE(CONTROL!$C$27, 0.0021, 0)</f>
        <v>44.557400000000001</v>
      </c>
      <c r="K375" s="17">
        <f>44.5553 * CHOOSE(CONTROL!$C$9, $D$9, 100%, $F$9) + CHOOSE(CONTROL!$C$27, 0.0021, 0)</f>
        <v>44.557400000000001</v>
      </c>
      <c r="L375" s="17"/>
    </row>
    <row r="376" spans="1:12" ht="15.75" x14ac:dyDescent="0.25">
      <c r="A376" s="14">
        <v>52382</v>
      </c>
      <c r="B376" s="17">
        <f>45.8841 * CHOOSE(CONTROL!$C$9, $D$9, 100%, $F$9) + CHOOSE(CONTROL!$C$27, 0.0021, 0)</f>
        <v>45.886199999999995</v>
      </c>
      <c r="C376" s="17">
        <f>45.4519 * CHOOSE(CONTROL!$C$9, $D$9, 100%, $F$9) + CHOOSE(CONTROL!$C$27, 0.0021, 0)</f>
        <v>45.454000000000001</v>
      </c>
      <c r="D376" s="17">
        <f>45.4519 * CHOOSE(CONTROL!$C$9, $D$9, 100%, $F$9) + CHOOSE(CONTROL!$C$27, 0.0021, 0)</f>
        <v>45.454000000000001</v>
      </c>
      <c r="E376" s="17">
        <f>45.3152 * CHOOSE(CONTROL!$C$9, $D$9, 100%, $F$9) + CHOOSE(CONTROL!$C$27, 0.0021, 0)</f>
        <v>45.317299999999996</v>
      </c>
      <c r="F376" s="17">
        <f>45.3152 * CHOOSE(CONTROL!$C$9, $D$9, 100%, $F$9) + CHOOSE(CONTROL!$C$27, 0.0021, 0)</f>
        <v>45.317299999999996</v>
      </c>
      <c r="G376" s="17">
        <f>45.5866 * CHOOSE(CONTROL!$C$9, $D$9, 100%, $F$9) + CHOOSE(CONTROL!$C$27, 0.0021, 0)</f>
        <v>45.588699999999996</v>
      </c>
      <c r="H376" s="17">
        <f>45.4519 * CHOOSE(CONTROL!$C$9, $D$9, 100%, $F$9) + CHOOSE(CONTROL!$C$27, 0.0021, 0)</f>
        <v>45.454000000000001</v>
      </c>
      <c r="I376" s="17">
        <f>45.4519 * CHOOSE(CONTROL!$C$9, $D$9, 100%, $F$9) + CHOOSE(CONTROL!$C$27, 0.0021, 0)</f>
        <v>45.454000000000001</v>
      </c>
      <c r="J376" s="17">
        <f>45.4519 * CHOOSE(CONTROL!$C$9, $D$9, 100%, $F$9) + CHOOSE(CONTROL!$C$27, 0.0021, 0)</f>
        <v>45.454000000000001</v>
      </c>
      <c r="K376" s="17">
        <f>45.4519 * CHOOSE(CONTROL!$C$9, $D$9, 100%, $F$9) + CHOOSE(CONTROL!$C$27, 0.0021, 0)</f>
        <v>45.454000000000001</v>
      </c>
      <c r="L376" s="17"/>
    </row>
    <row r="377" spans="1:12" ht="15.75" x14ac:dyDescent="0.25">
      <c r="A377" s="14">
        <v>52412</v>
      </c>
      <c r="B377" s="17">
        <f>46.4212 * CHOOSE(CONTROL!$C$9, $D$9, 100%, $F$9) + CHOOSE(CONTROL!$C$27, 0.0021, 0)</f>
        <v>46.423299999999998</v>
      </c>
      <c r="C377" s="17">
        <f>45.9889 * CHOOSE(CONTROL!$C$9, $D$9, 100%, $F$9) + CHOOSE(CONTROL!$C$27, 0.0021, 0)</f>
        <v>45.991</v>
      </c>
      <c r="D377" s="17">
        <f>45.9889 * CHOOSE(CONTROL!$C$9, $D$9, 100%, $F$9) + CHOOSE(CONTROL!$C$27, 0.0021, 0)</f>
        <v>45.991</v>
      </c>
      <c r="E377" s="17">
        <f>45.8523 * CHOOSE(CONTROL!$C$9, $D$9, 100%, $F$9) + CHOOSE(CONTROL!$C$27, 0.0021, 0)</f>
        <v>45.854399999999998</v>
      </c>
      <c r="F377" s="17">
        <f>45.8523 * CHOOSE(CONTROL!$C$9, $D$9, 100%, $F$9) + CHOOSE(CONTROL!$C$27, 0.0021, 0)</f>
        <v>45.854399999999998</v>
      </c>
      <c r="G377" s="17">
        <f>46.1236 * CHOOSE(CONTROL!$C$9, $D$9, 100%, $F$9) + CHOOSE(CONTROL!$C$27, 0.0021, 0)</f>
        <v>46.125700000000002</v>
      </c>
      <c r="H377" s="17">
        <f>45.9889 * CHOOSE(CONTROL!$C$9, $D$9, 100%, $F$9) + CHOOSE(CONTROL!$C$27, 0.0021, 0)</f>
        <v>45.991</v>
      </c>
      <c r="I377" s="17">
        <f>45.9889 * CHOOSE(CONTROL!$C$9, $D$9, 100%, $F$9) + CHOOSE(CONTROL!$C$27, 0.0021, 0)</f>
        <v>45.991</v>
      </c>
      <c r="J377" s="17">
        <f>45.9889 * CHOOSE(CONTROL!$C$9, $D$9, 100%, $F$9) + CHOOSE(CONTROL!$C$27, 0.0021, 0)</f>
        <v>45.991</v>
      </c>
      <c r="K377" s="17">
        <f>45.9889 * CHOOSE(CONTROL!$C$9, $D$9, 100%, $F$9) + CHOOSE(CONTROL!$C$27, 0.0021, 0)</f>
        <v>45.991</v>
      </c>
      <c r="L377" s="17"/>
    </row>
    <row r="378" spans="1:12" ht="15.75" x14ac:dyDescent="0.25">
      <c r="A378" s="14">
        <v>52443</v>
      </c>
      <c r="B378" s="17">
        <f>47.3071 * CHOOSE(CONTROL!$C$9, $D$9, 100%, $F$9) + CHOOSE(CONTROL!$C$27, 0.0021, 0)</f>
        <v>47.309199999999997</v>
      </c>
      <c r="C378" s="17">
        <f>46.8748 * CHOOSE(CONTROL!$C$9, $D$9, 100%, $F$9) + CHOOSE(CONTROL!$C$27, 0.0021, 0)</f>
        <v>46.876899999999999</v>
      </c>
      <c r="D378" s="17">
        <f>46.8748 * CHOOSE(CONTROL!$C$9, $D$9, 100%, $F$9) + CHOOSE(CONTROL!$C$27, 0.0021, 0)</f>
        <v>46.876899999999999</v>
      </c>
      <c r="E378" s="17">
        <f>46.7382 * CHOOSE(CONTROL!$C$9, $D$9, 100%, $F$9) + CHOOSE(CONTROL!$C$27, 0.0021, 0)</f>
        <v>46.740299999999998</v>
      </c>
      <c r="F378" s="17">
        <f>46.7382 * CHOOSE(CONTROL!$C$9, $D$9, 100%, $F$9) + CHOOSE(CONTROL!$C$27, 0.0021, 0)</f>
        <v>46.740299999999998</v>
      </c>
      <c r="G378" s="17">
        <f>47.0096 * CHOOSE(CONTROL!$C$9, $D$9, 100%, $F$9) + CHOOSE(CONTROL!$C$27, 0.0021, 0)</f>
        <v>47.011699999999998</v>
      </c>
      <c r="H378" s="17">
        <f>46.8748 * CHOOSE(CONTROL!$C$9, $D$9, 100%, $F$9) + CHOOSE(CONTROL!$C$27, 0.0021, 0)</f>
        <v>46.876899999999999</v>
      </c>
      <c r="I378" s="17">
        <f>46.8748 * CHOOSE(CONTROL!$C$9, $D$9, 100%, $F$9) + CHOOSE(CONTROL!$C$27, 0.0021, 0)</f>
        <v>46.876899999999999</v>
      </c>
      <c r="J378" s="17">
        <f>46.8748 * CHOOSE(CONTROL!$C$9, $D$9, 100%, $F$9) + CHOOSE(CONTROL!$C$27, 0.0021, 0)</f>
        <v>46.876899999999999</v>
      </c>
      <c r="K378" s="17">
        <f>46.8748 * CHOOSE(CONTROL!$C$9, $D$9, 100%, $F$9) + CHOOSE(CONTROL!$C$27, 0.0021, 0)</f>
        <v>46.876899999999999</v>
      </c>
      <c r="L378" s="17"/>
    </row>
    <row r="379" spans="1:12" ht="15.75" x14ac:dyDescent="0.25">
      <c r="A379" s="14">
        <v>52474</v>
      </c>
      <c r="B379" s="17">
        <f>47.5775 * CHOOSE(CONTROL!$C$9, $D$9, 100%, $F$9) + CHOOSE(CONTROL!$C$27, 0.0021, 0)</f>
        <v>47.579599999999999</v>
      </c>
      <c r="C379" s="17">
        <f>47.1453 * CHOOSE(CONTROL!$C$9, $D$9, 100%, $F$9) + CHOOSE(CONTROL!$C$27, 0.0021, 0)</f>
        <v>47.147399999999998</v>
      </c>
      <c r="D379" s="17">
        <f>47.1453 * CHOOSE(CONTROL!$C$9, $D$9, 100%, $F$9) + CHOOSE(CONTROL!$C$27, 0.0021, 0)</f>
        <v>47.147399999999998</v>
      </c>
      <c r="E379" s="17">
        <f>47.0086 * CHOOSE(CONTROL!$C$9, $D$9, 100%, $F$9) + CHOOSE(CONTROL!$C$27, 0.0021, 0)</f>
        <v>47.0107</v>
      </c>
      <c r="F379" s="17">
        <f>47.0086 * CHOOSE(CONTROL!$C$9, $D$9, 100%, $F$9) + CHOOSE(CONTROL!$C$27, 0.0021, 0)</f>
        <v>47.0107</v>
      </c>
      <c r="G379" s="17">
        <f>47.28 * CHOOSE(CONTROL!$C$9, $D$9, 100%, $F$9) + CHOOSE(CONTROL!$C$27, 0.0021, 0)</f>
        <v>47.2821</v>
      </c>
      <c r="H379" s="17">
        <f>47.1453 * CHOOSE(CONTROL!$C$9, $D$9, 100%, $F$9) + CHOOSE(CONTROL!$C$27, 0.0021, 0)</f>
        <v>47.147399999999998</v>
      </c>
      <c r="I379" s="17">
        <f>47.1453 * CHOOSE(CONTROL!$C$9, $D$9, 100%, $F$9) + CHOOSE(CONTROL!$C$27, 0.0021, 0)</f>
        <v>47.147399999999998</v>
      </c>
      <c r="J379" s="17">
        <f>47.1453 * CHOOSE(CONTROL!$C$9, $D$9, 100%, $F$9) + CHOOSE(CONTROL!$C$27, 0.0021, 0)</f>
        <v>47.147399999999998</v>
      </c>
      <c r="K379" s="17">
        <f>47.1453 * CHOOSE(CONTROL!$C$9, $D$9, 100%, $F$9) + CHOOSE(CONTROL!$C$27, 0.0021, 0)</f>
        <v>47.147399999999998</v>
      </c>
      <c r="L379" s="17"/>
    </row>
    <row r="380" spans="1:12" ht="15.75" x14ac:dyDescent="0.25">
      <c r="A380" s="14">
        <v>52504</v>
      </c>
      <c r="B380" s="17">
        <f>48.4984 * CHOOSE(CONTROL!$C$9, $D$9, 100%, $F$9) + CHOOSE(CONTROL!$C$27, 0.0021, 0)</f>
        <v>48.500499999999995</v>
      </c>
      <c r="C380" s="17">
        <f>48.0661 * CHOOSE(CONTROL!$C$9, $D$9, 100%, $F$9) + CHOOSE(CONTROL!$C$27, 0.0021, 0)</f>
        <v>48.068199999999997</v>
      </c>
      <c r="D380" s="17">
        <f>48.0661 * CHOOSE(CONTROL!$C$9, $D$9, 100%, $F$9) + CHOOSE(CONTROL!$C$27, 0.0021, 0)</f>
        <v>48.068199999999997</v>
      </c>
      <c r="E380" s="17">
        <f>47.9295 * CHOOSE(CONTROL!$C$9, $D$9, 100%, $F$9) + CHOOSE(CONTROL!$C$27, 0.0021, 0)</f>
        <v>47.931599999999996</v>
      </c>
      <c r="F380" s="17">
        <f>47.9295 * CHOOSE(CONTROL!$C$9, $D$9, 100%, $F$9) + CHOOSE(CONTROL!$C$27, 0.0021, 0)</f>
        <v>47.931599999999996</v>
      </c>
      <c r="G380" s="17">
        <f>48.2008 * CHOOSE(CONTROL!$C$9, $D$9, 100%, $F$9) + CHOOSE(CONTROL!$C$27, 0.0021, 0)</f>
        <v>48.2029</v>
      </c>
      <c r="H380" s="17">
        <f>48.0661 * CHOOSE(CONTROL!$C$9, $D$9, 100%, $F$9) + CHOOSE(CONTROL!$C$27, 0.0021, 0)</f>
        <v>48.068199999999997</v>
      </c>
      <c r="I380" s="17">
        <f>48.0661 * CHOOSE(CONTROL!$C$9, $D$9, 100%, $F$9) + CHOOSE(CONTROL!$C$27, 0.0021, 0)</f>
        <v>48.068199999999997</v>
      </c>
      <c r="J380" s="17">
        <f>48.0661 * CHOOSE(CONTROL!$C$9, $D$9, 100%, $F$9) + CHOOSE(CONTROL!$C$27, 0.0021, 0)</f>
        <v>48.068199999999997</v>
      </c>
      <c r="K380" s="17">
        <f>48.0661 * CHOOSE(CONTROL!$C$9, $D$9, 100%, $F$9) + CHOOSE(CONTROL!$C$27, 0.0021, 0)</f>
        <v>48.068199999999997</v>
      </c>
      <c r="L380" s="17"/>
    </row>
    <row r="381" spans="1:12" ht="15.75" x14ac:dyDescent="0.25">
      <c r="A381" s="14">
        <v>52535</v>
      </c>
      <c r="B381" s="17">
        <f>49.664 * CHOOSE(CONTROL!$C$9, $D$9, 100%, $F$9) + CHOOSE(CONTROL!$C$27, 0.0021, 0)</f>
        <v>49.6661</v>
      </c>
      <c r="C381" s="17">
        <f>49.2318 * CHOOSE(CONTROL!$C$9, $D$9, 100%, $F$9) + CHOOSE(CONTROL!$C$27, 0.0021, 0)</f>
        <v>49.233899999999998</v>
      </c>
      <c r="D381" s="17">
        <f>49.2318 * CHOOSE(CONTROL!$C$9, $D$9, 100%, $F$9) + CHOOSE(CONTROL!$C$27, 0.0021, 0)</f>
        <v>49.233899999999998</v>
      </c>
      <c r="E381" s="17">
        <f>49.0951 * CHOOSE(CONTROL!$C$9, $D$9, 100%, $F$9) + CHOOSE(CONTROL!$C$27, 0.0021, 0)</f>
        <v>49.097200000000001</v>
      </c>
      <c r="F381" s="17">
        <f>49.0951 * CHOOSE(CONTROL!$C$9, $D$9, 100%, $F$9) + CHOOSE(CONTROL!$C$27, 0.0021, 0)</f>
        <v>49.097200000000001</v>
      </c>
      <c r="G381" s="17">
        <f>49.3665 * CHOOSE(CONTROL!$C$9, $D$9, 100%, $F$9) + CHOOSE(CONTROL!$C$27, 0.0021, 0)</f>
        <v>49.368600000000001</v>
      </c>
      <c r="H381" s="17">
        <f>49.2318 * CHOOSE(CONTROL!$C$9, $D$9, 100%, $F$9) + CHOOSE(CONTROL!$C$27, 0.0021, 0)</f>
        <v>49.233899999999998</v>
      </c>
      <c r="I381" s="17">
        <f>49.2318 * CHOOSE(CONTROL!$C$9, $D$9, 100%, $F$9) + CHOOSE(CONTROL!$C$27, 0.0021, 0)</f>
        <v>49.233899999999998</v>
      </c>
      <c r="J381" s="17">
        <f>49.2318 * CHOOSE(CONTROL!$C$9, $D$9, 100%, $F$9) + CHOOSE(CONTROL!$C$27, 0.0021, 0)</f>
        <v>49.233899999999998</v>
      </c>
      <c r="K381" s="17">
        <f>49.2318 * CHOOSE(CONTROL!$C$9, $D$9, 100%, $F$9) + CHOOSE(CONTROL!$C$27, 0.0021, 0)</f>
        <v>49.233899999999998</v>
      </c>
      <c r="L381" s="17"/>
    </row>
    <row r="382" spans="1:12" ht="15.75" x14ac:dyDescent="0.25">
      <c r="A382" s="14">
        <v>52565</v>
      </c>
      <c r="B382" s="17">
        <f>49.7735 * CHOOSE(CONTROL!$C$9, $D$9, 100%, $F$9) + CHOOSE(CONTROL!$C$27, 0.0021, 0)</f>
        <v>49.775599999999997</v>
      </c>
      <c r="C382" s="17">
        <f>49.3412 * CHOOSE(CONTROL!$C$9, $D$9, 100%, $F$9) + CHOOSE(CONTROL!$C$27, 0.0021, 0)</f>
        <v>49.343299999999999</v>
      </c>
      <c r="D382" s="17">
        <f>49.3412 * CHOOSE(CONTROL!$C$9, $D$9, 100%, $F$9) + CHOOSE(CONTROL!$C$27, 0.0021, 0)</f>
        <v>49.343299999999999</v>
      </c>
      <c r="E382" s="17">
        <f>49.2046 * CHOOSE(CONTROL!$C$9, $D$9, 100%, $F$9) + CHOOSE(CONTROL!$C$27, 0.0021, 0)</f>
        <v>49.206699999999998</v>
      </c>
      <c r="F382" s="17">
        <f>49.2046 * CHOOSE(CONTROL!$C$9, $D$9, 100%, $F$9) + CHOOSE(CONTROL!$C$27, 0.0021, 0)</f>
        <v>49.206699999999998</v>
      </c>
      <c r="G382" s="17">
        <f>49.4759 * CHOOSE(CONTROL!$C$9, $D$9, 100%, $F$9) + CHOOSE(CONTROL!$C$27, 0.0021, 0)</f>
        <v>49.478000000000002</v>
      </c>
      <c r="H382" s="17">
        <f>49.3412 * CHOOSE(CONTROL!$C$9, $D$9, 100%, $F$9) + CHOOSE(CONTROL!$C$27, 0.0021, 0)</f>
        <v>49.343299999999999</v>
      </c>
      <c r="I382" s="17">
        <f>49.3412 * CHOOSE(CONTROL!$C$9, $D$9, 100%, $F$9) + CHOOSE(CONTROL!$C$27, 0.0021, 0)</f>
        <v>49.343299999999999</v>
      </c>
      <c r="J382" s="17">
        <f>49.3412 * CHOOSE(CONTROL!$C$9, $D$9, 100%, $F$9) + CHOOSE(CONTROL!$C$27, 0.0021, 0)</f>
        <v>49.343299999999999</v>
      </c>
      <c r="K382" s="17">
        <f>49.3412 * CHOOSE(CONTROL!$C$9, $D$9, 100%, $F$9) + CHOOSE(CONTROL!$C$27, 0.0021, 0)</f>
        <v>49.343299999999999</v>
      </c>
      <c r="L382" s="17"/>
    </row>
    <row r="383" spans="1:12" ht="15.75" x14ac:dyDescent="0.25">
      <c r="A383" s="14">
        <v>52596</v>
      </c>
      <c r="B383" s="17">
        <f>48.8425 * CHOOSE(CONTROL!$C$9, $D$9, 100%, $F$9) + CHOOSE(CONTROL!$C$27, 0.0021, 0)</f>
        <v>48.8446</v>
      </c>
      <c r="C383" s="17">
        <f>48.4102 * CHOOSE(CONTROL!$C$9, $D$9, 100%, $F$9) + CHOOSE(CONTROL!$C$27, 0.0021, 0)</f>
        <v>48.412300000000002</v>
      </c>
      <c r="D383" s="17">
        <f>48.4102 * CHOOSE(CONTROL!$C$9, $D$9, 100%, $F$9) + CHOOSE(CONTROL!$C$27, 0.0021, 0)</f>
        <v>48.412300000000002</v>
      </c>
      <c r="E383" s="17">
        <f>48.2736 * CHOOSE(CONTROL!$C$9, $D$9, 100%, $F$9) + CHOOSE(CONTROL!$C$27, 0.0021, 0)</f>
        <v>48.275700000000001</v>
      </c>
      <c r="F383" s="17">
        <f>48.2736 * CHOOSE(CONTROL!$C$9, $D$9, 100%, $F$9) + CHOOSE(CONTROL!$C$27, 0.0021, 0)</f>
        <v>48.275700000000001</v>
      </c>
      <c r="G383" s="17">
        <f>48.5449 * CHOOSE(CONTROL!$C$9, $D$9, 100%, $F$9) + CHOOSE(CONTROL!$C$27, 0.0021, 0)</f>
        <v>48.546999999999997</v>
      </c>
      <c r="H383" s="17">
        <f>48.4102 * CHOOSE(CONTROL!$C$9, $D$9, 100%, $F$9) + CHOOSE(CONTROL!$C$27, 0.0021, 0)</f>
        <v>48.412300000000002</v>
      </c>
      <c r="I383" s="17">
        <f>48.4102 * CHOOSE(CONTROL!$C$9, $D$9, 100%, $F$9) + CHOOSE(CONTROL!$C$27, 0.0021, 0)</f>
        <v>48.412300000000002</v>
      </c>
      <c r="J383" s="17">
        <f>48.4102 * CHOOSE(CONTROL!$C$9, $D$9, 100%, $F$9) + CHOOSE(CONTROL!$C$27, 0.0021, 0)</f>
        <v>48.412300000000002</v>
      </c>
      <c r="K383" s="17">
        <f>48.4102 * CHOOSE(CONTROL!$C$9, $D$9, 100%, $F$9) + CHOOSE(CONTROL!$C$27, 0.0021, 0)</f>
        <v>48.412300000000002</v>
      </c>
      <c r="L383" s="17"/>
    </row>
    <row r="384" spans="1:12" ht="15.75" x14ac:dyDescent="0.25">
      <c r="A384" s="14">
        <v>52627</v>
      </c>
      <c r="B384" s="17">
        <f>48.254 * CHOOSE(CONTROL!$C$9, $D$9, 100%, $F$9) + CHOOSE(CONTROL!$C$27, 0.0021, 0)</f>
        <v>48.256099999999996</v>
      </c>
      <c r="C384" s="17">
        <f>47.8218 * CHOOSE(CONTROL!$C$9, $D$9, 100%, $F$9) + CHOOSE(CONTROL!$C$27, 0.0021, 0)</f>
        <v>47.823900000000002</v>
      </c>
      <c r="D384" s="17">
        <f>47.8218 * CHOOSE(CONTROL!$C$9, $D$9, 100%, $F$9) + CHOOSE(CONTROL!$C$27, 0.0021, 0)</f>
        <v>47.823900000000002</v>
      </c>
      <c r="E384" s="17">
        <f>47.6851 * CHOOSE(CONTROL!$C$9, $D$9, 100%, $F$9) + CHOOSE(CONTROL!$C$27, 0.0021, 0)</f>
        <v>47.687199999999997</v>
      </c>
      <c r="F384" s="17">
        <f>47.6851 * CHOOSE(CONTROL!$C$9, $D$9, 100%, $F$9) + CHOOSE(CONTROL!$C$27, 0.0021, 0)</f>
        <v>47.687199999999997</v>
      </c>
      <c r="G384" s="17">
        <f>47.9565 * CHOOSE(CONTROL!$C$9, $D$9, 100%, $F$9) + CHOOSE(CONTROL!$C$27, 0.0021, 0)</f>
        <v>47.958599999999997</v>
      </c>
      <c r="H384" s="17">
        <f>47.8218 * CHOOSE(CONTROL!$C$9, $D$9, 100%, $F$9) + CHOOSE(CONTROL!$C$27, 0.0021, 0)</f>
        <v>47.823900000000002</v>
      </c>
      <c r="I384" s="17">
        <f>47.8218 * CHOOSE(CONTROL!$C$9, $D$9, 100%, $F$9) + CHOOSE(CONTROL!$C$27, 0.0021, 0)</f>
        <v>47.823900000000002</v>
      </c>
      <c r="J384" s="17">
        <f>47.8218 * CHOOSE(CONTROL!$C$9, $D$9, 100%, $F$9) + CHOOSE(CONTROL!$C$27, 0.0021, 0)</f>
        <v>47.823900000000002</v>
      </c>
      <c r="K384" s="17">
        <f>47.8218 * CHOOSE(CONTROL!$C$9, $D$9, 100%, $F$9) + CHOOSE(CONTROL!$C$27, 0.0021, 0)</f>
        <v>47.823900000000002</v>
      </c>
      <c r="L384" s="17"/>
    </row>
    <row r="385" spans="1:12" ht="15.75" x14ac:dyDescent="0.25">
      <c r="A385" s="14">
        <v>52655</v>
      </c>
      <c r="B385" s="17">
        <f>46.954 * CHOOSE(CONTROL!$C$9, $D$9, 100%, $F$9) + CHOOSE(CONTROL!$C$27, 0.0021, 0)</f>
        <v>46.956099999999999</v>
      </c>
      <c r="C385" s="17">
        <f>46.5218 * CHOOSE(CONTROL!$C$9, $D$9, 100%, $F$9) + CHOOSE(CONTROL!$C$27, 0.0021, 0)</f>
        <v>46.523899999999998</v>
      </c>
      <c r="D385" s="17">
        <f>46.5218 * CHOOSE(CONTROL!$C$9, $D$9, 100%, $F$9) + CHOOSE(CONTROL!$C$27, 0.0021, 0)</f>
        <v>46.523899999999998</v>
      </c>
      <c r="E385" s="17">
        <f>46.3851 * CHOOSE(CONTROL!$C$9, $D$9, 100%, $F$9) + CHOOSE(CONTROL!$C$27, 0.0021, 0)</f>
        <v>46.3872</v>
      </c>
      <c r="F385" s="17">
        <f>46.3851 * CHOOSE(CONTROL!$C$9, $D$9, 100%, $F$9) + CHOOSE(CONTROL!$C$27, 0.0021, 0)</f>
        <v>46.3872</v>
      </c>
      <c r="G385" s="17">
        <f>46.6565 * CHOOSE(CONTROL!$C$9, $D$9, 100%, $F$9) + CHOOSE(CONTROL!$C$27, 0.0021, 0)</f>
        <v>46.6586</v>
      </c>
      <c r="H385" s="17">
        <f>46.5218 * CHOOSE(CONTROL!$C$9, $D$9, 100%, $F$9) + CHOOSE(CONTROL!$C$27, 0.0021, 0)</f>
        <v>46.523899999999998</v>
      </c>
      <c r="I385" s="17">
        <f>46.5218 * CHOOSE(CONTROL!$C$9, $D$9, 100%, $F$9) + CHOOSE(CONTROL!$C$27, 0.0021, 0)</f>
        <v>46.523899999999998</v>
      </c>
      <c r="J385" s="17">
        <f>46.5218 * CHOOSE(CONTROL!$C$9, $D$9, 100%, $F$9) + CHOOSE(CONTROL!$C$27, 0.0021, 0)</f>
        <v>46.523899999999998</v>
      </c>
      <c r="K385" s="17">
        <f>46.5218 * CHOOSE(CONTROL!$C$9, $D$9, 100%, $F$9) + CHOOSE(CONTROL!$C$27, 0.0021, 0)</f>
        <v>46.523899999999998</v>
      </c>
      <c r="L385" s="17"/>
    </row>
    <row r="386" spans="1:12" ht="15.75" x14ac:dyDescent="0.25">
      <c r="A386" s="14">
        <v>52687</v>
      </c>
      <c r="B386" s="17">
        <f>46.4173 * CHOOSE(CONTROL!$C$9, $D$9, 100%, $F$9) + CHOOSE(CONTROL!$C$27, 0.0021, 0)</f>
        <v>46.419399999999996</v>
      </c>
      <c r="C386" s="17">
        <f>45.9851 * CHOOSE(CONTROL!$C$9, $D$9, 100%, $F$9) + CHOOSE(CONTROL!$C$27, 0.0021, 0)</f>
        <v>45.987200000000001</v>
      </c>
      <c r="D386" s="17">
        <f>45.9851 * CHOOSE(CONTROL!$C$9, $D$9, 100%, $F$9) + CHOOSE(CONTROL!$C$27, 0.0021, 0)</f>
        <v>45.987200000000001</v>
      </c>
      <c r="E386" s="17">
        <f>45.8484 * CHOOSE(CONTROL!$C$9, $D$9, 100%, $F$9) + CHOOSE(CONTROL!$C$27, 0.0021, 0)</f>
        <v>45.850499999999997</v>
      </c>
      <c r="F386" s="17">
        <f>45.8484 * CHOOSE(CONTROL!$C$9, $D$9, 100%, $F$9) + CHOOSE(CONTROL!$C$27, 0.0021, 0)</f>
        <v>45.850499999999997</v>
      </c>
      <c r="G386" s="17">
        <f>46.1198 * CHOOSE(CONTROL!$C$9, $D$9, 100%, $F$9) + CHOOSE(CONTROL!$C$27, 0.0021, 0)</f>
        <v>46.121899999999997</v>
      </c>
      <c r="H386" s="17">
        <f>45.9851 * CHOOSE(CONTROL!$C$9, $D$9, 100%, $F$9) + CHOOSE(CONTROL!$C$27, 0.0021, 0)</f>
        <v>45.987200000000001</v>
      </c>
      <c r="I386" s="17">
        <f>45.9851 * CHOOSE(CONTROL!$C$9, $D$9, 100%, $F$9) + CHOOSE(CONTROL!$C$27, 0.0021, 0)</f>
        <v>45.987200000000001</v>
      </c>
      <c r="J386" s="17">
        <f>45.9851 * CHOOSE(CONTROL!$C$9, $D$9, 100%, $F$9) + CHOOSE(CONTROL!$C$27, 0.0021, 0)</f>
        <v>45.987200000000001</v>
      </c>
      <c r="K386" s="17">
        <f>45.9851 * CHOOSE(CONTROL!$C$9, $D$9, 100%, $F$9) + CHOOSE(CONTROL!$C$27, 0.0021, 0)</f>
        <v>45.987200000000001</v>
      </c>
      <c r="L386" s="17"/>
    </row>
    <row r="387" spans="1:12" ht="15.75" x14ac:dyDescent="0.25">
      <c r="A387" s="14">
        <v>52717</v>
      </c>
      <c r="B387" s="17">
        <f>45.7766 * CHOOSE(CONTROL!$C$9, $D$9, 100%, $F$9) + CHOOSE(CONTROL!$C$27, 0.0021, 0)</f>
        <v>45.778700000000001</v>
      </c>
      <c r="C387" s="17">
        <f>45.3443 * CHOOSE(CONTROL!$C$9, $D$9, 100%, $F$9) + CHOOSE(CONTROL!$C$27, 0.0021, 0)</f>
        <v>45.346399999999996</v>
      </c>
      <c r="D387" s="17">
        <f>45.3443 * CHOOSE(CONTROL!$C$9, $D$9, 100%, $F$9) + CHOOSE(CONTROL!$C$27, 0.0021, 0)</f>
        <v>45.346399999999996</v>
      </c>
      <c r="E387" s="17">
        <f>45.2077 * CHOOSE(CONTROL!$C$9, $D$9, 100%, $F$9) + CHOOSE(CONTROL!$C$27, 0.0021, 0)</f>
        <v>45.209800000000001</v>
      </c>
      <c r="F387" s="17">
        <f>45.2077 * CHOOSE(CONTROL!$C$9, $D$9, 100%, $F$9) + CHOOSE(CONTROL!$C$27, 0.0021, 0)</f>
        <v>45.209800000000001</v>
      </c>
      <c r="G387" s="17">
        <f>45.479 * CHOOSE(CONTROL!$C$9, $D$9, 100%, $F$9) + CHOOSE(CONTROL!$C$27, 0.0021, 0)</f>
        <v>45.481099999999998</v>
      </c>
      <c r="H387" s="17">
        <f>45.3443 * CHOOSE(CONTROL!$C$9, $D$9, 100%, $F$9) + CHOOSE(CONTROL!$C$27, 0.0021, 0)</f>
        <v>45.346399999999996</v>
      </c>
      <c r="I387" s="17">
        <f>45.3443 * CHOOSE(CONTROL!$C$9, $D$9, 100%, $F$9) + CHOOSE(CONTROL!$C$27, 0.0021, 0)</f>
        <v>45.346399999999996</v>
      </c>
      <c r="J387" s="17">
        <f>45.3443 * CHOOSE(CONTROL!$C$9, $D$9, 100%, $F$9) + CHOOSE(CONTROL!$C$27, 0.0021, 0)</f>
        <v>45.346399999999996</v>
      </c>
      <c r="K387" s="17">
        <f>45.3443 * CHOOSE(CONTROL!$C$9, $D$9, 100%, $F$9) + CHOOSE(CONTROL!$C$27, 0.0021, 0)</f>
        <v>45.346399999999996</v>
      </c>
      <c r="L387" s="17"/>
    </row>
    <row r="388" spans="1:12" ht="15.75" x14ac:dyDescent="0.25">
      <c r="A388" s="14">
        <v>52748</v>
      </c>
      <c r="B388" s="17">
        <f>46.6897 * CHOOSE(CONTROL!$C$9, $D$9, 100%, $F$9) + CHOOSE(CONTROL!$C$27, 0.0021, 0)</f>
        <v>46.691800000000001</v>
      </c>
      <c r="C388" s="17">
        <f>46.2575 * CHOOSE(CONTROL!$C$9, $D$9, 100%, $F$9) + CHOOSE(CONTROL!$C$27, 0.0021, 0)</f>
        <v>46.259599999999999</v>
      </c>
      <c r="D388" s="17">
        <f>46.2575 * CHOOSE(CONTROL!$C$9, $D$9, 100%, $F$9) + CHOOSE(CONTROL!$C$27, 0.0021, 0)</f>
        <v>46.259599999999999</v>
      </c>
      <c r="E388" s="17">
        <f>46.1208 * CHOOSE(CONTROL!$C$9, $D$9, 100%, $F$9) + CHOOSE(CONTROL!$C$27, 0.0021, 0)</f>
        <v>46.122900000000001</v>
      </c>
      <c r="F388" s="17">
        <f>46.1208 * CHOOSE(CONTROL!$C$9, $D$9, 100%, $F$9) + CHOOSE(CONTROL!$C$27, 0.0021, 0)</f>
        <v>46.122900000000001</v>
      </c>
      <c r="G388" s="17">
        <f>46.3922 * CHOOSE(CONTROL!$C$9, $D$9, 100%, $F$9) + CHOOSE(CONTROL!$C$27, 0.0021, 0)</f>
        <v>46.394300000000001</v>
      </c>
      <c r="H388" s="17">
        <f>46.2575 * CHOOSE(CONTROL!$C$9, $D$9, 100%, $F$9) + CHOOSE(CONTROL!$C$27, 0.0021, 0)</f>
        <v>46.259599999999999</v>
      </c>
      <c r="I388" s="17">
        <f>46.2575 * CHOOSE(CONTROL!$C$9, $D$9, 100%, $F$9) + CHOOSE(CONTROL!$C$27, 0.0021, 0)</f>
        <v>46.259599999999999</v>
      </c>
      <c r="J388" s="17">
        <f>46.2575 * CHOOSE(CONTROL!$C$9, $D$9, 100%, $F$9) + CHOOSE(CONTROL!$C$27, 0.0021, 0)</f>
        <v>46.259599999999999</v>
      </c>
      <c r="K388" s="17">
        <f>46.2575 * CHOOSE(CONTROL!$C$9, $D$9, 100%, $F$9) + CHOOSE(CONTROL!$C$27, 0.0021, 0)</f>
        <v>46.259599999999999</v>
      </c>
      <c r="L388" s="17"/>
    </row>
    <row r="389" spans="1:12" ht="15.75" x14ac:dyDescent="0.25">
      <c r="A389" s="14">
        <v>52778</v>
      </c>
      <c r="B389" s="17">
        <f>47.2367 * CHOOSE(CONTROL!$C$9, $D$9, 100%, $F$9) + CHOOSE(CONTROL!$C$27, 0.0021, 0)</f>
        <v>47.238799999999998</v>
      </c>
      <c r="C389" s="17">
        <f>46.8045 * CHOOSE(CONTROL!$C$9, $D$9, 100%, $F$9) + CHOOSE(CONTROL!$C$27, 0.0021, 0)</f>
        <v>46.806599999999996</v>
      </c>
      <c r="D389" s="17">
        <f>46.8045 * CHOOSE(CONTROL!$C$9, $D$9, 100%, $F$9) + CHOOSE(CONTROL!$C$27, 0.0021, 0)</f>
        <v>46.806599999999996</v>
      </c>
      <c r="E389" s="17">
        <f>46.6678 * CHOOSE(CONTROL!$C$9, $D$9, 100%, $F$9) + CHOOSE(CONTROL!$C$27, 0.0021, 0)</f>
        <v>46.669899999999998</v>
      </c>
      <c r="F389" s="17">
        <f>46.6678 * CHOOSE(CONTROL!$C$9, $D$9, 100%, $F$9) + CHOOSE(CONTROL!$C$27, 0.0021, 0)</f>
        <v>46.669899999999998</v>
      </c>
      <c r="G389" s="17">
        <f>46.9392 * CHOOSE(CONTROL!$C$9, $D$9, 100%, $F$9) + CHOOSE(CONTROL!$C$27, 0.0021, 0)</f>
        <v>46.941299999999998</v>
      </c>
      <c r="H389" s="17">
        <f>46.8045 * CHOOSE(CONTROL!$C$9, $D$9, 100%, $F$9) + CHOOSE(CONTROL!$C$27, 0.0021, 0)</f>
        <v>46.806599999999996</v>
      </c>
      <c r="I389" s="17">
        <f>46.8045 * CHOOSE(CONTROL!$C$9, $D$9, 100%, $F$9) + CHOOSE(CONTROL!$C$27, 0.0021, 0)</f>
        <v>46.806599999999996</v>
      </c>
      <c r="J389" s="17">
        <f>46.8045 * CHOOSE(CONTROL!$C$9, $D$9, 100%, $F$9) + CHOOSE(CONTROL!$C$27, 0.0021, 0)</f>
        <v>46.806599999999996</v>
      </c>
      <c r="K389" s="17">
        <f>46.8045 * CHOOSE(CONTROL!$C$9, $D$9, 100%, $F$9) + CHOOSE(CONTROL!$C$27, 0.0021, 0)</f>
        <v>46.806599999999996</v>
      </c>
      <c r="L389" s="17"/>
    </row>
    <row r="390" spans="1:12" ht="15.75" x14ac:dyDescent="0.25">
      <c r="A390" s="14">
        <v>52809</v>
      </c>
      <c r="B390" s="17">
        <f>48.139 * CHOOSE(CONTROL!$C$9, $D$9, 100%, $F$9) + CHOOSE(CONTROL!$C$27, 0.0021, 0)</f>
        <v>48.141100000000002</v>
      </c>
      <c r="C390" s="17">
        <f>47.7068 * CHOOSE(CONTROL!$C$9, $D$9, 100%, $F$9) + CHOOSE(CONTROL!$C$27, 0.0021, 0)</f>
        <v>47.7089</v>
      </c>
      <c r="D390" s="17">
        <f>47.7068 * CHOOSE(CONTROL!$C$9, $D$9, 100%, $F$9) + CHOOSE(CONTROL!$C$27, 0.0021, 0)</f>
        <v>47.7089</v>
      </c>
      <c r="E390" s="17">
        <f>47.5701 * CHOOSE(CONTROL!$C$9, $D$9, 100%, $F$9) + CHOOSE(CONTROL!$C$27, 0.0021, 0)</f>
        <v>47.572199999999995</v>
      </c>
      <c r="F390" s="17">
        <f>47.5701 * CHOOSE(CONTROL!$C$9, $D$9, 100%, $F$9) + CHOOSE(CONTROL!$C$27, 0.0021, 0)</f>
        <v>47.572199999999995</v>
      </c>
      <c r="G390" s="17">
        <f>47.8415 * CHOOSE(CONTROL!$C$9, $D$9, 100%, $F$9) + CHOOSE(CONTROL!$C$27, 0.0021, 0)</f>
        <v>47.843600000000002</v>
      </c>
      <c r="H390" s="17">
        <f>47.7068 * CHOOSE(CONTROL!$C$9, $D$9, 100%, $F$9) + CHOOSE(CONTROL!$C$27, 0.0021, 0)</f>
        <v>47.7089</v>
      </c>
      <c r="I390" s="17">
        <f>47.7068 * CHOOSE(CONTROL!$C$9, $D$9, 100%, $F$9) + CHOOSE(CONTROL!$C$27, 0.0021, 0)</f>
        <v>47.7089</v>
      </c>
      <c r="J390" s="17">
        <f>47.7068 * CHOOSE(CONTROL!$C$9, $D$9, 100%, $F$9) + CHOOSE(CONTROL!$C$27, 0.0021, 0)</f>
        <v>47.7089</v>
      </c>
      <c r="K390" s="17">
        <f>47.7068 * CHOOSE(CONTROL!$C$9, $D$9, 100%, $F$9) + CHOOSE(CONTROL!$C$27, 0.0021, 0)</f>
        <v>47.7089</v>
      </c>
      <c r="L390" s="17"/>
    </row>
    <row r="391" spans="1:12" ht="15.75" x14ac:dyDescent="0.25">
      <c r="A391" s="14">
        <v>52840</v>
      </c>
      <c r="B391" s="17">
        <f>48.4144 * CHOOSE(CONTROL!$C$9, $D$9, 100%, $F$9) + CHOOSE(CONTROL!$C$27, 0.0021, 0)</f>
        <v>48.416499999999999</v>
      </c>
      <c r="C391" s="17">
        <f>47.9822 * CHOOSE(CONTROL!$C$9, $D$9, 100%, $F$9) + CHOOSE(CONTROL!$C$27, 0.0021, 0)</f>
        <v>47.984299999999998</v>
      </c>
      <c r="D391" s="17">
        <f>47.9822 * CHOOSE(CONTROL!$C$9, $D$9, 100%, $F$9) + CHOOSE(CONTROL!$C$27, 0.0021, 0)</f>
        <v>47.984299999999998</v>
      </c>
      <c r="E391" s="17">
        <f>47.8455 * CHOOSE(CONTROL!$C$9, $D$9, 100%, $F$9) + CHOOSE(CONTROL!$C$27, 0.0021, 0)</f>
        <v>47.8476</v>
      </c>
      <c r="F391" s="17">
        <f>47.8455 * CHOOSE(CONTROL!$C$9, $D$9, 100%, $F$9) + CHOOSE(CONTROL!$C$27, 0.0021, 0)</f>
        <v>47.8476</v>
      </c>
      <c r="G391" s="17">
        <f>48.1169 * CHOOSE(CONTROL!$C$9, $D$9, 100%, $F$9) + CHOOSE(CONTROL!$C$27, 0.0021, 0)</f>
        <v>48.119</v>
      </c>
      <c r="H391" s="17">
        <f>47.9822 * CHOOSE(CONTROL!$C$9, $D$9, 100%, $F$9) + CHOOSE(CONTROL!$C$27, 0.0021, 0)</f>
        <v>47.984299999999998</v>
      </c>
      <c r="I391" s="17">
        <f>47.9822 * CHOOSE(CONTROL!$C$9, $D$9, 100%, $F$9) + CHOOSE(CONTROL!$C$27, 0.0021, 0)</f>
        <v>47.984299999999998</v>
      </c>
      <c r="J391" s="17">
        <f>47.9822 * CHOOSE(CONTROL!$C$9, $D$9, 100%, $F$9) + CHOOSE(CONTROL!$C$27, 0.0021, 0)</f>
        <v>47.984299999999998</v>
      </c>
      <c r="K391" s="17">
        <f>47.9822 * CHOOSE(CONTROL!$C$9, $D$9, 100%, $F$9) + CHOOSE(CONTROL!$C$27, 0.0021, 0)</f>
        <v>47.984299999999998</v>
      </c>
      <c r="L391" s="17"/>
    </row>
    <row r="392" spans="1:12" ht="15.75" x14ac:dyDescent="0.25">
      <c r="A392" s="14">
        <v>52870</v>
      </c>
      <c r="B392" s="17">
        <f>49.3523 * CHOOSE(CONTROL!$C$9, $D$9, 100%, $F$9) + CHOOSE(CONTROL!$C$27, 0.0021, 0)</f>
        <v>49.354399999999998</v>
      </c>
      <c r="C392" s="17">
        <f>48.9201 * CHOOSE(CONTROL!$C$9, $D$9, 100%, $F$9) + CHOOSE(CONTROL!$C$27, 0.0021, 0)</f>
        <v>48.922199999999997</v>
      </c>
      <c r="D392" s="17">
        <f>48.9201 * CHOOSE(CONTROL!$C$9, $D$9, 100%, $F$9) + CHOOSE(CONTROL!$C$27, 0.0021, 0)</f>
        <v>48.922199999999997</v>
      </c>
      <c r="E392" s="17">
        <f>48.7834 * CHOOSE(CONTROL!$C$9, $D$9, 100%, $F$9) + CHOOSE(CONTROL!$C$27, 0.0021, 0)</f>
        <v>48.785499999999999</v>
      </c>
      <c r="F392" s="17">
        <f>48.7834 * CHOOSE(CONTROL!$C$9, $D$9, 100%, $F$9) + CHOOSE(CONTROL!$C$27, 0.0021, 0)</f>
        <v>48.785499999999999</v>
      </c>
      <c r="G392" s="17">
        <f>49.0548 * CHOOSE(CONTROL!$C$9, $D$9, 100%, $F$9) + CHOOSE(CONTROL!$C$27, 0.0021, 0)</f>
        <v>49.056899999999999</v>
      </c>
      <c r="H392" s="17">
        <f>48.9201 * CHOOSE(CONTROL!$C$9, $D$9, 100%, $F$9) + CHOOSE(CONTROL!$C$27, 0.0021, 0)</f>
        <v>48.922199999999997</v>
      </c>
      <c r="I392" s="17">
        <f>48.9201 * CHOOSE(CONTROL!$C$9, $D$9, 100%, $F$9) + CHOOSE(CONTROL!$C$27, 0.0021, 0)</f>
        <v>48.922199999999997</v>
      </c>
      <c r="J392" s="17">
        <f>48.9201 * CHOOSE(CONTROL!$C$9, $D$9, 100%, $F$9) + CHOOSE(CONTROL!$C$27, 0.0021, 0)</f>
        <v>48.922199999999997</v>
      </c>
      <c r="K392" s="17">
        <f>48.9201 * CHOOSE(CONTROL!$C$9, $D$9, 100%, $F$9) + CHOOSE(CONTROL!$C$27, 0.0021, 0)</f>
        <v>48.922199999999997</v>
      </c>
      <c r="L392" s="17"/>
    </row>
    <row r="393" spans="1:12" ht="15.75" x14ac:dyDescent="0.25">
      <c r="A393" s="14">
        <v>52901</v>
      </c>
      <c r="B393" s="17">
        <f>50.5395 * CHOOSE(CONTROL!$C$9, $D$9, 100%, $F$9) + CHOOSE(CONTROL!$C$27, 0.0021, 0)</f>
        <v>50.541599999999995</v>
      </c>
      <c r="C393" s="17">
        <f>50.1073 * CHOOSE(CONTROL!$C$9, $D$9, 100%, $F$9) + CHOOSE(CONTROL!$C$27, 0.0021, 0)</f>
        <v>50.109400000000001</v>
      </c>
      <c r="D393" s="17">
        <f>50.1073 * CHOOSE(CONTROL!$C$9, $D$9, 100%, $F$9) + CHOOSE(CONTROL!$C$27, 0.0021, 0)</f>
        <v>50.109400000000001</v>
      </c>
      <c r="E393" s="17">
        <f>49.9706 * CHOOSE(CONTROL!$C$9, $D$9, 100%, $F$9) + CHOOSE(CONTROL!$C$27, 0.0021, 0)</f>
        <v>49.972699999999996</v>
      </c>
      <c r="F393" s="17">
        <f>49.9706 * CHOOSE(CONTROL!$C$9, $D$9, 100%, $F$9) + CHOOSE(CONTROL!$C$27, 0.0021, 0)</f>
        <v>49.972699999999996</v>
      </c>
      <c r="G393" s="17">
        <f>50.242 * CHOOSE(CONTROL!$C$9, $D$9, 100%, $F$9) + CHOOSE(CONTROL!$C$27, 0.0021, 0)</f>
        <v>50.244099999999996</v>
      </c>
      <c r="H393" s="17">
        <f>50.1073 * CHOOSE(CONTROL!$C$9, $D$9, 100%, $F$9) + CHOOSE(CONTROL!$C$27, 0.0021, 0)</f>
        <v>50.109400000000001</v>
      </c>
      <c r="I393" s="17">
        <f>50.1073 * CHOOSE(CONTROL!$C$9, $D$9, 100%, $F$9) + CHOOSE(CONTROL!$C$27, 0.0021, 0)</f>
        <v>50.109400000000001</v>
      </c>
      <c r="J393" s="17">
        <f>50.1073 * CHOOSE(CONTROL!$C$9, $D$9, 100%, $F$9) + CHOOSE(CONTROL!$C$27, 0.0021, 0)</f>
        <v>50.109400000000001</v>
      </c>
      <c r="K393" s="17">
        <f>50.1073 * CHOOSE(CONTROL!$C$9, $D$9, 100%, $F$9) + CHOOSE(CONTROL!$C$27, 0.0021, 0)</f>
        <v>50.109400000000001</v>
      </c>
      <c r="L393" s="17"/>
    </row>
    <row r="394" spans="1:12" ht="15.75" x14ac:dyDescent="0.25">
      <c r="A394" s="14">
        <v>52931</v>
      </c>
      <c r="B394" s="17">
        <f>50.651 * CHOOSE(CONTROL!$C$9, $D$9, 100%, $F$9) + CHOOSE(CONTROL!$C$27, 0.0021, 0)</f>
        <v>50.653100000000002</v>
      </c>
      <c r="C394" s="17">
        <f>50.2187 * CHOOSE(CONTROL!$C$9, $D$9, 100%, $F$9) + CHOOSE(CONTROL!$C$27, 0.0021, 0)</f>
        <v>50.220799999999997</v>
      </c>
      <c r="D394" s="17">
        <f>50.2187 * CHOOSE(CONTROL!$C$9, $D$9, 100%, $F$9) + CHOOSE(CONTROL!$C$27, 0.0021, 0)</f>
        <v>50.220799999999997</v>
      </c>
      <c r="E394" s="17">
        <f>50.0821 * CHOOSE(CONTROL!$C$9, $D$9, 100%, $F$9) + CHOOSE(CONTROL!$C$27, 0.0021, 0)</f>
        <v>50.084199999999996</v>
      </c>
      <c r="F394" s="17">
        <f>50.0821 * CHOOSE(CONTROL!$C$9, $D$9, 100%, $F$9) + CHOOSE(CONTROL!$C$27, 0.0021, 0)</f>
        <v>50.084199999999996</v>
      </c>
      <c r="G394" s="17">
        <f>50.3534 * CHOOSE(CONTROL!$C$9, $D$9, 100%, $F$9) + CHOOSE(CONTROL!$C$27, 0.0021, 0)</f>
        <v>50.355499999999999</v>
      </c>
      <c r="H394" s="17">
        <f>50.2187 * CHOOSE(CONTROL!$C$9, $D$9, 100%, $F$9) + CHOOSE(CONTROL!$C$27, 0.0021, 0)</f>
        <v>50.220799999999997</v>
      </c>
      <c r="I394" s="17">
        <f>50.2187 * CHOOSE(CONTROL!$C$9, $D$9, 100%, $F$9) + CHOOSE(CONTROL!$C$27, 0.0021, 0)</f>
        <v>50.220799999999997</v>
      </c>
      <c r="J394" s="17">
        <f>50.2187 * CHOOSE(CONTROL!$C$9, $D$9, 100%, $F$9) + CHOOSE(CONTROL!$C$27, 0.0021, 0)</f>
        <v>50.220799999999997</v>
      </c>
      <c r="K394" s="17">
        <f>50.2187 * CHOOSE(CONTROL!$C$9, $D$9, 100%, $F$9) + CHOOSE(CONTROL!$C$27, 0.0021, 0)</f>
        <v>50.220799999999997</v>
      </c>
      <c r="L394" s="17"/>
    </row>
    <row r="395" spans="1:12" ht="15.75" x14ac:dyDescent="0.25">
      <c r="A395" s="14">
        <v>52962</v>
      </c>
      <c r="B395" s="17">
        <f>49.7028 * CHOOSE(CONTROL!$C$9, $D$9, 100%, $F$9) + CHOOSE(CONTROL!$C$27, 0.0021, 0)</f>
        <v>49.704900000000002</v>
      </c>
      <c r="C395" s="17">
        <f>49.2705 * CHOOSE(CONTROL!$C$9, $D$9, 100%, $F$9) + CHOOSE(CONTROL!$C$27, 0.0021, 0)</f>
        <v>49.272599999999997</v>
      </c>
      <c r="D395" s="17">
        <f>49.2705 * CHOOSE(CONTROL!$C$9, $D$9, 100%, $F$9) + CHOOSE(CONTROL!$C$27, 0.0021, 0)</f>
        <v>49.272599999999997</v>
      </c>
      <c r="E395" s="17">
        <f>49.1339 * CHOOSE(CONTROL!$C$9, $D$9, 100%, $F$9) + CHOOSE(CONTROL!$C$27, 0.0021, 0)</f>
        <v>49.135999999999996</v>
      </c>
      <c r="F395" s="17">
        <f>49.1339 * CHOOSE(CONTROL!$C$9, $D$9, 100%, $F$9) + CHOOSE(CONTROL!$C$27, 0.0021, 0)</f>
        <v>49.135999999999996</v>
      </c>
      <c r="G395" s="17">
        <f>49.4052 * CHOOSE(CONTROL!$C$9, $D$9, 100%, $F$9) + CHOOSE(CONTROL!$C$27, 0.0021, 0)</f>
        <v>49.407299999999999</v>
      </c>
      <c r="H395" s="17">
        <f>49.2705 * CHOOSE(CONTROL!$C$9, $D$9, 100%, $F$9) + CHOOSE(CONTROL!$C$27, 0.0021, 0)</f>
        <v>49.272599999999997</v>
      </c>
      <c r="I395" s="17">
        <f>49.2705 * CHOOSE(CONTROL!$C$9, $D$9, 100%, $F$9) + CHOOSE(CONTROL!$C$27, 0.0021, 0)</f>
        <v>49.272599999999997</v>
      </c>
      <c r="J395" s="17">
        <f>49.2705 * CHOOSE(CONTROL!$C$9, $D$9, 100%, $F$9) + CHOOSE(CONTROL!$C$27, 0.0021, 0)</f>
        <v>49.272599999999997</v>
      </c>
      <c r="K395" s="17">
        <f>49.2705 * CHOOSE(CONTROL!$C$9, $D$9, 100%, $F$9) + CHOOSE(CONTROL!$C$27, 0.0021, 0)</f>
        <v>49.272599999999997</v>
      </c>
      <c r="L395" s="17"/>
    </row>
    <row r="396" spans="1:12" ht="15.75" x14ac:dyDescent="0.25">
      <c r="A396" s="14">
        <v>52993</v>
      </c>
      <c r="B396" s="17">
        <f>49.1034 * CHOOSE(CONTROL!$C$9, $D$9, 100%, $F$9) + CHOOSE(CONTROL!$C$27, 0.0021, 0)</f>
        <v>49.105499999999999</v>
      </c>
      <c r="C396" s="17">
        <f>48.6712 * CHOOSE(CONTROL!$C$9, $D$9, 100%, $F$9) + CHOOSE(CONTROL!$C$27, 0.0021, 0)</f>
        <v>48.673299999999998</v>
      </c>
      <c r="D396" s="17">
        <f>48.6712 * CHOOSE(CONTROL!$C$9, $D$9, 100%, $F$9) + CHOOSE(CONTROL!$C$27, 0.0021, 0)</f>
        <v>48.673299999999998</v>
      </c>
      <c r="E396" s="17">
        <f>48.5345 * CHOOSE(CONTROL!$C$9, $D$9, 100%, $F$9) + CHOOSE(CONTROL!$C$27, 0.0021, 0)</f>
        <v>48.5366</v>
      </c>
      <c r="F396" s="17">
        <f>48.5345 * CHOOSE(CONTROL!$C$9, $D$9, 100%, $F$9) + CHOOSE(CONTROL!$C$27, 0.0021, 0)</f>
        <v>48.5366</v>
      </c>
      <c r="G396" s="17">
        <f>48.8059 * CHOOSE(CONTROL!$C$9, $D$9, 100%, $F$9) + CHOOSE(CONTROL!$C$27, 0.0021, 0)</f>
        <v>48.808</v>
      </c>
      <c r="H396" s="17">
        <f>48.6712 * CHOOSE(CONTROL!$C$9, $D$9, 100%, $F$9) + CHOOSE(CONTROL!$C$27, 0.0021, 0)</f>
        <v>48.673299999999998</v>
      </c>
      <c r="I396" s="17">
        <f>48.6712 * CHOOSE(CONTROL!$C$9, $D$9, 100%, $F$9) + CHOOSE(CONTROL!$C$27, 0.0021, 0)</f>
        <v>48.673299999999998</v>
      </c>
      <c r="J396" s="17">
        <f>48.6712 * CHOOSE(CONTROL!$C$9, $D$9, 100%, $F$9) + CHOOSE(CONTROL!$C$27, 0.0021, 0)</f>
        <v>48.673299999999998</v>
      </c>
      <c r="K396" s="17">
        <f>48.6712 * CHOOSE(CONTROL!$C$9, $D$9, 100%, $F$9) + CHOOSE(CONTROL!$C$27, 0.0021, 0)</f>
        <v>48.673299999999998</v>
      </c>
      <c r="L396" s="17"/>
    </row>
    <row r="397" spans="1:12" ht="15.75" x14ac:dyDescent="0.25">
      <c r="A397" s="14">
        <v>53021</v>
      </c>
      <c r="B397" s="17">
        <f>47.7794 * CHOOSE(CONTROL!$C$9, $D$9, 100%, $F$9) + CHOOSE(CONTROL!$C$27, 0.0021, 0)</f>
        <v>47.781500000000001</v>
      </c>
      <c r="C397" s="17">
        <f>47.3471 * CHOOSE(CONTROL!$C$9, $D$9, 100%, $F$9) + CHOOSE(CONTROL!$C$27, 0.0021, 0)</f>
        <v>47.349199999999996</v>
      </c>
      <c r="D397" s="17">
        <f>47.3471 * CHOOSE(CONTROL!$C$9, $D$9, 100%, $F$9) + CHOOSE(CONTROL!$C$27, 0.0021, 0)</f>
        <v>47.349199999999996</v>
      </c>
      <c r="E397" s="17">
        <f>47.2105 * CHOOSE(CONTROL!$C$9, $D$9, 100%, $F$9) + CHOOSE(CONTROL!$C$27, 0.0021, 0)</f>
        <v>47.212600000000002</v>
      </c>
      <c r="F397" s="17">
        <f>47.2105 * CHOOSE(CONTROL!$C$9, $D$9, 100%, $F$9) + CHOOSE(CONTROL!$C$27, 0.0021, 0)</f>
        <v>47.212600000000002</v>
      </c>
      <c r="G397" s="17">
        <f>47.4818 * CHOOSE(CONTROL!$C$9, $D$9, 100%, $F$9) + CHOOSE(CONTROL!$C$27, 0.0021, 0)</f>
        <v>47.483899999999998</v>
      </c>
      <c r="H397" s="17">
        <f>47.3471 * CHOOSE(CONTROL!$C$9, $D$9, 100%, $F$9) + CHOOSE(CONTROL!$C$27, 0.0021, 0)</f>
        <v>47.349199999999996</v>
      </c>
      <c r="I397" s="17">
        <f>47.3471 * CHOOSE(CONTROL!$C$9, $D$9, 100%, $F$9) + CHOOSE(CONTROL!$C$27, 0.0021, 0)</f>
        <v>47.349199999999996</v>
      </c>
      <c r="J397" s="17">
        <f>47.3471 * CHOOSE(CONTROL!$C$9, $D$9, 100%, $F$9) + CHOOSE(CONTROL!$C$27, 0.0021, 0)</f>
        <v>47.349199999999996</v>
      </c>
      <c r="K397" s="17">
        <f>47.3471 * CHOOSE(CONTROL!$C$9, $D$9, 100%, $F$9) + CHOOSE(CONTROL!$C$27, 0.0021, 0)</f>
        <v>47.349199999999996</v>
      </c>
      <c r="L397" s="17"/>
    </row>
    <row r="398" spans="1:12" ht="15.75" x14ac:dyDescent="0.25">
      <c r="A398" s="14">
        <v>53052</v>
      </c>
      <c r="B398" s="17">
        <f>47.2328 * CHOOSE(CONTROL!$C$9, $D$9, 100%, $F$9) + CHOOSE(CONTROL!$C$27, 0.0021, 0)</f>
        <v>47.234899999999996</v>
      </c>
      <c r="C398" s="17">
        <f>46.8006 * CHOOSE(CONTROL!$C$9, $D$9, 100%, $F$9) + CHOOSE(CONTROL!$C$27, 0.0021, 0)</f>
        <v>46.802700000000002</v>
      </c>
      <c r="D398" s="17">
        <f>46.8006 * CHOOSE(CONTROL!$C$9, $D$9, 100%, $F$9) + CHOOSE(CONTROL!$C$27, 0.0021, 0)</f>
        <v>46.802700000000002</v>
      </c>
      <c r="E398" s="17">
        <f>46.6639 * CHOOSE(CONTROL!$C$9, $D$9, 100%, $F$9) + CHOOSE(CONTROL!$C$27, 0.0021, 0)</f>
        <v>46.665999999999997</v>
      </c>
      <c r="F398" s="17">
        <f>46.6639 * CHOOSE(CONTROL!$C$9, $D$9, 100%, $F$9) + CHOOSE(CONTROL!$C$27, 0.0021, 0)</f>
        <v>46.665999999999997</v>
      </c>
      <c r="G398" s="17">
        <f>46.9353 * CHOOSE(CONTROL!$C$9, $D$9, 100%, $F$9) + CHOOSE(CONTROL!$C$27, 0.0021, 0)</f>
        <v>46.937399999999997</v>
      </c>
      <c r="H398" s="17">
        <f>46.8006 * CHOOSE(CONTROL!$C$9, $D$9, 100%, $F$9) + CHOOSE(CONTROL!$C$27, 0.0021, 0)</f>
        <v>46.802700000000002</v>
      </c>
      <c r="I398" s="17">
        <f>46.8006 * CHOOSE(CONTROL!$C$9, $D$9, 100%, $F$9) + CHOOSE(CONTROL!$C$27, 0.0021, 0)</f>
        <v>46.802700000000002</v>
      </c>
      <c r="J398" s="17">
        <f>46.8006 * CHOOSE(CONTROL!$C$9, $D$9, 100%, $F$9) + CHOOSE(CONTROL!$C$27, 0.0021, 0)</f>
        <v>46.802700000000002</v>
      </c>
      <c r="K398" s="17">
        <f>46.8006 * CHOOSE(CONTROL!$C$9, $D$9, 100%, $F$9) + CHOOSE(CONTROL!$C$27, 0.0021, 0)</f>
        <v>46.802700000000002</v>
      </c>
      <c r="L398" s="17"/>
    </row>
    <row r="399" spans="1:12" ht="15.75" x14ac:dyDescent="0.25">
      <c r="A399" s="14">
        <v>53082</v>
      </c>
      <c r="B399" s="17">
        <f>46.5802 * CHOOSE(CONTROL!$C$9, $D$9, 100%, $F$9) + CHOOSE(CONTROL!$C$27, 0.0021, 0)</f>
        <v>46.582299999999996</v>
      </c>
      <c r="C399" s="17">
        <f>46.1479 * CHOOSE(CONTROL!$C$9, $D$9, 100%, $F$9) + CHOOSE(CONTROL!$C$27, 0.0021, 0)</f>
        <v>46.15</v>
      </c>
      <c r="D399" s="17">
        <f>46.1479 * CHOOSE(CONTROL!$C$9, $D$9, 100%, $F$9) + CHOOSE(CONTROL!$C$27, 0.0021, 0)</f>
        <v>46.15</v>
      </c>
      <c r="E399" s="17">
        <f>46.0113 * CHOOSE(CONTROL!$C$9, $D$9, 100%, $F$9) + CHOOSE(CONTROL!$C$27, 0.0021, 0)</f>
        <v>46.013399999999997</v>
      </c>
      <c r="F399" s="17">
        <f>46.0113 * CHOOSE(CONTROL!$C$9, $D$9, 100%, $F$9) + CHOOSE(CONTROL!$C$27, 0.0021, 0)</f>
        <v>46.013399999999997</v>
      </c>
      <c r="G399" s="17">
        <f>46.2827 * CHOOSE(CONTROL!$C$9, $D$9, 100%, $F$9) + CHOOSE(CONTROL!$C$27, 0.0021, 0)</f>
        <v>46.284799999999997</v>
      </c>
      <c r="H399" s="17">
        <f>46.1479 * CHOOSE(CONTROL!$C$9, $D$9, 100%, $F$9) + CHOOSE(CONTROL!$C$27, 0.0021, 0)</f>
        <v>46.15</v>
      </c>
      <c r="I399" s="17">
        <f>46.1479 * CHOOSE(CONTROL!$C$9, $D$9, 100%, $F$9) + CHOOSE(CONTROL!$C$27, 0.0021, 0)</f>
        <v>46.15</v>
      </c>
      <c r="J399" s="17">
        <f>46.1479 * CHOOSE(CONTROL!$C$9, $D$9, 100%, $F$9) + CHOOSE(CONTROL!$C$27, 0.0021, 0)</f>
        <v>46.15</v>
      </c>
      <c r="K399" s="17">
        <f>46.1479 * CHOOSE(CONTROL!$C$9, $D$9, 100%, $F$9) + CHOOSE(CONTROL!$C$27, 0.0021, 0)</f>
        <v>46.15</v>
      </c>
      <c r="L399" s="17"/>
    </row>
    <row r="400" spans="1:12" ht="15.75" x14ac:dyDescent="0.25">
      <c r="A400" s="14">
        <v>53113</v>
      </c>
      <c r="B400" s="17">
        <f>47.5102 * CHOOSE(CONTROL!$C$9, $D$9, 100%, $F$9) + CHOOSE(CONTROL!$C$27, 0.0021, 0)</f>
        <v>47.512299999999996</v>
      </c>
      <c r="C400" s="17">
        <f>47.078 * CHOOSE(CONTROL!$C$9, $D$9, 100%, $F$9) + CHOOSE(CONTROL!$C$27, 0.0021, 0)</f>
        <v>47.080100000000002</v>
      </c>
      <c r="D400" s="17">
        <f>47.078 * CHOOSE(CONTROL!$C$9, $D$9, 100%, $F$9) + CHOOSE(CONTROL!$C$27, 0.0021, 0)</f>
        <v>47.080100000000002</v>
      </c>
      <c r="E400" s="17">
        <f>46.9413 * CHOOSE(CONTROL!$C$9, $D$9, 100%, $F$9) + CHOOSE(CONTROL!$C$27, 0.0021, 0)</f>
        <v>46.943399999999997</v>
      </c>
      <c r="F400" s="17">
        <f>46.9413 * CHOOSE(CONTROL!$C$9, $D$9, 100%, $F$9) + CHOOSE(CONTROL!$C$27, 0.0021, 0)</f>
        <v>46.943399999999997</v>
      </c>
      <c r="G400" s="17">
        <f>47.2127 * CHOOSE(CONTROL!$C$9, $D$9, 100%, $F$9) + CHOOSE(CONTROL!$C$27, 0.0021, 0)</f>
        <v>47.214799999999997</v>
      </c>
      <c r="H400" s="17">
        <f>47.078 * CHOOSE(CONTROL!$C$9, $D$9, 100%, $F$9) + CHOOSE(CONTROL!$C$27, 0.0021, 0)</f>
        <v>47.080100000000002</v>
      </c>
      <c r="I400" s="17">
        <f>47.078 * CHOOSE(CONTROL!$C$9, $D$9, 100%, $F$9) + CHOOSE(CONTROL!$C$27, 0.0021, 0)</f>
        <v>47.080100000000002</v>
      </c>
      <c r="J400" s="17">
        <f>47.078 * CHOOSE(CONTROL!$C$9, $D$9, 100%, $F$9) + CHOOSE(CONTROL!$C$27, 0.0021, 0)</f>
        <v>47.080100000000002</v>
      </c>
      <c r="K400" s="17">
        <f>47.078 * CHOOSE(CONTROL!$C$9, $D$9, 100%, $F$9) + CHOOSE(CONTROL!$C$27, 0.0021, 0)</f>
        <v>47.080100000000002</v>
      </c>
      <c r="L400" s="17"/>
    </row>
    <row r="401" spans="1:12" ht="15.75" x14ac:dyDescent="0.25">
      <c r="A401" s="14">
        <v>53143</v>
      </c>
      <c r="B401" s="17">
        <f>48.0673 * CHOOSE(CONTROL!$C$9, $D$9, 100%, $F$9) + CHOOSE(CONTROL!$C$27, 0.0021, 0)</f>
        <v>48.069400000000002</v>
      </c>
      <c r="C401" s="17">
        <f>47.6351 * CHOOSE(CONTROL!$C$9, $D$9, 100%, $F$9) + CHOOSE(CONTROL!$C$27, 0.0021, 0)</f>
        <v>47.6372</v>
      </c>
      <c r="D401" s="17">
        <f>47.6351 * CHOOSE(CONTROL!$C$9, $D$9, 100%, $F$9) + CHOOSE(CONTROL!$C$27, 0.0021, 0)</f>
        <v>47.6372</v>
      </c>
      <c r="E401" s="17">
        <f>47.4984 * CHOOSE(CONTROL!$C$9, $D$9, 100%, $F$9) + CHOOSE(CONTROL!$C$27, 0.0021, 0)</f>
        <v>47.500499999999995</v>
      </c>
      <c r="F401" s="17">
        <f>47.4984 * CHOOSE(CONTROL!$C$9, $D$9, 100%, $F$9) + CHOOSE(CONTROL!$C$27, 0.0021, 0)</f>
        <v>47.500499999999995</v>
      </c>
      <c r="G401" s="17">
        <f>47.7698 * CHOOSE(CONTROL!$C$9, $D$9, 100%, $F$9) + CHOOSE(CONTROL!$C$27, 0.0021, 0)</f>
        <v>47.771899999999995</v>
      </c>
      <c r="H401" s="17">
        <f>47.6351 * CHOOSE(CONTROL!$C$9, $D$9, 100%, $F$9) + CHOOSE(CONTROL!$C$27, 0.0021, 0)</f>
        <v>47.6372</v>
      </c>
      <c r="I401" s="17">
        <f>47.6351 * CHOOSE(CONTROL!$C$9, $D$9, 100%, $F$9) + CHOOSE(CONTROL!$C$27, 0.0021, 0)</f>
        <v>47.6372</v>
      </c>
      <c r="J401" s="17">
        <f>47.6351 * CHOOSE(CONTROL!$C$9, $D$9, 100%, $F$9) + CHOOSE(CONTROL!$C$27, 0.0021, 0)</f>
        <v>47.6372</v>
      </c>
      <c r="K401" s="17">
        <f>47.6351 * CHOOSE(CONTROL!$C$9, $D$9, 100%, $F$9) + CHOOSE(CONTROL!$C$27, 0.0021, 0)</f>
        <v>47.6372</v>
      </c>
      <c r="L401" s="17"/>
    </row>
    <row r="402" spans="1:12" ht="15.75" x14ac:dyDescent="0.25">
      <c r="A402" s="14">
        <v>53174</v>
      </c>
      <c r="B402" s="17">
        <f>48.9863 * CHOOSE(CONTROL!$C$9, $D$9, 100%, $F$9) + CHOOSE(CONTROL!$C$27, 0.0021, 0)</f>
        <v>48.988399999999999</v>
      </c>
      <c r="C402" s="17">
        <f>48.554 * CHOOSE(CONTROL!$C$9, $D$9, 100%, $F$9) + CHOOSE(CONTROL!$C$27, 0.0021, 0)</f>
        <v>48.556100000000001</v>
      </c>
      <c r="D402" s="17">
        <f>48.554 * CHOOSE(CONTROL!$C$9, $D$9, 100%, $F$9) + CHOOSE(CONTROL!$C$27, 0.0021, 0)</f>
        <v>48.556100000000001</v>
      </c>
      <c r="E402" s="17">
        <f>48.4174 * CHOOSE(CONTROL!$C$9, $D$9, 100%, $F$9) + CHOOSE(CONTROL!$C$27, 0.0021, 0)</f>
        <v>48.419499999999999</v>
      </c>
      <c r="F402" s="17">
        <f>48.4174 * CHOOSE(CONTROL!$C$9, $D$9, 100%, $F$9) + CHOOSE(CONTROL!$C$27, 0.0021, 0)</f>
        <v>48.419499999999999</v>
      </c>
      <c r="G402" s="17">
        <f>48.6888 * CHOOSE(CONTROL!$C$9, $D$9, 100%, $F$9) + CHOOSE(CONTROL!$C$27, 0.0021, 0)</f>
        <v>48.690899999999999</v>
      </c>
      <c r="H402" s="17">
        <f>48.554 * CHOOSE(CONTROL!$C$9, $D$9, 100%, $F$9) + CHOOSE(CONTROL!$C$27, 0.0021, 0)</f>
        <v>48.556100000000001</v>
      </c>
      <c r="I402" s="17">
        <f>48.554 * CHOOSE(CONTROL!$C$9, $D$9, 100%, $F$9) + CHOOSE(CONTROL!$C$27, 0.0021, 0)</f>
        <v>48.556100000000001</v>
      </c>
      <c r="J402" s="17">
        <f>48.554 * CHOOSE(CONTROL!$C$9, $D$9, 100%, $F$9) + CHOOSE(CONTROL!$C$27, 0.0021, 0)</f>
        <v>48.556100000000001</v>
      </c>
      <c r="K402" s="17">
        <f>48.554 * CHOOSE(CONTROL!$C$9, $D$9, 100%, $F$9) + CHOOSE(CONTROL!$C$27, 0.0021, 0)</f>
        <v>48.556100000000001</v>
      </c>
      <c r="L402" s="17"/>
    </row>
    <row r="403" spans="1:12" ht="15.75" x14ac:dyDescent="0.25">
      <c r="A403" s="14">
        <v>53205</v>
      </c>
      <c r="B403" s="17">
        <f>49.2668 * CHOOSE(CONTROL!$C$9, $D$9, 100%, $F$9) + CHOOSE(CONTROL!$C$27, 0.0021, 0)</f>
        <v>49.268900000000002</v>
      </c>
      <c r="C403" s="17">
        <f>48.8345 * CHOOSE(CONTROL!$C$9, $D$9, 100%, $F$9) + CHOOSE(CONTROL!$C$27, 0.0021, 0)</f>
        <v>48.836599999999997</v>
      </c>
      <c r="D403" s="17">
        <f>48.8345 * CHOOSE(CONTROL!$C$9, $D$9, 100%, $F$9) + CHOOSE(CONTROL!$C$27, 0.0021, 0)</f>
        <v>48.836599999999997</v>
      </c>
      <c r="E403" s="17">
        <f>48.6979 * CHOOSE(CONTROL!$C$9, $D$9, 100%, $F$9) + CHOOSE(CONTROL!$C$27, 0.0021, 0)</f>
        <v>48.699999999999996</v>
      </c>
      <c r="F403" s="17">
        <f>48.6979 * CHOOSE(CONTROL!$C$9, $D$9, 100%, $F$9) + CHOOSE(CONTROL!$C$27, 0.0021, 0)</f>
        <v>48.699999999999996</v>
      </c>
      <c r="G403" s="17">
        <f>48.9692 * CHOOSE(CONTROL!$C$9, $D$9, 100%, $F$9) + CHOOSE(CONTROL!$C$27, 0.0021, 0)</f>
        <v>48.971299999999999</v>
      </c>
      <c r="H403" s="17">
        <f>48.8345 * CHOOSE(CONTROL!$C$9, $D$9, 100%, $F$9) + CHOOSE(CONTROL!$C$27, 0.0021, 0)</f>
        <v>48.836599999999997</v>
      </c>
      <c r="I403" s="17">
        <f>48.8345 * CHOOSE(CONTROL!$C$9, $D$9, 100%, $F$9) + CHOOSE(CONTROL!$C$27, 0.0021, 0)</f>
        <v>48.836599999999997</v>
      </c>
      <c r="J403" s="17">
        <f>48.8345 * CHOOSE(CONTROL!$C$9, $D$9, 100%, $F$9) + CHOOSE(CONTROL!$C$27, 0.0021, 0)</f>
        <v>48.836599999999997</v>
      </c>
      <c r="K403" s="17">
        <f>48.8345 * CHOOSE(CONTROL!$C$9, $D$9, 100%, $F$9) + CHOOSE(CONTROL!$C$27, 0.0021, 0)</f>
        <v>48.836599999999997</v>
      </c>
      <c r="L403" s="17"/>
    </row>
    <row r="404" spans="1:12" ht="15.75" x14ac:dyDescent="0.25">
      <c r="A404" s="14">
        <v>53235</v>
      </c>
      <c r="B404" s="17">
        <f>50.222 * CHOOSE(CONTROL!$C$9, $D$9, 100%, $F$9) + CHOOSE(CONTROL!$C$27, 0.0021, 0)</f>
        <v>50.2241</v>
      </c>
      <c r="C404" s="17">
        <f>49.7898 * CHOOSE(CONTROL!$C$9, $D$9, 100%, $F$9) + CHOOSE(CONTROL!$C$27, 0.0021, 0)</f>
        <v>49.791899999999998</v>
      </c>
      <c r="D404" s="17">
        <f>49.7898 * CHOOSE(CONTROL!$C$9, $D$9, 100%, $F$9) + CHOOSE(CONTROL!$C$27, 0.0021, 0)</f>
        <v>49.791899999999998</v>
      </c>
      <c r="E404" s="17">
        <f>49.6531 * CHOOSE(CONTROL!$C$9, $D$9, 100%, $F$9) + CHOOSE(CONTROL!$C$27, 0.0021, 0)</f>
        <v>49.655200000000001</v>
      </c>
      <c r="F404" s="17">
        <f>49.6531 * CHOOSE(CONTROL!$C$9, $D$9, 100%, $F$9) + CHOOSE(CONTROL!$C$27, 0.0021, 0)</f>
        <v>49.655200000000001</v>
      </c>
      <c r="G404" s="17">
        <f>49.9245 * CHOOSE(CONTROL!$C$9, $D$9, 100%, $F$9) + CHOOSE(CONTROL!$C$27, 0.0021, 0)</f>
        <v>49.926600000000001</v>
      </c>
      <c r="H404" s="17">
        <f>49.7898 * CHOOSE(CONTROL!$C$9, $D$9, 100%, $F$9) + CHOOSE(CONTROL!$C$27, 0.0021, 0)</f>
        <v>49.791899999999998</v>
      </c>
      <c r="I404" s="17">
        <f>49.7898 * CHOOSE(CONTROL!$C$9, $D$9, 100%, $F$9) + CHOOSE(CONTROL!$C$27, 0.0021, 0)</f>
        <v>49.791899999999998</v>
      </c>
      <c r="J404" s="17">
        <f>49.7898 * CHOOSE(CONTROL!$C$9, $D$9, 100%, $F$9) + CHOOSE(CONTROL!$C$27, 0.0021, 0)</f>
        <v>49.791899999999998</v>
      </c>
      <c r="K404" s="17">
        <f>49.7898 * CHOOSE(CONTROL!$C$9, $D$9, 100%, $F$9) + CHOOSE(CONTROL!$C$27, 0.0021, 0)</f>
        <v>49.791899999999998</v>
      </c>
      <c r="L404" s="17"/>
    </row>
    <row r="405" spans="1:12" ht="15.75" x14ac:dyDescent="0.25">
      <c r="A405" s="14">
        <v>53266</v>
      </c>
      <c r="B405" s="17">
        <f>51.4311 * CHOOSE(CONTROL!$C$9, $D$9, 100%, $F$9) + CHOOSE(CONTROL!$C$27, 0.0021, 0)</f>
        <v>51.433199999999999</v>
      </c>
      <c r="C405" s="17">
        <f>50.9989 * CHOOSE(CONTROL!$C$9, $D$9, 100%, $F$9) + CHOOSE(CONTROL!$C$27, 0.0021, 0)</f>
        <v>51.000999999999998</v>
      </c>
      <c r="D405" s="17">
        <f>50.9989 * CHOOSE(CONTROL!$C$9, $D$9, 100%, $F$9) + CHOOSE(CONTROL!$C$27, 0.0021, 0)</f>
        <v>51.000999999999998</v>
      </c>
      <c r="E405" s="17">
        <f>50.8622 * CHOOSE(CONTROL!$C$9, $D$9, 100%, $F$9) + CHOOSE(CONTROL!$C$27, 0.0021, 0)</f>
        <v>50.8643</v>
      </c>
      <c r="F405" s="17">
        <f>50.8622 * CHOOSE(CONTROL!$C$9, $D$9, 100%, $F$9) + CHOOSE(CONTROL!$C$27, 0.0021, 0)</f>
        <v>50.8643</v>
      </c>
      <c r="G405" s="17">
        <f>51.1336 * CHOOSE(CONTROL!$C$9, $D$9, 100%, $F$9) + CHOOSE(CONTROL!$C$27, 0.0021, 0)</f>
        <v>51.1357</v>
      </c>
      <c r="H405" s="17">
        <f>50.9989 * CHOOSE(CONTROL!$C$9, $D$9, 100%, $F$9) + CHOOSE(CONTROL!$C$27, 0.0021, 0)</f>
        <v>51.000999999999998</v>
      </c>
      <c r="I405" s="17">
        <f>50.9989 * CHOOSE(CONTROL!$C$9, $D$9, 100%, $F$9) + CHOOSE(CONTROL!$C$27, 0.0021, 0)</f>
        <v>51.000999999999998</v>
      </c>
      <c r="J405" s="17">
        <f>50.9989 * CHOOSE(CONTROL!$C$9, $D$9, 100%, $F$9) + CHOOSE(CONTROL!$C$27, 0.0021, 0)</f>
        <v>51.000999999999998</v>
      </c>
      <c r="K405" s="17">
        <f>50.9989 * CHOOSE(CONTROL!$C$9, $D$9, 100%, $F$9) + CHOOSE(CONTROL!$C$27, 0.0021, 0)</f>
        <v>51.000999999999998</v>
      </c>
      <c r="L405" s="17"/>
    </row>
    <row r="406" spans="1:12" ht="15.75" x14ac:dyDescent="0.25">
      <c r="A406" s="14">
        <v>53296</v>
      </c>
      <c r="B406" s="17">
        <f>51.5447 * CHOOSE(CONTROL!$C$9, $D$9, 100%, $F$9) + CHOOSE(CONTROL!$C$27, 0.0021, 0)</f>
        <v>51.546799999999998</v>
      </c>
      <c r="C406" s="17">
        <f>51.1124 * CHOOSE(CONTROL!$C$9, $D$9, 100%, $F$9) + CHOOSE(CONTROL!$C$27, 0.0021, 0)</f>
        <v>51.1145</v>
      </c>
      <c r="D406" s="17">
        <f>51.1124 * CHOOSE(CONTROL!$C$9, $D$9, 100%, $F$9) + CHOOSE(CONTROL!$C$27, 0.0021, 0)</f>
        <v>51.1145</v>
      </c>
      <c r="E406" s="17">
        <f>50.9758 * CHOOSE(CONTROL!$C$9, $D$9, 100%, $F$9) + CHOOSE(CONTROL!$C$27, 0.0021, 0)</f>
        <v>50.977899999999998</v>
      </c>
      <c r="F406" s="17">
        <f>50.9758 * CHOOSE(CONTROL!$C$9, $D$9, 100%, $F$9) + CHOOSE(CONTROL!$C$27, 0.0021, 0)</f>
        <v>50.977899999999998</v>
      </c>
      <c r="G406" s="17">
        <f>51.2471 * CHOOSE(CONTROL!$C$9, $D$9, 100%, $F$9) + CHOOSE(CONTROL!$C$27, 0.0021, 0)</f>
        <v>51.249200000000002</v>
      </c>
      <c r="H406" s="17">
        <f>51.1124 * CHOOSE(CONTROL!$C$9, $D$9, 100%, $F$9) + CHOOSE(CONTROL!$C$27, 0.0021, 0)</f>
        <v>51.1145</v>
      </c>
      <c r="I406" s="17">
        <f>51.1124 * CHOOSE(CONTROL!$C$9, $D$9, 100%, $F$9) + CHOOSE(CONTROL!$C$27, 0.0021, 0)</f>
        <v>51.1145</v>
      </c>
      <c r="J406" s="17">
        <f>51.1124 * CHOOSE(CONTROL!$C$9, $D$9, 100%, $F$9) + CHOOSE(CONTROL!$C$27, 0.0021, 0)</f>
        <v>51.1145</v>
      </c>
      <c r="K406" s="17">
        <f>51.1124 * CHOOSE(CONTROL!$C$9, $D$9, 100%, $F$9) + CHOOSE(CONTROL!$C$27, 0.0021, 0)</f>
        <v>51.1145</v>
      </c>
      <c r="L406" s="17"/>
    </row>
    <row r="407" spans="1:12" ht="15.75" x14ac:dyDescent="0.25">
      <c r="A407" s="14">
        <v>53327</v>
      </c>
      <c r="B407" s="17">
        <f>50.5789 * CHOOSE(CONTROL!$C$9, $D$9, 100%, $F$9) + CHOOSE(CONTROL!$C$27, 0.0021, 0)</f>
        <v>50.580999999999996</v>
      </c>
      <c r="C407" s="17">
        <f>50.1467 * CHOOSE(CONTROL!$C$9, $D$9, 100%, $F$9) + CHOOSE(CONTROL!$C$27, 0.0021, 0)</f>
        <v>50.148800000000001</v>
      </c>
      <c r="D407" s="17">
        <f>50.1467 * CHOOSE(CONTROL!$C$9, $D$9, 100%, $F$9) + CHOOSE(CONTROL!$C$27, 0.0021, 0)</f>
        <v>50.148800000000001</v>
      </c>
      <c r="E407" s="17">
        <f>50.01 * CHOOSE(CONTROL!$C$9, $D$9, 100%, $F$9) + CHOOSE(CONTROL!$C$27, 0.0021, 0)</f>
        <v>50.012099999999997</v>
      </c>
      <c r="F407" s="17">
        <f>50.01 * CHOOSE(CONTROL!$C$9, $D$9, 100%, $F$9) + CHOOSE(CONTROL!$C$27, 0.0021, 0)</f>
        <v>50.012099999999997</v>
      </c>
      <c r="G407" s="17">
        <f>50.2814 * CHOOSE(CONTROL!$C$9, $D$9, 100%, $F$9) + CHOOSE(CONTROL!$C$27, 0.0021, 0)</f>
        <v>50.283499999999997</v>
      </c>
      <c r="H407" s="17">
        <f>50.1467 * CHOOSE(CONTROL!$C$9, $D$9, 100%, $F$9) + CHOOSE(CONTROL!$C$27, 0.0021, 0)</f>
        <v>50.148800000000001</v>
      </c>
      <c r="I407" s="17">
        <f>50.1467 * CHOOSE(CONTROL!$C$9, $D$9, 100%, $F$9) + CHOOSE(CONTROL!$C$27, 0.0021, 0)</f>
        <v>50.148800000000001</v>
      </c>
      <c r="J407" s="17">
        <f>50.1467 * CHOOSE(CONTROL!$C$9, $D$9, 100%, $F$9) + CHOOSE(CONTROL!$C$27, 0.0021, 0)</f>
        <v>50.148800000000001</v>
      </c>
      <c r="K407" s="17">
        <f>50.1467 * CHOOSE(CONTROL!$C$9, $D$9, 100%, $F$9) + CHOOSE(CONTROL!$C$27, 0.0021, 0)</f>
        <v>50.148800000000001</v>
      </c>
      <c r="L407" s="17"/>
    </row>
    <row r="408" spans="1:12" ht="15.75" x14ac:dyDescent="0.25">
      <c r="A408" s="14">
        <v>53358</v>
      </c>
      <c r="B408" s="17">
        <f>49.9686 * CHOOSE(CONTROL!$C$9, $D$9, 100%, $F$9) + CHOOSE(CONTROL!$C$27, 0.0021, 0)</f>
        <v>49.970700000000001</v>
      </c>
      <c r="C408" s="17">
        <f>49.5363 * CHOOSE(CONTROL!$C$9, $D$9, 100%, $F$9) + CHOOSE(CONTROL!$C$27, 0.0021, 0)</f>
        <v>49.538399999999996</v>
      </c>
      <c r="D408" s="17">
        <f>49.5363 * CHOOSE(CONTROL!$C$9, $D$9, 100%, $F$9) + CHOOSE(CONTROL!$C$27, 0.0021, 0)</f>
        <v>49.538399999999996</v>
      </c>
      <c r="E408" s="17">
        <f>49.3996 * CHOOSE(CONTROL!$C$9, $D$9, 100%, $F$9) + CHOOSE(CONTROL!$C$27, 0.0021, 0)</f>
        <v>49.401699999999998</v>
      </c>
      <c r="F408" s="17">
        <f>49.3996 * CHOOSE(CONTROL!$C$9, $D$9, 100%, $F$9) + CHOOSE(CONTROL!$C$27, 0.0021, 0)</f>
        <v>49.401699999999998</v>
      </c>
      <c r="G408" s="17">
        <f>49.671 * CHOOSE(CONTROL!$C$9, $D$9, 100%, $F$9) + CHOOSE(CONTROL!$C$27, 0.0021, 0)</f>
        <v>49.673099999999998</v>
      </c>
      <c r="H408" s="17">
        <f>49.5363 * CHOOSE(CONTROL!$C$9, $D$9, 100%, $F$9) + CHOOSE(CONTROL!$C$27, 0.0021, 0)</f>
        <v>49.538399999999996</v>
      </c>
      <c r="I408" s="17">
        <f>49.5363 * CHOOSE(CONTROL!$C$9, $D$9, 100%, $F$9) + CHOOSE(CONTROL!$C$27, 0.0021, 0)</f>
        <v>49.538399999999996</v>
      </c>
      <c r="J408" s="17">
        <f>49.5363 * CHOOSE(CONTROL!$C$9, $D$9, 100%, $F$9) + CHOOSE(CONTROL!$C$27, 0.0021, 0)</f>
        <v>49.538399999999996</v>
      </c>
      <c r="K408" s="17">
        <f>49.5363 * CHOOSE(CONTROL!$C$9, $D$9, 100%, $F$9) + CHOOSE(CONTROL!$C$27, 0.0021, 0)</f>
        <v>49.538399999999996</v>
      </c>
      <c r="L408" s="17"/>
    </row>
    <row r="409" spans="1:12" ht="15.75" x14ac:dyDescent="0.25">
      <c r="A409" s="14">
        <v>53386</v>
      </c>
      <c r="B409" s="17">
        <f>48.62 * CHOOSE(CONTROL!$C$9, $D$9, 100%, $F$9) + CHOOSE(CONTROL!$C$27, 0.0021, 0)</f>
        <v>48.622099999999996</v>
      </c>
      <c r="C409" s="17">
        <f>48.1878 * CHOOSE(CONTROL!$C$9, $D$9, 100%, $F$9) + CHOOSE(CONTROL!$C$27, 0.0021, 0)</f>
        <v>48.189900000000002</v>
      </c>
      <c r="D409" s="17">
        <f>48.1878 * CHOOSE(CONTROL!$C$9, $D$9, 100%, $F$9) + CHOOSE(CONTROL!$C$27, 0.0021, 0)</f>
        <v>48.189900000000002</v>
      </c>
      <c r="E409" s="17">
        <f>48.0511 * CHOOSE(CONTROL!$C$9, $D$9, 100%, $F$9) + CHOOSE(CONTROL!$C$27, 0.0021, 0)</f>
        <v>48.053199999999997</v>
      </c>
      <c r="F409" s="17">
        <f>48.0511 * CHOOSE(CONTROL!$C$9, $D$9, 100%, $F$9) + CHOOSE(CONTROL!$C$27, 0.0021, 0)</f>
        <v>48.053199999999997</v>
      </c>
      <c r="G409" s="17">
        <f>48.3225 * CHOOSE(CONTROL!$C$9, $D$9, 100%, $F$9) + CHOOSE(CONTROL!$C$27, 0.0021, 0)</f>
        <v>48.324599999999997</v>
      </c>
      <c r="H409" s="17">
        <f>48.1878 * CHOOSE(CONTROL!$C$9, $D$9, 100%, $F$9) + CHOOSE(CONTROL!$C$27, 0.0021, 0)</f>
        <v>48.189900000000002</v>
      </c>
      <c r="I409" s="17">
        <f>48.1878 * CHOOSE(CONTROL!$C$9, $D$9, 100%, $F$9) + CHOOSE(CONTROL!$C$27, 0.0021, 0)</f>
        <v>48.189900000000002</v>
      </c>
      <c r="J409" s="17">
        <f>48.1878 * CHOOSE(CONTROL!$C$9, $D$9, 100%, $F$9) + CHOOSE(CONTROL!$C$27, 0.0021, 0)</f>
        <v>48.189900000000002</v>
      </c>
      <c r="K409" s="17">
        <f>48.1878 * CHOOSE(CONTROL!$C$9, $D$9, 100%, $F$9) + CHOOSE(CONTROL!$C$27, 0.0021, 0)</f>
        <v>48.189900000000002</v>
      </c>
      <c r="L409" s="17"/>
    </row>
    <row r="410" spans="1:12" ht="15.75" x14ac:dyDescent="0.25">
      <c r="A410" s="14">
        <v>53417</v>
      </c>
      <c r="B410" s="17">
        <f>48.0633 * CHOOSE(CONTROL!$C$9, $D$9, 100%, $F$9) + CHOOSE(CONTROL!$C$27, 0.0021, 0)</f>
        <v>48.065399999999997</v>
      </c>
      <c r="C410" s="17">
        <f>47.6311 * CHOOSE(CONTROL!$C$9, $D$9, 100%, $F$9) + CHOOSE(CONTROL!$C$27, 0.0021, 0)</f>
        <v>47.633200000000002</v>
      </c>
      <c r="D410" s="17">
        <f>47.6311 * CHOOSE(CONTROL!$C$9, $D$9, 100%, $F$9) + CHOOSE(CONTROL!$C$27, 0.0021, 0)</f>
        <v>47.633200000000002</v>
      </c>
      <c r="E410" s="17">
        <f>47.4944 * CHOOSE(CONTROL!$C$9, $D$9, 100%, $F$9) + CHOOSE(CONTROL!$C$27, 0.0021, 0)</f>
        <v>47.496499999999997</v>
      </c>
      <c r="F410" s="17">
        <f>47.4944 * CHOOSE(CONTROL!$C$9, $D$9, 100%, $F$9) + CHOOSE(CONTROL!$C$27, 0.0021, 0)</f>
        <v>47.496499999999997</v>
      </c>
      <c r="G410" s="17">
        <f>47.7658 * CHOOSE(CONTROL!$C$9, $D$9, 100%, $F$9) + CHOOSE(CONTROL!$C$27, 0.0021, 0)</f>
        <v>47.767899999999997</v>
      </c>
      <c r="H410" s="17">
        <f>47.6311 * CHOOSE(CONTROL!$C$9, $D$9, 100%, $F$9) + CHOOSE(CONTROL!$C$27, 0.0021, 0)</f>
        <v>47.633200000000002</v>
      </c>
      <c r="I410" s="17">
        <f>47.6311 * CHOOSE(CONTROL!$C$9, $D$9, 100%, $F$9) + CHOOSE(CONTROL!$C$27, 0.0021, 0)</f>
        <v>47.633200000000002</v>
      </c>
      <c r="J410" s="17">
        <f>47.6311 * CHOOSE(CONTROL!$C$9, $D$9, 100%, $F$9) + CHOOSE(CONTROL!$C$27, 0.0021, 0)</f>
        <v>47.633200000000002</v>
      </c>
      <c r="K410" s="17">
        <f>47.6311 * CHOOSE(CONTROL!$C$9, $D$9, 100%, $F$9) + CHOOSE(CONTROL!$C$27, 0.0021, 0)</f>
        <v>47.633200000000002</v>
      </c>
      <c r="L410" s="17"/>
    </row>
    <row r="411" spans="1:12" ht="15.75" x14ac:dyDescent="0.25">
      <c r="A411" s="14">
        <v>53447</v>
      </c>
      <c r="B411" s="17">
        <f>47.3987 * CHOOSE(CONTROL!$C$9, $D$9, 100%, $F$9) + CHOOSE(CONTROL!$C$27, 0.0021, 0)</f>
        <v>47.400799999999997</v>
      </c>
      <c r="C411" s="17">
        <f>46.9664 * CHOOSE(CONTROL!$C$9, $D$9, 100%, $F$9) + CHOOSE(CONTROL!$C$27, 0.0021, 0)</f>
        <v>46.968499999999999</v>
      </c>
      <c r="D411" s="17">
        <f>46.9664 * CHOOSE(CONTROL!$C$9, $D$9, 100%, $F$9) + CHOOSE(CONTROL!$C$27, 0.0021, 0)</f>
        <v>46.968499999999999</v>
      </c>
      <c r="E411" s="17">
        <f>46.8297 * CHOOSE(CONTROL!$C$9, $D$9, 100%, $F$9) + CHOOSE(CONTROL!$C$27, 0.0021, 0)</f>
        <v>46.831800000000001</v>
      </c>
      <c r="F411" s="17">
        <f>46.8297 * CHOOSE(CONTROL!$C$9, $D$9, 100%, $F$9) + CHOOSE(CONTROL!$C$27, 0.0021, 0)</f>
        <v>46.831800000000001</v>
      </c>
      <c r="G411" s="17">
        <f>47.1011 * CHOOSE(CONTROL!$C$9, $D$9, 100%, $F$9) + CHOOSE(CONTROL!$C$27, 0.0021, 0)</f>
        <v>47.103200000000001</v>
      </c>
      <c r="H411" s="17">
        <f>46.9664 * CHOOSE(CONTROL!$C$9, $D$9, 100%, $F$9) + CHOOSE(CONTROL!$C$27, 0.0021, 0)</f>
        <v>46.968499999999999</v>
      </c>
      <c r="I411" s="17">
        <f>46.9664 * CHOOSE(CONTROL!$C$9, $D$9, 100%, $F$9) + CHOOSE(CONTROL!$C$27, 0.0021, 0)</f>
        <v>46.968499999999999</v>
      </c>
      <c r="J411" s="17">
        <f>46.9664 * CHOOSE(CONTROL!$C$9, $D$9, 100%, $F$9) + CHOOSE(CONTROL!$C$27, 0.0021, 0)</f>
        <v>46.968499999999999</v>
      </c>
      <c r="K411" s="17">
        <f>46.9664 * CHOOSE(CONTROL!$C$9, $D$9, 100%, $F$9) + CHOOSE(CONTROL!$C$27, 0.0021, 0)</f>
        <v>46.968499999999999</v>
      </c>
      <c r="L411" s="17"/>
    </row>
    <row r="412" spans="1:12" ht="15.75" x14ac:dyDescent="0.25">
      <c r="A412" s="14">
        <v>53478</v>
      </c>
      <c r="B412" s="17">
        <f>48.3459 * CHOOSE(CONTROL!$C$9, $D$9, 100%, $F$9) + CHOOSE(CONTROL!$C$27, 0.0021, 0)</f>
        <v>48.347999999999999</v>
      </c>
      <c r="C412" s="17">
        <f>47.9137 * CHOOSE(CONTROL!$C$9, $D$9, 100%, $F$9) + CHOOSE(CONTROL!$C$27, 0.0021, 0)</f>
        <v>47.915799999999997</v>
      </c>
      <c r="D412" s="17">
        <f>47.9137 * CHOOSE(CONTROL!$C$9, $D$9, 100%, $F$9) + CHOOSE(CONTROL!$C$27, 0.0021, 0)</f>
        <v>47.915799999999997</v>
      </c>
      <c r="E412" s="17">
        <f>47.777 * CHOOSE(CONTROL!$C$9, $D$9, 100%, $F$9) + CHOOSE(CONTROL!$C$27, 0.0021, 0)</f>
        <v>47.7791</v>
      </c>
      <c r="F412" s="17">
        <f>47.777 * CHOOSE(CONTROL!$C$9, $D$9, 100%, $F$9) + CHOOSE(CONTROL!$C$27, 0.0021, 0)</f>
        <v>47.7791</v>
      </c>
      <c r="G412" s="17">
        <f>48.0484 * CHOOSE(CONTROL!$C$9, $D$9, 100%, $F$9) + CHOOSE(CONTROL!$C$27, 0.0021, 0)</f>
        <v>48.0505</v>
      </c>
      <c r="H412" s="17">
        <f>47.9137 * CHOOSE(CONTROL!$C$9, $D$9, 100%, $F$9) + CHOOSE(CONTROL!$C$27, 0.0021, 0)</f>
        <v>47.915799999999997</v>
      </c>
      <c r="I412" s="17">
        <f>47.9137 * CHOOSE(CONTROL!$C$9, $D$9, 100%, $F$9) + CHOOSE(CONTROL!$C$27, 0.0021, 0)</f>
        <v>47.915799999999997</v>
      </c>
      <c r="J412" s="17">
        <f>47.9137 * CHOOSE(CONTROL!$C$9, $D$9, 100%, $F$9) + CHOOSE(CONTROL!$C$27, 0.0021, 0)</f>
        <v>47.915799999999997</v>
      </c>
      <c r="K412" s="17">
        <f>47.9137 * CHOOSE(CONTROL!$C$9, $D$9, 100%, $F$9) + CHOOSE(CONTROL!$C$27, 0.0021, 0)</f>
        <v>47.915799999999997</v>
      </c>
      <c r="L412" s="17"/>
    </row>
    <row r="413" spans="1:12" ht="15.75" x14ac:dyDescent="0.25">
      <c r="A413" s="14">
        <v>53508</v>
      </c>
      <c r="B413" s="17">
        <f>48.9133 * CHOOSE(CONTROL!$C$9, $D$9, 100%, $F$9) + CHOOSE(CONTROL!$C$27, 0.0021, 0)</f>
        <v>48.915399999999998</v>
      </c>
      <c r="C413" s="17">
        <f>48.481 * CHOOSE(CONTROL!$C$9, $D$9, 100%, $F$9) + CHOOSE(CONTROL!$C$27, 0.0021, 0)</f>
        <v>48.4831</v>
      </c>
      <c r="D413" s="17">
        <f>48.481 * CHOOSE(CONTROL!$C$9, $D$9, 100%, $F$9) + CHOOSE(CONTROL!$C$27, 0.0021, 0)</f>
        <v>48.4831</v>
      </c>
      <c r="E413" s="17">
        <f>48.3444 * CHOOSE(CONTROL!$C$9, $D$9, 100%, $F$9) + CHOOSE(CONTROL!$C$27, 0.0021, 0)</f>
        <v>48.346499999999999</v>
      </c>
      <c r="F413" s="17">
        <f>48.3444 * CHOOSE(CONTROL!$C$9, $D$9, 100%, $F$9) + CHOOSE(CONTROL!$C$27, 0.0021, 0)</f>
        <v>48.346499999999999</v>
      </c>
      <c r="G413" s="17">
        <f>48.6157 * CHOOSE(CONTROL!$C$9, $D$9, 100%, $F$9) + CHOOSE(CONTROL!$C$27, 0.0021, 0)</f>
        <v>48.617799999999995</v>
      </c>
      <c r="H413" s="17">
        <f>48.481 * CHOOSE(CONTROL!$C$9, $D$9, 100%, $F$9) + CHOOSE(CONTROL!$C$27, 0.0021, 0)</f>
        <v>48.4831</v>
      </c>
      <c r="I413" s="17">
        <f>48.481 * CHOOSE(CONTROL!$C$9, $D$9, 100%, $F$9) + CHOOSE(CONTROL!$C$27, 0.0021, 0)</f>
        <v>48.4831</v>
      </c>
      <c r="J413" s="17">
        <f>48.481 * CHOOSE(CONTROL!$C$9, $D$9, 100%, $F$9) + CHOOSE(CONTROL!$C$27, 0.0021, 0)</f>
        <v>48.4831</v>
      </c>
      <c r="K413" s="17">
        <f>48.481 * CHOOSE(CONTROL!$C$9, $D$9, 100%, $F$9) + CHOOSE(CONTROL!$C$27, 0.0021, 0)</f>
        <v>48.4831</v>
      </c>
      <c r="L413" s="17"/>
    </row>
    <row r="414" spans="1:12" ht="15.75" x14ac:dyDescent="0.25">
      <c r="A414" s="14">
        <v>53539</v>
      </c>
      <c r="B414" s="17">
        <f>49.8492 * CHOOSE(CONTROL!$C$9, $D$9, 100%, $F$9) + CHOOSE(CONTROL!$C$27, 0.0021, 0)</f>
        <v>49.851300000000002</v>
      </c>
      <c r="C414" s="17">
        <f>49.417 * CHOOSE(CONTROL!$C$9, $D$9, 100%, $F$9) + CHOOSE(CONTROL!$C$27, 0.0021, 0)</f>
        <v>49.4191</v>
      </c>
      <c r="D414" s="17">
        <f>49.417 * CHOOSE(CONTROL!$C$9, $D$9, 100%, $F$9) + CHOOSE(CONTROL!$C$27, 0.0021, 0)</f>
        <v>49.4191</v>
      </c>
      <c r="E414" s="17">
        <f>49.2803 * CHOOSE(CONTROL!$C$9, $D$9, 100%, $F$9) + CHOOSE(CONTROL!$C$27, 0.0021, 0)</f>
        <v>49.282399999999996</v>
      </c>
      <c r="F414" s="17">
        <f>49.2803 * CHOOSE(CONTROL!$C$9, $D$9, 100%, $F$9) + CHOOSE(CONTROL!$C$27, 0.0021, 0)</f>
        <v>49.282399999999996</v>
      </c>
      <c r="G414" s="17">
        <f>49.5517 * CHOOSE(CONTROL!$C$9, $D$9, 100%, $F$9) + CHOOSE(CONTROL!$C$27, 0.0021, 0)</f>
        <v>49.553799999999995</v>
      </c>
      <c r="H414" s="17">
        <f>49.417 * CHOOSE(CONTROL!$C$9, $D$9, 100%, $F$9) + CHOOSE(CONTROL!$C$27, 0.0021, 0)</f>
        <v>49.4191</v>
      </c>
      <c r="I414" s="17">
        <f>49.417 * CHOOSE(CONTROL!$C$9, $D$9, 100%, $F$9) + CHOOSE(CONTROL!$C$27, 0.0021, 0)</f>
        <v>49.4191</v>
      </c>
      <c r="J414" s="17">
        <f>49.417 * CHOOSE(CONTROL!$C$9, $D$9, 100%, $F$9) + CHOOSE(CONTROL!$C$27, 0.0021, 0)</f>
        <v>49.4191</v>
      </c>
      <c r="K414" s="17">
        <f>49.417 * CHOOSE(CONTROL!$C$9, $D$9, 100%, $F$9) + CHOOSE(CONTROL!$C$27, 0.0021, 0)</f>
        <v>49.4191</v>
      </c>
      <c r="L414" s="17"/>
    </row>
    <row r="415" spans="1:12" ht="15.75" x14ac:dyDescent="0.25">
      <c r="A415" s="14">
        <v>53570</v>
      </c>
      <c r="B415" s="17">
        <f>50.1349 * CHOOSE(CONTROL!$C$9, $D$9, 100%, $F$9) + CHOOSE(CONTROL!$C$27, 0.0021, 0)</f>
        <v>50.137</v>
      </c>
      <c r="C415" s="17">
        <f>49.7027 * CHOOSE(CONTROL!$C$9, $D$9, 100%, $F$9) + CHOOSE(CONTROL!$C$27, 0.0021, 0)</f>
        <v>49.704799999999999</v>
      </c>
      <c r="D415" s="17">
        <f>49.7027 * CHOOSE(CONTROL!$C$9, $D$9, 100%, $F$9) + CHOOSE(CONTROL!$C$27, 0.0021, 0)</f>
        <v>49.704799999999999</v>
      </c>
      <c r="E415" s="17">
        <f>49.566 * CHOOSE(CONTROL!$C$9, $D$9, 100%, $F$9) + CHOOSE(CONTROL!$C$27, 0.0021, 0)</f>
        <v>49.568100000000001</v>
      </c>
      <c r="F415" s="17">
        <f>49.566 * CHOOSE(CONTROL!$C$9, $D$9, 100%, $F$9) + CHOOSE(CONTROL!$C$27, 0.0021, 0)</f>
        <v>49.568100000000001</v>
      </c>
      <c r="G415" s="17">
        <f>49.8374 * CHOOSE(CONTROL!$C$9, $D$9, 100%, $F$9) + CHOOSE(CONTROL!$C$27, 0.0021, 0)</f>
        <v>49.839500000000001</v>
      </c>
      <c r="H415" s="17">
        <f>49.7027 * CHOOSE(CONTROL!$C$9, $D$9, 100%, $F$9) + CHOOSE(CONTROL!$C$27, 0.0021, 0)</f>
        <v>49.704799999999999</v>
      </c>
      <c r="I415" s="17">
        <f>49.7027 * CHOOSE(CONTROL!$C$9, $D$9, 100%, $F$9) + CHOOSE(CONTROL!$C$27, 0.0021, 0)</f>
        <v>49.704799999999999</v>
      </c>
      <c r="J415" s="17">
        <f>49.7027 * CHOOSE(CONTROL!$C$9, $D$9, 100%, $F$9) + CHOOSE(CONTROL!$C$27, 0.0021, 0)</f>
        <v>49.704799999999999</v>
      </c>
      <c r="K415" s="17">
        <f>49.7027 * CHOOSE(CONTROL!$C$9, $D$9, 100%, $F$9) + CHOOSE(CONTROL!$C$27, 0.0021, 0)</f>
        <v>49.704799999999999</v>
      </c>
      <c r="L415" s="17"/>
    </row>
    <row r="416" spans="1:12" ht="15.75" x14ac:dyDescent="0.25">
      <c r="A416" s="14">
        <v>53600</v>
      </c>
      <c r="B416" s="17">
        <f>51.1078 * CHOOSE(CONTROL!$C$9, $D$9, 100%, $F$9) + CHOOSE(CONTROL!$C$27, 0.0021, 0)</f>
        <v>51.109899999999996</v>
      </c>
      <c r="C416" s="17">
        <f>50.6755 * CHOOSE(CONTROL!$C$9, $D$9, 100%, $F$9) + CHOOSE(CONTROL!$C$27, 0.0021, 0)</f>
        <v>50.677599999999998</v>
      </c>
      <c r="D416" s="17">
        <f>50.6755 * CHOOSE(CONTROL!$C$9, $D$9, 100%, $F$9) + CHOOSE(CONTROL!$C$27, 0.0021, 0)</f>
        <v>50.677599999999998</v>
      </c>
      <c r="E416" s="17">
        <f>50.5389 * CHOOSE(CONTROL!$C$9, $D$9, 100%, $F$9) + CHOOSE(CONTROL!$C$27, 0.0021, 0)</f>
        <v>50.540999999999997</v>
      </c>
      <c r="F416" s="17">
        <f>50.5389 * CHOOSE(CONTROL!$C$9, $D$9, 100%, $F$9) + CHOOSE(CONTROL!$C$27, 0.0021, 0)</f>
        <v>50.540999999999997</v>
      </c>
      <c r="G416" s="17">
        <f>50.8102 * CHOOSE(CONTROL!$C$9, $D$9, 100%, $F$9) + CHOOSE(CONTROL!$C$27, 0.0021, 0)</f>
        <v>50.8123</v>
      </c>
      <c r="H416" s="17">
        <f>50.6755 * CHOOSE(CONTROL!$C$9, $D$9, 100%, $F$9) + CHOOSE(CONTROL!$C$27, 0.0021, 0)</f>
        <v>50.677599999999998</v>
      </c>
      <c r="I416" s="17">
        <f>50.6755 * CHOOSE(CONTROL!$C$9, $D$9, 100%, $F$9) + CHOOSE(CONTROL!$C$27, 0.0021, 0)</f>
        <v>50.677599999999998</v>
      </c>
      <c r="J416" s="17">
        <f>50.6755 * CHOOSE(CONTROL!$C$9, $D$9, 100%, $F$9) + CHOOSE(CONTROL!$C$27, 0.0021, 0)</f>
        <v>50.677599999999998</v>
      </c>
      <c r="K416" s="17">
        <f>50.6755 * CHOOSE(CONTROL!$C$9, $D$9, 100%, $F$9) + CHOOSE(CONTROL!$C$27, 0.0021, 0)</f>
        <v>50.677599999999998</v>
      </c>
      <c r="L416" s="17"/>
    </row>
    <row r="417" spans="1:12" ht="15.75" x14ac:dyDescent="0.25">
      <c r="A417" s="14">
        <v>53631</v>
      </c>
      <c r="B417" s="17">
        <f>52.3393 * CHOOSE(CONTROL!$C$9, $D$9, 100%, $F$9) + CHOOSE(CONTROL!$C$27, 0.0021, 0)</f>
        <v>52.3414</v>
      </c>
      <c r="C417" s="17">
        <f>51.907 * CHOOSE(CONTROL!$C$9, $D$9, 100%, $F$9) + CHOOSE(CONTROL!$C$27, 0.0021, 0)</f>
        <v>51.909099999999995</v>
      </c>
      <c r="D417" s="17">
        <f>51.907 * CHOOSE(CONTROL!$C$9, $D$9, 100%, $F$9) + CHOOSE(CONTROL!$C$27, 0.0021, 0)</f>
        <v>51.909099999999995</v>
      </c>
      <c r="E417" s="17">
        <f>51.7704 * CHOOSE(CONTROL!$C$9, $D$9, 100%, $F$9) + CHOOSE(CONTROL!$C$27, 0.0021, 0)</f>
        <v>51.772500000000001</v>
      </c>
      <c r="F417" s="17">
        <f>51.7704 * CHOOSE(CONTROL!$C$9, $D$9, 100%, $F$9) + CHOOSE(CONTROL!$C$27, 0.0021, 0)</f>
        <v>51.772500000000001</v>
      </c>
      <c r="G417" s="17">
        <f>52.0417 * CHOOSE(CONTROL!$C$9, $D$9, 100%, $F$9) + CHOOSE(CONTROL!$C$27, 0.0021, 0)</f>
        <v>52.043799999999997</v>
      </c>
      <c r="H417" s="17">
        <f>51.907 * CHOOSE(CONTROL!$C$9, $D$9, 100%, $F$9) + CHOOSE(CONTROL!$C$27, 0.0021, 0)</f>
        <v>51.909099999999995</v>
      </c>
      <c r="I417" s="17">
        <f>51.907 * CHOOSE(CONTROL!$C$9, $D$9, 100%, $F$9) + CHOOSE(CONTROL!$C$27, 0.0021, 0)</f>
        <v>51.909099999999995</v>
      </c>
      <c r="J417" s="17">
        <f>51.907 * CHOOSE(CONTROL!$C$9, $D$9, 100%, $F$9) + CHOOSE(CONTROL!$C$27, 0.0021, 0)</f>
        <v>51.909099999999995</v>
      </c>
      <c r="K417" s="17">
        <f>51.907 * CHOOSE(CONTROL!$C$9, $D$9, 100%, $F$9) + CHOOSE(CONTROL!$C$27, 0.0021, 0)</f>
        <v>51.909099999999995</v>
      </c>
      <c r="L417" s="17"/>
    </row>
    <row r="418" spans="1:12" ht="15.75" x14ac:dyDescent="0.25">
      <c r="A418" s="14">
        <v>53661</v>
      </c>
      <c r="B418" s="17">
        <f>52.4549 * CHOOSE(CONTROL!$C$9, $D$9, 100%, $F$9) + CHOOSE(CONTROL!$C$27, 0.0021, 0)</f>
        <v>52.457000000000001</v>
      </c>
      <c r="C418" s="17">
        <f>52.0226 * CHOOSE(CONTROL!$C$9, $D$9, 100%, $F$9) + CHOOSE(CONTROL!$C$27, 0.0021, 0)</f>
        <v>52.024699999999996</v>
      </c>
      <c r="D418" s="17">
        <f>52.0226 * CHOOSE(CONTROL!$C$9, $D$9, 100%, $F$9) + CHOOSE(CONTROL!$C$27, 0.0021, 0)</f>
        <v>52.024699999999996</v>
      </c>
      <c r="E418" s="17">
        <f>51.886 * CHOOSE(CONTROL!$C$9, $D$9, 100%, $F$9) + CHOOSE(CONTROL!$C$27, 0.0021, 0)</f>
        <v>51.888100000000001</v>
      </c>
      <c r="F418" s="17">
        <f>51.886 * CHOOSE(CONTROL!$C$9, $D$9, 100%, $F$9) + CHOOSE(CONTROL!$C$27, 0.0021, 0)</f>
        <v>51.888100000000001</v>
      </c>
      <c r="G418" s="17">
        <f>52.1574 * CHOOSE(CONTROL!$C$9, $D$9, 100%, $F$9) + CHOOSE(CONTROL!$C$27, 0.0021, 0)</f>
        <v>52.159500000000001</v>
      </c>
      <c r="H418" s="17">
        <f>52.0226 * CHOOSE(CONTROL!$C$9, $D$9, 100%, $F$9) + CHOOSE(CONTROL!$C$27, 0.0021, 0)</f>
        <v>52.024699999999996</v>
      </c>
      <c r="I418" s="17">
        <f>52.0226 * CHOOSE(CONTROL!$C$9, $D$9, 100%, $F$9) + CHOOSE(CONTROL!$C$27, 0.0021, 0)</f>
        <v>52.024699999999996</v>
      </c>
      <c r="J418" s="17">
        <f>52.0226 * CHOOSE(CONTROL!$C$9, $D$9, 100%, $F$9) + CHOOSE(CONTROL!$C$27, 0.0021, 0)</f>
        <v>52.024699999999996</v>
      </c>
      <c r="K418" s="17">
        <f>52.0226 * CHOOSE(CONTROL!$C$9, $D$9, 100%, $F$9) + CHOOSE(CONTROL!$C$27, 0.0021, 0)</f>
        <v>52.024699999999996</v>
      </c>
      <c r="L418" s="17"/>
    </row>
    <row r="419" spans="1:12" ht="15.75" x14ac:dyDescent="0.25">
      <c r="A419" s="14">
        <v>53692</v>
      </c>
      <c r="B419" s="17">
        <f>51.4713 * CHOOSE(CONTROL!$C$9, $D$9, 100%, $F$9) + CHOOSE(CONTROL!$C$27, 0.0021, 0)</f>
        <v>51.473399999999998</v>
      </c>
      <c r="C419" s="17">
        <f>51.0391 * CHOOSE(CONTROL!$C$9, $D$9, 100%, $F$9) + CHOOSE(CONTROL!$C$27, 0.0021, 0)</f>
        <v>51.041199999999996</v>
      </c>
      <c r="D419" s="17">
        <f>51.0391 * CHOOSE(CONTROL!$C$9, $D$9, 100%, $F$9) + CHOOSE(CONTROL!$C$27, 0.0021, 0)</f>
        <v>51.041199999999996</v>
      </c>
      <c r="E419" s="17">
        <f>50.9024 * CHOOSE(CONTROL!$C$9, $D$9, 100%, $F$9) + CHOOSE(CONTROL!$C$27, 0.0021, 0)</f>
        <v>50.904499999999999</v>
      </c>
      <c r="F419" s="17">
        <f>50.9024 * CHOOSE(CONTROL!$C$9, $D$9, 100%, $F$9) + CHOOSE(CONTROL!$C$27, 0.0021, 0)</f>
        <v>50.904499999999999</v>
      </c>
      <c r="G419" s="17">
        <f>51.1738 * CHOOSE(CONTROL!$C$9, $D$9, 100%, $F$9) + CHOOSE(CONTROL!$C$27, 0.0021, 0)</f>
        <v>51.175899999999999</v>
      </c>
      <c r="H419" s="17">
        <f>51.0391 * CHOOSE(CONTROL!$C$9, $D$9, 100%, $F$9) + CHOOSE(CONTROL!$C$27, 0.0021, 0)</f>
        <v>51.041199999999996</v>
      </c>
      <c r="I419" s="17">
        <f>51.0391 * CHOOSE(CONTROL!$C$9, $D$9, 100%, $F$9) + CHOOSE(CONTROL!$C$27, 0.0021, 0)</f>
        <v>51.041199999999996</v>
      </c>
      <c r="J419" s="17">
        <f>51.0391 * CHOOSE(CONTROL!$C$9, $D$9, 100%, $F$9) + CHOOSE(CONTROL!$C$27, 0.0021, 0)</f>
        <v>51.041199999999996</v>
      </c>
      <c r="K419" s="17">
        <f>51.0391 * CHOOSE(CONTROL!$C$9, $D$9, 100%, $F$9) + CHOOSE(CONTROL!$C$27, 0.0021, 0)</f>
        <v>51.041199999999996</v>
      </c>
      <c r="L419" s="17"/>
    </row>
    <row r="420" spans="1:12" ht="15.75" x14ac:dyDescent="0.25">
      <c r="A420" s="14">
        <v>53723</v>
      </c>
      <c r="B420" s="17">
        <f>50.8496 * CHOOSE(CONTROL!$C$9, $D$9, 100%, $F$9) + CHOOSE(CONTROL!$C$27, 0.0021, 0)</f>
        <v>50.851700000000001</v>
      </c>
      <c r="C420" s="17">
        <f>50.4174 * CHOOSE(CONTROL!$C$9, $D$9, 100%, $F$9) + CHOOSE(CONTROL!$C$27, 0.0021, 0)</f>
        <v>50.419499999999999</v>
      </c>
      <c r="D420" s="17">
        <f>50.4174 * CHOOSE(CONTROL!$C$9, $D$9, 100%, $F$9) + CHOOSE(CONTROL!$C$27, 0.0021, 0)</f>
        <v>50.419499999999999</v>
      </c>
      <c r="E420" s="17">
        <f>50.2807 * CHOOSE(CONTROL!$C$9, $D$9, 100%, $F$9) + CHOOSE(CONTROL!$C$27, 0.0021, 0)</f>
        <v>50.282800000000002</v>
      </c>
      <c r="F420" s="17">
        <f>50.2807 * CHOOSE(CONTROL!$C$9, $D$9, 100%, $F$9) + CHOOSE(CONTROL!$C$27, 0.0021, 0)</f>
        <v>50.282800000000002</v>
      </c>
      <c r="G420" s="17">
        <f>50.5521 * CHOOSE(CONTROL!$C$9, $D$9, 100%, $F$9) + CHOOSE(CONTROL!$C$27, 0.0021, 0)</f>
        <v>50.554200000000002</v>
      </c>
      <c r="H420" s="17">
        <f>50.4174 * CHOOSE(CONTROL!$C$9, $D$9, 100%, $F$9) + CHOOSE(CONTROL!$C$27, 0.0021, 0)</f>
        <v>50.419499999999999</v>
      </c>
      <c r="I420" s="17">
        <f>50.4174 * CHOOSE(CONTROL!$C$9, $D$9, 100%, $F$9) + CHOOSE(CONTROL!$C$27, 0.0021, 0)</f>
        <v>50.419499999999999</v>
      </c>
      <c r="J420" s="17">
        <f>50.4174 * CHOOSE(CONTROL!$C$9, $D$9, 100%, $F$9) + CHOOSE(CONTROL!$C$27, 0.0021, 0)</f>
        <v>50.419499999999999</v>
      </c>
      <c r="K420" s="17">
        <f>50.4174 * CHOOSE(CONTROL!$C$9, $D$9, 100%, $F$9) + CHOOSE(CONTROL!$C$27, 0.0021, 0)</f>
        <v>50.419499999999999</v>
      </c>
      <c r="L420" s="17"/>
    </row>
    <row r="421" spans="1:12" ht="15.75" x14ac:dyDescent="0.25">
      <c r="A421" s="14">
        <v>53751</v>
      </c>
      <c r="B421" s="17">
        <f>49.4762 * CHOOSE(CONTROL!$C$9, $D$9, 100%, $F$9) + CHOOSE(CONTROL!$C$27, 0.0021, 0)</f>
        <v>49.478299999999997</v>
      </c>
      <c r="C421" s="17">
        <f>49.0439 * CHOOSE(CONTROL!$C$9, $D$9, 100%, $F$9) + CHOOSE(CONTROL!$C$27, 0.0021, 0)</f>
        <v>49.045999999999999</v>
      </c>
      <c r="D421" s="17">
        <f>49.0439 * CHOOSE(CONTROL!$C$9, $D$9, 100%, $F$9) + CHOOSE(CONTROL!$C$27, 0.0021, 0)</f>
        <v>49.045999999999999</v>
      </c>
      <c r="E421" s="17">
        <f>48.9073 * CHOOSE(CONTROL!$C$9, $D$9, 100%, $F$9) + CHOOSE(CONTROL!$C$27, 0.0021, 0)</f>
        <v>48.909399999999998</v>
      </c>
      <c r="F421" s="17">
        <f>48.9073 * CHOOSE(CONTROL!$C$9, $D$9, 100%, $F$9) + CHOOSE(CONTROL!$C$27, 0.0021, 0)</f>
        <v>48.909399999999998</v>
      </c>
      <c r="G421" s="17">
        <f>49.1787 * CHOOSE(CONTROL!$C$9, $D$9, 100%, $F$9) + CHOOSE(CONTROL!$C$27, 0.0021, 0)</f>
        <v>49.180799999999998</v>
      </c>
      <c r="H421" s="17">
        <f>49.0439 * CHOOSE(CONTROL!$C$9, $D$9, 100%, $F$9) + CHOOSE(CONTROL!$C$27, 0.0021, 0)</f>
        <v>49.045999999999999</v>
      </c>
      <c r="I421" s="17">
        <f>49.0439 * CHOOSE(CONTROL!$C$9, $D$9, 100%, $F$9) + CHOOSE(CONTROL!$C$27, 0.0021, 0)</f>
        <v>49.045999999999999</v>
      </c>
      <c r="J421" s="17">
        <f>49.0439 * CHOOSE(CONTROL!$C$9, $D$9, 100%, $F$9) + CHOOSE(CONTROL!$C$27, 0.0021, 0)</f>
        <v>49.045999999999999</v>
      </c>
      <c r="K421" s="17">
        <f>49.0439 * CHOOSE(CONTROL!$C$9, $D$9, 100%, $F$9) + CHOOSE(CONTROL!$C$27, 0.0021, 0)</f>
        <v>49.045999999999999</v>
      </c>
      <c r="L421" s="17"/>
    </row>
    <row r="422" spans="1:12" ht="15.75" x14ac:dyDescent="0.25">
      <c r="A422" s="14">
        <v>53782</v>
      </c>
      <c r="B422" s="17">
        <f>48.9092 * CHOOSE(CONTROL!$C$9, $D$9, 100%, $F$9) + CHOOSE(CONTROL!$C$27, 0.0021, 0)</f>
        <v>48.911299999999997</v>
      </c>
      <c r="C422" s="17">
        <f>48.477 * CHOOSE(CONTROL!$C$9, $D$9, 100%, $F$9) + CHOOSE(CONTROL!$C$27, 0.0021, 0)</f>
        <v>48.479099999999995</v>
      </c>
      <c r="D422" s="17">
        <f>48.477 * CHOOSE(CONTROL!$C$9, $D$9, 100%, $F$9) + CHOOSE(CONTROL!$C$27, 0.0021, 0)</f>
        <v>48.479099999999995</v>
      </c>
      <c r="E422" s="17">
        <f>48.3403 * CHOOSE(CONTROL!$C$9, $D$9, 100%, $F$9) + CHOOSE(CONTROL!$C$27, 0.0021, 0)</f>
        <v>48.342399999999998</v>
      </c>
      <c r="F422" s="17">
        <f>48.3403 * CHOOSE(CONTROL!$C$9, $D$9, 100%, $F$9) + CHOOSE(CONTROL!$C$27, 0.0021, 0)</f>
        <v>48.342399999999998</v>
      </c>
      <c r="G422" s="17">
        <f>48.6117 * CHOOSE(CONTROL!$C$9, $D$9, 100%, $F$9) + CHOOSE(CONTROL!$C$27, 0.0021, 0)</f>
        <v>48.613799999999998</v>
      </c>
      <c r="H422" s="17">
        <f>48.477 * CHOOSE(CONTROL!$C$9, $D$9, 100%, $F$9) + CHOOSE(CONTROL!$C$27, 0.0021, 0)</f>
        <v>48.479099999999995</v>
      </c>
      <c r="I422" s="17">
        <f>48.477 * CHOOSE(CONTROL!$C$9, $D$9, 100%, $F$9) + CHOOSE(CONTROL!$C$27, 0.0021, 0)</f>
        <v>48.479099999999995</v>
      </c>
      <c r="J422" s="17">
        <f>48.477 * CHOOSE(CONTROL!$C$9, $D$9, 100%, $F$9) + CHOOSE(CONTROL!$C$27, 0.0021, 0)</f>
        <v>48.479099999999995</v>
      </c>
      <c r="K422" s="17">
        <f>48.477 * CHOOSE(CONTROL!$C$9, $D$9, 100%, $F$9) + CHOOSE(CONTROL!$C$27, 0.0021, 0)</f>
        <v>48.479099999999995</v>
      </c>
      <c r="L422" s="17"/>
    </row>
    <row r="423" spans="1:12" ht="15.75" x14ac:dyDescent="0.25">
      <c r="A423" s="14">
        <v>53812</v>
      </c>
      <c r="B423" s="17">
        <f>48.2323 * CHOOSE(CONTROL!$C$9, $D$9, 100%, $F$9) + CHOOSE(CONTROL!$C$27, 0.0021, 0)</f>
        <v>48.234400000000001</v>
      </c>
      <c r="C423" s="17">
        <f>47.8 * CHOOSE(CONTROL!$C$9, $D$9, 100%, $F$9) + CHOOSE(CONTROL!$C$27, 0.0021, 0)</f>
        <v>47.802099999999996</v>
      </c>
      <c r="D423" s="17">
        <f>47.8 * CHOOSE(CONTROL!$C$9, $D$9, 100%, $F$9) + CHOOSE(CONTROL!$C$27, 0.0021, 0)</f>
        <v>47.802099999999996</v>
      </c>
      <c r="E423" s="17">
        <f>47.6633 * CHOOSE(CONTROL!$C$9, $D$9, 100%, $F$9) + CHOOSE(CONTROL!$C$27, 0.0021, 0)</f>
        <v>47.665399999999998</v>
      </c>
      <c r="F423" s="17">
        <f>47.6633 * CHOOSE(CONTROL!$C$9, $D$9, 100%, $F$9) + CHOOSE(CONTROL!$C$27, 0.0021, 0)</f>
        <v>47.665399999999998</v>
      </c>
      <c r="G423" s="17">
        <f>47.9347 * CHOOSE(CONTROL!$C$9, $D$9, 100%, $F$9) + CHOOSE(CONTROL!$C$27, 0.0021, 0)</f>
        <v>47.936799999999998</v>
      </c>
      <c r="H423" s="17">
        <f>47.8 * CHOOSE(CONTROL!$C$9, $D$9, 100%, $F$9) + CHOOSE(CONTROL!$C$27, 0.0021, 0)</f>
        <v>47.802099999999996</v>
      </c>
      <c r="I423" s="17">
        <f>47.8 * CHOOSE(CONTROL!$C$9, $D$9, 100%, $F$9) + CHOOSE(CONTROL!$C$27, 0.0021, 0)</f>
        <v>47.802099999999996</v>
      </c>
      <c r="J423" s="17">
        <f>47.8 * CHOOSE(CONTROL!$C$9, $D$9, 100%, $F$9) + CHOOSE(CONTROL!$C$27, 0.0021, 0)</f>
        <v>47.802099999999996</v>
      </c>
      <c r="K423" s="17">
        <f>47.8 * CHOOSE(CONTROL!$C$9, $D$9, 100%, $F$9) + CHOOSE(CONTROL!$C$27, 0.0021, 0)</f>
        <v>47.802099999999996</v>
      </c>
      <c r="L423" s="17"/>
    </row>
    <row r="424" spans="1:12" ht="15.75" x14ac:dyDescent="0.25">
      <c r="A424" s="14">
        <v>53843</v>
      </c>
      <c r="B424" s="17">
        <f>49.197 * CHOOSE(CONTROL!$C$9, $D$9, 100%, $F$9) + CHOOSE(CONTROL!$C$27, 0.0021, 0)</f>
        <v>49.199100000000001</v>
      </c>
      <c r="C424" s="17">
        <f>48.7648 * CHOOSE(CONTROL!$C$9, $D$9, 100%, $F$9) + CHOOSE(CONTROL!$C$27, 0.0021, 0)</f>
        <v>48.7669</v>
      </c>
      <c r="D424" s="17">
        <f>48.7648 * CHOOSE(CONTROL!$C$9, $D$9, 100%, $F$9) + CHOOSE(CONTROL!$C$27, 0.0021, 0)</f>
        <v>48.7669</v>
      </c>
      <c r="E424" s="17">
        <f>48.6281 * CHOOSE(CONTROL!$C$9, $D$9, 100%, $F$9) + CHOOSE(CONTROL!$C$27, 0.0021, 0)</f>
        <v>48.630200000000002</v>
      </c>
      <c r="F424" s="17">
        <f>48.6281 * CHOOSE(CONTROL!$C$9, $D$9, 100%, $F$9) + CHOOSE(CONTROL!$C$27, 0.0021, 0)</f>
        <v>48.630200000000002</v>
      </c>
      <c r="G424" s="17">
        <f>48.8995 * CHOOSE(CONTROL!$C$9, $D$9, 100%, $F$9) + CHOOSE(CONTROL!$C$27, 0.0021, 0)</f>
        <v>48.901600000000002</v>
      </c>
      <c r="H424" s="17">
        <f>48.7648 * CHOOSE(CONTROL!$C$9, $D$9, 100%, $F$9) + CHOOSE(CONTROL!$C$27, 0.0021, 0)</f>
        <v>48.7669</v>
      </c>
      <c r="I424" s="17">
        <f>48.7648 * CHOOSE(CONTROL!$C$9, $D$9, 100%, $F$9) + CHOOSE(CONTROL!$C$27, 0.0021, 0)</f>
        <v>48.7669</v>
      </c>
      <c r="J424" s="17">
        <f>48.7648 * CHOOSE(CONTROL!$C$9, $D$9, 100%, $F$9) + CHOOSE(CONTROL!$C$27, 0.0021, 0)</f>
        <v>48.7669</v>
      </c>
      <c r="K424" s="17">
        <f>48.7648 * CHOOSE(CONTROL!$C$9, $D$9, 100%, $F$9) + CHOOSE(CONTROL!$C$27, 0.0021, 0)</f>
        <v>48.7669</v>
      </c>
      <c r="L424" s="17"/>
    </row>
    <row r="425" spans="1:12" ht="15.75" x14ac:dyDescent="0.25">
      <c r="A425" s="14">
        <v>53873</v>
      </c>
      <c r="B425" s="17">
        <f>49.7749 * CHOOSE(CONTROL!$C$9, $D$9, 100%, $F$9) + CHOOSE(CONTROL!$C$27, 0.0021, 0)</f>
        <v>49.777000000000001</v>
      </c>
      <c r="C425" s="17">
        <f>49.3426 * CHOOSE(CONTROL!$C$9, $D$9, 100%, $F$9) + CHOOSE(CONTROL!$C$27, 0.0021, 0)</f>
        <v>49.344699999999996</v>
      </c>
      <c r="D425" s="17">
        <f>49.3426 * CHOOSE(CONTROL!$C$9, $D$9, 100%, $F$9) + CHOOSE(CONTROL!$C$27, 0.0021, 0)</f>
        <v>49.344699999999996</v>
      </c>
      <c r="E425" s="17">
        <f>49.206 * CHOOSE(CONTROL!$C$9, $D$9, 100%, $F$9) + CHOOSE(CONTROL!$C$27, 0.0021, 0)</f>
        <v>49.208100000000002</v>
      </c>
      <c r="F425" s="17">
        <f>49.206 * CHOOSE(CONTROL!$C$9, $D$9, 100%, $F$9) + CHOOSE(CONTROL!$C$27, 0.0021, 0)</f>
        <v>49.208100000000002</v>
      </c>
      <c r="G425" s="17">
        <f>49.4773 * CHOOSE(CONTROL!$C$9, $D$9, 100%, $F$9) + CHOOSE(CONTROL!$C$27, 0.0021, 0)</f>
        <v>49.479399999999998</v>
      </c>
      <c r="H425" s="17">
        <f>49.3426 * CHOOSE(CONTROL!$C$9, $D$9, 100%, $F$9) + CHOOSE(CONTROL!$C$27, 0.0021, 0)</f>
        <v>49.344699999999996</v>
      </c>
      <c r="I425" s="17">
        <f>49.3426 * CHOOSE(CONTROL!$C$9, $D$9, 100%, $F$9) + CHOOSE(CONTROL!$C$27, 0.0021, 0)</f>
        <v>49.344699999999996</v>
      </c>
      <c r="J425" s="17">
        <f>49.3426 * CHOOSE(CONTROL!$C$9, $D$9, 100%, $F$9) + CHOOSE(CONTROL!$C$27, 0.0021, 0)</f>
        <v>49.344699999999996</v>
      </c>
      <c r="K425" s="17">
        <f>49.3426 * CHOOSE(CONTROL!$C$9, $D$9, 100%, $F$9) + CHOOSE(CONTROL!$C$27, 0.0021, 0)</f>
        <v>49.344699999999996</v>
      </c>
      <c r="L425" s="17"/>
    </row>
    <row r="426" spans="1:12" ht="15.75" x14ac:dyDescent="0.25">
      <c r="A426" s="14">
        <v>53904</v>
      </c>
      <c r="B426" s="17">
        <f>50.7281 * CHOOSE(CONTROL!$C$9, $D$9, 100%, $F$9) + CHOOSE(CONTROL!$C$27, 0.0021, 0)</f>
        <v>50.730199999999996</v>
      </c>
      <c r="C426" s="17">
        <f>50.2959 * CHOOSE(CONTROL!$C$9, $D$9, 100%, $F$9) + CHOOSE(CONTROL!$C$27, 0.0021, 0)</f>
        <v>50.298000000000002</v>
      </c>
      <c r="D426" s="17">
        <f>50.2959 * CHOOSE(CONTROL!$C$9, $D$9, 100%, $F$9) + CHOOSE(CONTROL!$C$27, 0.0021, 0)</f>
        <v>50.298000000000002</v>
      </c>
      <c r="E426" s="17">
        <f>50.1592 * CHOOSE(CONTROL!$C$9, $D$9, 100%, $F$9) + CHOOSE(CONTROL!$C$27, 0.0021, 0)</f>
        <v>50.161299999999997</v>
      </c>
      <c r="F426" s="17">
        <f>50.1592 * CHOOSE(CONTROL!$C$9, $D$9, 100%, $F$9) + CHOOSE(CONTROL!$C$27, 0.0021, 0)</f>
        <v>50.161299999999997</v>
      </c>
      <c r="G426" s="17">
        <f>50.4306 * CHOOSE(CONTROL!$C$9, $D$9, 100%, $F$9) + CHOOSE(CONTROL!$C$27, 0.0021, 0)</f>
        <v>50.432699999999997</v>
      </c>
      <c r="H426" s="17">
        <f>50.2959 * CHOOSE(CONTROL!$C$9, $D$9, 100%, $F$9) + CHOOSE(CONTROL!$C$27, 0.0021, 0)</f>
        <v>50.298000000000002</v>
      </c>
      <c r="I426" s="17">
        <f>50.2959 * CHOOSE(CONTROL!$C$9, $D$9, 100%, $F$9) + CHOOSE(CONTROL!$C$27, 0.0021, 0)</f>
        <v>50.298000000000002</v>
      </c>
      <c r="J426" s="17">
        <f>50.2959 * CHOOSE(CONTROL!$C$9, $D$9, 100%, $F$9) + CHOOSE(CONTROL!$C$27, 0.0021, 0)</f>
        <v>50.298000000000002</v>
      </c>
      <c r="K426" s="17">
        <f>50.2959 * CHOOSE(CONTROL!$C$9, $D$9, 100%, $F$9) + CHOOSE(CONTROL!$C$27, 0.0021, 0)</f>
        <v>50.298000000000002</v>
      </c>
      <c r="L426" s="17"/>
    </row>
    <row r="427" spans="1:12" ht="15.75" x14ac:dyDescent="0.25">
      <c r="A427" s="14">
        <v>53935</v>
      </c>
      <c r="B427" s="17">
        <f>51.0191 * CHOOSE(CONTROL!$C$9, $D$9, 100%, $F$9) + CHOOSE(CONTROL!$C$27, 0.0021, 0)</f>
        <v>51.0212</v>
      </c>
      <c r="C427" s="17">
        <f>50.5868 * CHOOSE(CONTROL!$C$9, $D$9, 100%, $F$9) + CHOOSE(CONTROL!$C$27, 0.0021, 0)</f>
        <v>50.588899999999995</v>
      </c>
      <c r="D427" s="17">
        <f>50.5868 * CHOOSE(CONTROL!$C$9, $D$9, 100%, $F$9) + CHOOSE(CONTROL!$C$27, 0.0021, 0)</f>
        <v>50.588899999999995</v>
      </c>
      <c r="E427" s="17">
        <f>50.4502 * CHOOSE(CONTROL!$C$9, $D$9, 100%, $F$9) + CHOOSE(CONTROL!$C$27, 0.0021, 0)</f>
        <v>50.452300000000001</v>
      </c>
      <c r="F427" s="17">
        <f>50.4502 * CHOOSE(CONTROL!$C$9, $D$9, 100%, $F$9) + CHOOSE(CONTROL!$C$27, 0.0021, 0)</f>
        <v>50.452300000000001</v>
      </c>
      <c r="G427" s="17">
        <f>50.7215 * CHOOSE(CONTROL!$C$9, $D$9, 100%, $F$9) + CHOOSE(CONTROL!$C$27, 0.0021, 0)</f>
        <v>50.723599999999998</v>
      </c>
      <c r="H427" s="17">
        <f>50.5868 * CHOOSE(CONTROL!$C$9, $D$9, 100%, $F$9) + CHOOSE(CONTROL!$C$27, 0.0021, 0)</f>
        <v>50.588899999999995</v>
      </c>
      <c r="I427" s="17">
        <f>50.5868 * CHOOSE(CONTROL!$C$9, $D$9, 100%, $F$9) + CHOOSE(CONTROL!$C$27, 0.0021, 0)</f>
        <v>50.588899999999995</v>
      </c>
      <c r="J427" s="17">
        <f>50.5868 * CHOOSE(CONTROL!$C$9, $D$9, 100%, $F$9) + CHOOSE(CONTROL!$C$27, 0.0021, 0)</f>
        <v>50.588899999999995</v>
      </c>
      <c r="K427" s="17">
        <f>50.5868 * CHOOSE(CONTROL!$C$9, $D$9, 100%, $F$9) + CHOOSE(CONTROL!$C$27, 0.0021, 0)</f>
        <v>50.588899999999995</v>
      </c>
      <c r="L427" s="17"/>
    </row>
    <row r="428" spans="1:12" ht="15.75" x14ac:dyDescent="0.25">
      <c r="A428" s="14">
        <v>53965</v>
      </c>
      <c r="B428" s="17">
        <f>52.0099 * CHOOSE(CONTROL!$C$9, $D$9, 100%, $F$9) + CHOOSE(CONTROL!$C$27, 0.0021, 0)</f>
        <v>52.012</v>
      </c>
      <c r="C428" s="17">
        <f>51.5777 * CHOOSE(CONTROL!$C$9, $D$9, 100%, $F$9) + CHOOSE(CONTROL!$C$27, 0.0021, 0)</f>
        <v>51.579799999999999</v>
      </c>
      <c r="D428" s="17">
        <f>51.5777 * CHOOSE(CONTROL!$C$9, $D$9, 100%, $F$9) + CHOOSE(CONTROL!$C$27, 0.0021, 0)</f>
        <v>51.579799999999999</v>
      </c>
      <c r="E428" s="17">
        <f>51.441 * CHOOSE(CONTROL!$C$9, $D$9, 100%, $F$9) + CHOOSE(CONTROL!$C$27, 0.0021, 0)</f>
        <v>51.443100000000001</v>
      </c>
      <c r="F428" s="17">
        <f>51.441 * CHOOSE(CONTROL!$C$9, $D$9, 100%, $F$9) + CHOOSE(CONTROL!$C$27, 0.0021, 0)</f>
        <v>51.443100000000001</v>
      </c>
      <c r="G428" s="17">
        <f>51.7124 * CHOOSE(CONTROL!$C$9, $D$9, 100%, $F$9) + CHOOSE(CONTROL!$C$27, 0.0021, 0)</f>
        <v>51.714500000000001</v>
      </c>
      <c r="H428" s="17">
        <f>51.5777 * CHOOSE(CONTROL!$C$9, $D$9, 100%, $F$9) + CHOOSE(CONTROL!$C$27, 0.0021, 0)</f>
        <v>51.579799999999999</v>
      </c>
      <c r="I428" s="17">
        <f>51.5777 * CHOOSE(CONTROL!$C$9, $D$9, 100%, $F$9) + CHOOSE(CONTROL!$C$27, 0.0021, 0)</f>
        <v>51.579799999999999</v>
      </c>
      <c r="J428" s="17">
        <f>51.5777 * CHOOSE(CONTROL!$C$9, $D$9, 100%, $F$9) + CHOOSE(CONTROL!$C$27, 0.0021, 0)</f>
        <v>51.579799999999999</v>
      </c>
      <c r="K428" s="17">
        <f>51.5777 * CHOOSE(CONTROL!$C$9, $D$9, 100%, $F$9) + CHOOSE(CONTROL!$C$27, 0.0021, 0)</f>
        <v>51.579799999999999</v>
      </c>
      <c r="L428" s="17"/>
    </row>
    <row r="429" spans="1:12" ht="15.75" x14ac:dyDescent="0.25">
      <c r="A429" s="14">
        <v>53996</v>
      </c>
      <c r="B429" s="17">
        <f>53.2642 * CHOOSE(CONTROL!$C$9, $D$9, 100%, $F$9) + CHOOSE(CONTROL!$C$27, 0.0021, 0)</f>
        <v>53.266300000000001</v>
      </c>
      <c r="C429" s="17">
        <f>52.8319 * CHOOSE(CONTROL!$C$9, $D$9, 100%, $F$9) + CHOOSE(CONTROL!$C$27, 0.0021, 0)</f>
        <v>52.833999999999996</v>
      </c>
      <c r="D429" s="17">
        <f>52.8319 * CHOOSE(CONTROL!$C$9, $D$9, 100%, $F$9) + CHOOSE(CONTROL!$C$27, 0.0021, 0)</f>
        <v>52.833999999999996</v>
      </c>
      <c r="E429" s="17">
        <f>52.6953 * CHOOSE(CONTROL!$C$9, $D$9, 100%, $F$9) + CHOOSE(CONTROL!$C$27, 0.0021, 0)</f>
        <v>52.697400000000002</v>
      </c>
      <c r="F429" s="17">
        <f>52.6953 * CHOOSE(CONTROL!$C$9, $D$9, 100%, $F$9) + CHOOSE(CONTROL!$C$27, 0.0021, 0)</f>
        <v>52.697400000000002</v>
      </c>
      <c r="G429" s="17">
        <f>52.9666 * CHOOSE(CONTROL!$C$9, $D$9, 100%, $F$9) + CHOOSE(CONTROL!$C$27, 0.0021, 0)</f>
        <v>52.968699999999998</v>
      </c>
      <c r="H429" s="17">
        <f>52.8319 * CHOOSE(CONTROL!$C$9, $D$9, 100%, $F$9) + CHOOSE(CONTROL!$C$27, 0.0021, 0)</f>
        <v>52.833999999999996</v>
      </c>
      <c r="I429" s="17">
        <f>52.8319 * CHOOSE(CONTROL!$C$9, $D$9, 100%, $F$9) + CHOOSE(CONTROL!$C$27, 0.0021, 0)</f>
        <v>52.833999999999996</v>
      </c>
      <c r="J429" s="17">
        <f>52.8319 * CHOOSE(CONTROL!$C$9, $D$9, 100%, $F$9) + CHOOSE(CONTROL!$C$27, 0.0021, 0)</f>
        <v>52.833999999999996</v>
      </c>
      <c r="K429" s="17">
        <f>52.8319 * CHOOSE(CONTROL!$C$9, $D$9, 100%, $F$9) + CHOOSE(CONTROL!$C$27, 0.0021, 0)</f>
        <v>52.833999999999996</v>
      </c>
      <c r="L429" s="17"/>
    </row>
    <row r="430" spans="1:12" ht="15.75" x14ac:dyDescent="0.25">
      <c r="A430" s="14">
        <v>54026</v>
      </c>
      <c r="B430" s="17">
        <f>53.3819 * CHOOSE(CONTROL!$C$9, $D$9, 100%, $F$9) + CHOOSE(CONTROL!$C$27, 0.0021, 0)</f>
        <v>53.384</v>
      </c>
      <c r="C430" s="17">
        <f>52.9497 * CHOOSE(CONTROL!$C$9, $D$9, 100%, $F$9) + CHOOSE(CONTROL!$C$27, 0.0021, 0)</f>
        <v>52.951799999999999</v>
      </c>
      <c r="D430" s="17">
        <f>52.9497 * CHOOSE(CONTROL!$C$9, $D$9, 100%, $F$9) + CHOOSE(CONTROL!$C$27, 0.0021, 0)</f>
        <v>52.951799999999999</v>
      </c>
      <c r="E430" s="17">
        <f>52.813 * CHOOSE(CONTROL!$C$9, $D$9, 100%, $F$9) + CHOOSE(CONTROL!$C$27, 0.0021, 0)</f>
        <v>52.815100000000001</v>
      </c>
      <c r="F430" s="17">
        <f>52.813 * CHOOSE(CONTROL!$C$9, $D$9, 100%, $F$9) + CHOOSE(CONTROL!$C$27, 0.0021, 0)</f>
        <v>52.815100000000001</v>
      </c>
      <c r="G430" s="17">
        <f>53.0844 * CHOOSE(CONTROL!$C$9, $D$9, 100%, $F$9) + CHOOSE(CONTROL!$C$27, 0.0021, 0)</f>
        <v>53.086500000000001</v>
      </c>
      <c r="H430" s="17">
        <f>52.9497 * CHOOSE(CONTROL!$C$9, $D$9, 100%, $F$9) + CHOOSE(CONTROL!$C$27, 0.0021, 0)</f>
        <v>52.951799999999999</v>
      </c>
      <c r="I430" s="17">
        <f>52.9497 * CHOOSE(CONTROL!$C$9, $D$9, 100%, $F$9) + CHOOSE(CONTROL!$C$27, 0.0021, 0)</f>
        <v>52.951799999999999</v>
      </c>
      <c r="J430" s="17">
        <f>52.9497 * CHOOSE(CONTROL!$C$9, $D$9, 100%, $F$9) + CHOOSE(CONTROL!$C$27, 0.0021, 0)</f>
        <v>52.951799999999999</v>
      </c>
      <c r="K430" s="17">
        <f>52.9497 * CHOOSE(CONTROL!$C$9, $D$9, 100%, $F$9) + CHOOSE(CONTROL!$C$27, 0.0021, 0)</f>
        <v>52.951799999999999</v>
      </c>
      <c r="L430" s="17"/>
    </row>
    <row r="431" spans="1:12" ht="15.75" x14ac:dyDescent="0.25">
      <c r="A431" s="14">
        <v>54057</v>
      </c>
      <c r="B431" s="17">
        <f>52.3802 * CHOOSE(CONTROL!$C$9, $D$9, 100%, $F$9) + CHOOSE(CONTROL!$C$27, 0.0021, 0)</f>
        <v>52.382300000000001</v>
      </c>
      <c r="C431" s="17">
        <f>51.9479 * CHOOSE(CONTROL!$C$9, $D$9, 100%, $F$9) + CHOOSE(CONTROL!$C$27, 0.0021, 0)</f>
        <v>51.949999999999996</v>
      </c>
      <c r="D431" s="17">
        <f>51.9479 * CHOOSE(CONTROL!$C$9, $D$9, 100%, $F$9) + CHOOSE(CONTROL!$C$27, 0.0021, 0)</f>
        <v>51.949999999999996</v>
      </c>
      <c r="E431" s="17">
        <f>51.8113 * CHOOSE(CONTROL!$C$9, $D$9, 100%, $F$9) + CHOOSE(CONTROL!$C$27, 0.0021, 0)</f>
        <v>51.813400000000001</v>
      </c>
      <c r="F431" s="17">
        <f>51.8113 * CHOOSE(CONTROL!$C$9, $D$9, 100%, $F$9) + CHOOSE(CONTROL!$C$27, 0.0021, 0)</f>
        <v>51.813400000000001</v>
      </c>
      <c r="G431" s="17">
        <f>52.0826 * CHOOSE(CONTROL!$C$9, $D$9, 100%, $F$9) + CHOOSE(CONTROL!$C$27, 0.0021, 0)</f>
        <v>52.084699999999998</v>
      </c>
      <c r="H431" s="17">
        <f>51.9479 * CHOOSE(CONTROL!$C$9, $D$9, 100%, $F$9) + CHOOSE(CONTROL!$C$27, 0.0021, 0)</f>
        <v>51.949999999999996</v>
      </c>
      <c r="I431" s="17">
        <f>51.9479 * CHOOSE(CONTROL!$C$9, $D$9, 100%, $F$9) + CHOOSE(CONTROL!$C$27, 0.0021, 0)</f>
        <v>51.949999999999996</v>
      </c>
      <c r="J431" s="17">
        <f>51.9479 * CHOOSE(CONTROL!$C$9, $D$9, 100%, $F$9) + CHOOSE(CONTROL!$C$27, 0.0021, 0)</f>
        <v>51.949999999999996</v>
      </c>
      <c r="K431" s="17">
        <f>51.9479 * CHOOSE(CONTROL!$C$9, $D$9, 100%, $F$9) + CHOOSE(CONTROL!$C$27, 0.0021, 0)</f>
        <v>51.949999999999996</v>
      </c>
      <c r="L431" s="17"/>
    </row>
    <row r="432" spans="1:12" ht="15.75" x14ac:dyDescent="0.25">
      <c r="A432" s="14">
        <v>54088</v>
      </c>
      <c r="B432" s="17">
        <f>51.747 * CHOOSE(CONTROL!$C$9, $D$9, 100%, $F$9) + CHOOSE(CONTROL!$C$27, 0.0021, 0)</f>
        <v>51.749099999999999</v>
      </c>
      <c r="C432" s="17">
        <f>51.3148 * CHOOSE(CONTROL!$C$9, $D$9, 100%, $F$9) + CHOOSE(CONTROL!$C$27, 0.0021, 0)</f>
        <v>51.316899999999997</v>
      </c>
      <c r="D432" s="17">
        <f>51.3148 * CHOOSE(CONTROL!$C$9, $D$9, 100%, $F$9) + CHOOSE(CONTROL!$C$27, 0.0021, 0)</f>
        <v>51.316899999999997</v>
      </c>
      <c r="E432" s="17">
        <f>51.1781 * CHOOSE(CONTROL!$C$9, $D$9, 100%, $F$9) + CHOOSE(CONTROL!$C$27, 0.0021, 0)</f>
        <v>51.180199999999999</v>
      </c>
      <c r="F432" s="17">
        <f>51.1781 * CHOOSE(CONTROL!$C$9, $D$9, 100%, $F$9) + CHOOSE(CONTROL!$C$27, 0.0021, 0)</f>
        <v>51.180199999999999</v>
      </c>
      <c r="G432" s="17">
        <f>51.4495 * CHOOSE(CONTROL!$C$9, $D$9, 100%, $F$9) + CHOOSE(CONTROL!$C$27, 0.0021, 0)</f>
        <v>51.451599999999999</v>
      </c>
      <c r="H432" s="17">
        <f>51.3148 * CHOOSE(CONTROL!$C$9, $D$9, 100%, $F$9) + CHOOSE(CONTROL!$C$27, 0.0021, 0)</f>
        <v>51.316899999999997</v>
      </c>
      <c r="I432" s="17">
        <f>51.3148 * CHOOSE(CONTROL!$C$9, $D$9, 100%, $F$9) + CHOOSE(CONTROL!$C$27, 0.0021, 0)</f>
        <v>51.316899999999997</v>
      </c>
      <c r="J432" s="17">
        <f>51.3148 * CHOOSE(CONTROL!$C$9, $D$9, 100%, $F$9) + CHOOSE(CONTROL!$C$27, 0.0021, 0)</f>
        <v>51.316899999999997</v>
      </c>
      <c r="K432" s="17">
        <f>51.3148 * CHOOSE(CONTROL!$C$9, $D$9, 100%, $F$9) + CHOOSE(CONTROL!$C$27, 0.0021, 0)</f>
        <v>51.316899999999997</v>
      </c>
      <c r="L432" s="17"/>
    </row>
    <row r="433" spans="1:12" ht="15.75" x14ac:dyDescent="0.25">
      <c r="A433" s="14">
        <v>54116</v>
      </c>
      <c r="B433" s="17">
        <f>50.3482 * CHOOSE(CONTROL!$C$9, $D$9, 100%, $F$9) + CHOOSE(CONTROL!$C$27, 0.0021, 0)</f>
        <v>50.350299999999997</v>
      </c>
      <c r="C433" s="17">
        <f>49.9159 * CHOOSE(CONTROL!$C$9, $D$9, 100%, $F$9) + CHOOSE(CONTROL!$C$27, 0.0021, 0)</f>
        <v>49.917999999999999</v>
      </c>
      <c r="D433" s="17">
        <f>49.9159 * CHOOSE(CONTROL!$C$9, $D$9, 100%, $F$9) + CHOOSE(CONTROL!$C$27, 0.0021, 0)</f>
        <v>49.917999999999999</v>
      </c>
      <c r="E433" s="17">
        <f>49.7793 * CHOOSE(CONTROL!$C$9, $D$9, 100%, $F$9) + CHOOSE(CONTROL!$C$27, 0.0021, 0)</f>
        <v>49.781399999999998</v>
      </c>
      <c r="F433" s="17">
        <f>49.7793 * CHOOSE(CONTROL!$C$9, $D$9, 100%, $F$9) + CHOOSE(CONTROL!$C$27, 0.0021, 0)</f>
        <v>49.781399999999998</v>
      </c>
      <c r="G433" s="17">
        <f>50.0506 * CHOOSE(CONTROL!$C$9, $D$9, 100%, $F$9) + CHOOSE(CONTROL!$C$27, 0.0021, 0)</f>
        <v>50.052700000000002</v>
      </c>
      <c r="H433" s="17">
        <f>49.9159 * CHOOSE(CONTROL!$C$9, $D$9, 100%, $F$9) + CHOOSE(CONTROL!$C$27, 0.0021, 0)</f>
        <v>49.917999999999999</v>
      </c>
      <c r="I433" s="17">
        <f>49.9159 * CHOOSE(CONTROL!$C$9, $D$9, 100%, $F$9) + CHOOSE(CONTROL!$C$27, 0.0021, 0)</f>
        <v>49.917999999999999</v>
      </c>
      <c r="J433" s="17">
        <f>49.9159 * CHOOSE(CONTROL!$C$9, $D$9, 100%, $F$9) + CHOOSE(CONTROL!$C$27, 0.0021, 0)</f>
        <v>49.917999999999999</v>
      </c>
      <c r="K433" s="17">
        <f>49.9159 * CHOOSE(CONTROL!$C$9, $D$9, 100%, $F$9) + CHOOSE(CONTROL!$C$27, 0.0021, 0)</f>
        <v>49.917999999999999</v>
      </c>
      <c r="L433" s="17"/>
    </row>
    <row r="434" spans="1:12" ht="15.75" x14ac:dyDescent="0.25">
      <c r="A434" s="14">
        <v>54148</v>
      </c>
      <c r="B434" s="17">
        <f>49.7707 * CHOOSE(CONTROL!$C$9, $D$9, 100%, $F$9) + CHOOSE(CONTROL!$C$27, 0.0021, 0)</f>
        <v>49.772799999999997</v>
      </c>
      <c r="C434" s="17">
        <f>49.3385 * CHOOSE(CONTROL!$C$9, $D$9, 100%, $F$9) + CHOOSE(CONTROL!$C$27, 0.0021, 0)</f>
        <v>49.340600000000002</v>
      </c>
      <c r="D434" s="17">
        <f>49.3385 * CHOOSE(CONTROL!$C$9, $D$9, 100%, $F$9) + CHOOSE(CONTROL!$C$27, 0.0021, 0)</f>
        <v>49.340600000000002</v>
      </c>
      <c r="E434" s="17">
        <f>49.2018 * CHOOSE(CONTROL!$C$9, $D$9, 100%, $F$9) + CHOOSE(CONTROL!$C$27, 0.0021, 0)</f>
        <v>49.203899999999997</v>
      </c>
      <c r="F434" s="17">
        <f>49.2018 * CHOOSE(CONTROL!$C$9, $D$9, 100%, $F$9) + CHOOSE(CONTROL!$C$27, 0.0021, 0)</f>
        <v>49.203899999999997</v>
      </c>
      <c r="G434" s="17">
        <f>49.4732 * CHOOSE(CONTROL!$C$9, $D$9, 100%, $F$9) + CHOOSE(CONTROL!$C$27, 0.0021, 0)</f>
        <v>49.475299999999997</v>
      </c>
      <c r="H434" s="17">
        <f>49.3385 * CHOOSE(CONTROL!$C$9, $D$9, 100%, $F$9) + CHOOSE(CONTROL!$C$27, 0.0021, 0)</f>
        <v>49.340600000000002</v>
      </c>
      <c r="I434" s="17">
        <f>49.3385 * CHOOSE(CONTROL!$C$9, $D$9, 100%, $F$9) + CHOOSE(CONTROL!$C$27, 0.0021, 0)</f>
        <v>49.340600000000002</v>
      </c>
      <c r="J434" s="17">
        <f>49.3385 * CHOOSE(CONTROL!$C$9, $D$9, 100%, $F$9) + CHOOSE(CONTROL!$C$27, 0.0021, 0)</f>
        <v>49.340600000000002</v>
      </c>
      <c r="K434" s="17">
        <f>49.3385 * CHOOSE(CONTROL!$C$9, $D$9, 100%, $F$9) + CHOOSE(CONTROL!$C$27, 0.0021, 0)</f>
        <v>49.340600000000002</v>
      </c>
      <c r="L434" s="17"/>
    </row>
    <row r="435" spans="1:12" ht="15.75" x14ac:dyDescent="0.25">
      <c r="A435" s="14">
        <v>54178</v>
      </c>
      <c r="B435" s="17">
        <f>49.0813 * CHOOSE(CONTROL!$C$9, $D$9, 100%, $F$9) + CHOOSE(CONTROL!$C$27, 0.0021, 0)</f>
        <v>49.083399999999997</v>
      </c>
      <c r="C435" s="17">
        <f>48.649 * CHOOSE(CONTROL!$C$9, $D$9, 100%, $F$9) + CHOOSE(CONTROL!$C$27, 0.0021, 0)</f>
        <v>48.6511</v>
      </c>
      <c r="D435" s="17">
        <f>48.649 * CHOOSE(CONTROL!$C$9, $D$9, 100%, $F$9) + CHOOSE(CONTROL!$C$27, 0.0021, 0)</f>
        <v>48.6511</v>
      </c>
      <c r="E435" s="17">
        <f>48.5124 * CHOOSE(CONTROL!$C$9, $D$9, 100%, $F$9) + CHOOSE(CONTROL!$C$27, 0.0021, 0)</f>
        <v>48.514499999999998</v>
      </c>
      <c r="F435" s="17">
        <f>48.5124 * CHOOSE(CONTROL!$C$9, $D$9, 100%, $F$9) + CHOOSE(CONTROL!$C$27, 0.0021, 0)</f>
        <v>48.514499999999998</v>
      </c>
      <c r="G435" s="17">
        <f>48.7837 * CHOOSE(CONTROL!$C$9, $D$9, 100%, $F$9) + CHOOSE(CONTROL!$C$27, 0.0021, 0)</f>
        <v>48.785800000000002</v>
      </c>
      <c r="H435" s="17">
        <f>48.649 * CHOOSE(CONTROL!$C$9, $D$9, 100%, $F$9) + CHOOSE(CONTROL!$C$27, 0.0021, 0)</f>
        <v>48.6511</v>
      </c>
      <c r="I435" s="17">
        <f>48.649 * CHOOSE(CONTROL!$C$9, $D$9, 100%, $F$9) + CHOOSE(CONTROL!$C$27, 0.0021, 0)</f>
        <v>48.6511</v>
      </c>
      <c r="J435" s="17">
        <f>48.649 * CHOOSE(CONTROL!$C$9, $D$9, 100%, $F$9) + CHOOSE(CONTROL!$C$27, 0.0021, 0)</f>
        <v>48.6511</v>
      </c>
      <c r="K435" s="17">
        <f>48.649 * CHOOSE(CONTROL!$C$9, $D$9, 100%, $F$9) + CHOOSE(CONTROL!$C$27, 0.0021, 0)</f>
        <v>48.6511</v>
      </c>
      <c r="L435" s="17"/>
    </row>
    <row r="436" spans="1:12" ht="15.75" x14ac:dyDescent="0.25">
      <c r="A436" s="14">
        <v>54209</v>
      </c>
      <c r="B436" s="17">
        <f>50.0638 * CHOOSE(CONTROL!$C$9, $D$9, 100%, $F$9) + CHOOSE(CONTROL!$C$27, 0.0021, 0)</f>
        <v>50.065899999999999</v>
      </c>
      <c r="C436" s="17">
        <f>49.6316 * CHOOSE(CONTROL!$C$9, $D$9, 100%, $F$9) + CHOOSE(CONTROL!$C$27, 0.0021, 0)</f>
        <v>49.633699999999997</v>
      </c>
      <c r="D436" s="17">
        <f>49.6316 * CHOOSE(CONTROL!$C$9, $D$9, 100%, $F$9) + CHOOSE(CONTROL!$C$27, 0.0021, 0)</f>
        <v>49.633699999999997</v>
      </c>
      <c r="E436" s="17">
        <f>49.4949 * CHOOSE(CONTROL!$C$9, $D$9, 100%, $F$9) + CHOOSE(CONTROL!$C$27, 0.0021, 0)</f>
        <v>49.497</v>
      </c>
      <c r="F436" s="17">
        <f>49.4949 * CHOOSE(CONTROL!$C$9, $D$9, 100%, $F$9) + CHOOSE(CONTROL!$C$27, 0.0021, 0)</f>
        <v>49.497</v>
      </c>
      <c r="G436" s="17">
        <f>49.7663 * CHOOSE(CONTROL!$C$9, $D$9, 100%, $F$9) + CHOOSE(CONTROL!$C$27, 0.0021, 0)</f>
        <v>49.7684</v>
      </c>
      <c r="H436" s="17">
        <f>49.6316 * CHOOSE(CONTROL!$C$9, $D$9, 100%, $F$9) + CHOOSE(CONTROL!$C$27, 0.0021, 0)</f>
        <v>49.633699999999997</v>
      </c>
      <c r="I436" s="17">
        <f>49.6316 * CHOOSE(CONTROL!$C$9, $D$9, 100%, $F$9) + CHOOSE(CONTROL!$C$27, 0.0021, 0)</f>
        <v>49.633699999999997</v>
      </c>
      <c r="J436" s="17">
        <f>49.6316 * CHOOSE(CONTROL!$C$9, $D$9, 100%, $F$9) + CHOOSE(CONTROL!$C$27, 0.0021, 0)</f>
        <v>49.633699999999997</v>
      </c>
      <c r="K436" s="17">
        <f>49.6316 * CHOOSE(CONTROL!$C$9, $D$9, 100%, $F$9) + CHOOSE(CONTROL!$C$27, 0.0021, 0)</f>
        <v>49.633699999999997</v>
      </c>
      <c r="L436" s="17"/>
    </row>
    <row r="437" spans="1:12" ht="15.75" x14ac:dyDescent="0.25">
      <c r="A437" s="14">
        <v>54239</v>
      </c>
      <c r="B437" s="17">
        <f>50.6524 * CHOOSE(CONTROL!$C$9, $D$9, 100%, $F$9) + CHOOSE(CONTROL!$C$27, 0.0021, 0)</f>
        <v>50.654499999999999</v>
      </c>
      <c r="C437" s="17">
        <f>50.2201 * CHOOSE(CONTROL!$C$9, $D$9, 100%, $F$9) + CHOOSE(CONTROL!$C$27, 0.0021, 0)</f>
        <v>50.222200000000001</v>
      </c>
      <c r="D437" s="17">
        <f>50.2201 * CHOOSE(CONTROL!$C$9, $D$9, 100%, $F$9) + CHOOSE(CONTROL!$C$27, 0.0021, 0)</f>
        <v>50.222200000000001</v>
      </c>
      <c r="E437" s="17">
        <f>50.0835 * CHOOSE(CONTROL!$C$9, $D$9, 100%, $F$9) + CHOOSE(CONTROL!$C$27, 0.0021, 0)</f>
        <v>50.085599999999999</v>
      </c>
      <c r="F437" s="17">
        <f>50.0835 * CHOOSE(CONTROL!$C$9, $D$9, 100%, $F$9) + CHOOSE(CONTROL!$C$27, 0.0021, 0)</f>
        <v>50.085599999999999</v>
      </c>
      <c r="G437" s="17">
        <f>50.3548 * CHOOSE(CONTROL!$C$9, $D$9, 100%, $F$9) + CHOOSE(CONTROL!$C$27, 0.0021, 0)</f>
        <v>50.356899999999996</v>
      </c>
      <c r="H437" s="17">
        <f>50.2201 * CHOOSE(CONTROL!$C$9, $D$9, 100%, $F$9) + CHOOSE(CONTROL!$C$27, 0.0021, 0)</f>
        <v>50.222200000000001</v>
      </c>
      <c r="I437" s="17">
        <f>50.2201 * CHOOSE(CONTROL!$C$9, $D$9, 100%, $F$9) + CHOOSE(CONTROL!$C$27, 0.0021, 0)</f>
        <v>50.222200000000001</v>
      </c>
      <c r="J437" s="17">
        <f>50.2201 * CHOOSE(CONTROL!$C$9, $D$9, 100%, $F$9) + CHOOSE(CONTROL!$C$27, 0.0021, 0)</f>
        <v>50.222200000000001</v>
      </c>
      <c r="K437" s="17">
        <f>50.2201 * CHOOSE(CONTROL!$C$9, $D$9, 100%, $F$9) + CHOOSE(CONTROL!$C$27, 0.0021, 0)</f>
        <v>50.222200000000001</v>
      </c>
      <c r="L437" s="17"/>
    </row>
    <row r="438" spans="1:12" ht="15.75" x14ac:dyDescent="0.25">
      <c r="A438" s="14">
        <v>54270</v>
      </c>
      <c r="B438" s="17">
        <f>51.6232 * CHOOSE(CONTROL!$C$9, $D$9, 100%, $F$9) + CHOOSE(CONTROL!$C$27, 0.0021, 0)</f>
        <v>51.625299999999996</v>
      </c>
      <c r="C438" s="17">
        <f>51.191 * CHOOSE(CONTROL!$C$9, $D$9, 100%, $F$9) + CHOOSE(CONTROL!$C$27, 0.0021, 0)</f>
        <v>51.193100000000001</v>
      </c>
      <c r="D438" s="17">
        <f>51.191 * CHOOSE(CONTROL!$C$9, $D$9, 100%, $F$9) + CHOOSE(CONTROL!$C$27, 0.0021, 0)</f>
        <v>51.193100000000001</v>
      </c>
      <c r="E438" s="17">
        <f>51.0543 * CHOOSE(CONTROL!$C$9, $D$9, 100%, $F$9) + CHOOSE(CONTROL!$C$27, 0.0021, 0)</f>
        <v>51.056399999999996</v>
      </c>
      <c r="F438" s="17">
        <f>51.0543 * CHOOSE(CONTROL!$C$9, $D$9, 100%, $F$9) + CHOOSE(CONTROL!$C$27, 0.0021, 0)</f>
        <v>51.056399999999996</v>
      </c>
      <c r="G438" s="17">
        <f>51.3257 * CHOOSE(CONTROL!$C$9, $D$9, 100%, $F$9) + CHOOSE(CONTROL!$C$27, 0.0021, 0)</f>
        <v>51.327799999999996</v>
      </c>
      <c r="H438" s="17">
        <f>51.191 * CHOOSE(CONTROL!$C$9, $D$9, 100%, $F$9) + CHOOSE(CONTROL!$C$27, 0.0021, 0)</f>
        <v>51.193100000000001</v>
      </c>
      <c r="I438" s="17">
        <f>51.191 * CHOOSE(CONTROL!$C$9, $D$9, 100%, $F$9) + CHOOSE(CONTROL!$C$27, 0.0021, 0)</f>
        <v>51.193100000000001</v>
      </c>
      <c r="J438" s="17">
        <f>51.191 * CHOOSE(CONTROL!$C$9, $D$9, 100%, $F$9) + CHOOSE(CONTROL!$C$27, 0.0021, 0)</f>
        <v>51.193100000000001</v>
      </c>
      <c r="K438" s="17">
        <f>51.191 * CHOOSE(CONTROL!$C$9, $D$9, 100%, $F$9) + CHOOSE(CONTROL!$C$27, 0.0021, 0)</f>
        <v>51.193100000000001</v>
      </c>
      <c r="L438" s="17"/>
    </row>
    <row r="439" spans="1:12" ht="15.75" x14ac:dyDescent="0.25">
      <c r="A439" s="14">
        <v>54301</v>
      </c>
      <c r="B439" s="17">
        <f>51.9196 * CHOOSE(CONTROL!$C$9, $D$9, 100%, $F$9) + CHOOSE(CONTROL!$C$27, 0.0021, 0)</f>
        <v>51.921700000000001</v>
      </c>
      <c r="C439" s="17">
        <f>51.4873 * CHOOSE(CONTROL!$C$9, $D$9, 100%, $F$9) + CHOOSE(CONTROL!$C$27, 0.0021, 0)</f>
        <v>51.489399999999996</v>
      </c>
      <c r="D439" s="17">
        <f>51.4873 * CHOOSE(CONTROL!$C$9, $D$9, 100%, $F$9) + CHOOSE(CONTROL!$C$27, 0.0021, 0)</f>
        <v>51.489399999999996</v>
      </c>
      <c r="E439" s="17">
        <f>51.3507 * CHOOSE(CONTROL!$C$9, $D$9, 100%, $F$9) + CHOOSE(CONTROL!$C$27, 0.0021, 0)</f>
        <v>51.352800000000002</v>
      </c>
      <c r="F439" s="17">
        <f>51.3507 * CHOOSE(CONTROL!$C$9, $D$9, 100%, $F$9) + CHOOSE(CONTROL!$C$27, 0.0021, 0)</f>
        <v>51.352800000000002</v>
      </c>
      <c r="G439" s="17">
        <f>51.622 * CHOOSE(CONTROL!$C$9, $D$9, 100%, $F$9) + CHOOSE(CONTROL!$C$27, 0.0021, 0)</f>
        <v>51.624099999999999</v>
      </c>
      <c r="H439" s="17">
        <f>51.4873 * CHOOSE(CONTROL!$C$9, $D$9, 100%, $F$9) + CHOOSE(CONTROL!$C$27, 0.0021, 0)</f>
        <v>51.489399999999996</v>
      </c>
      <c r="I439" s="17">
        <f>51.4873 * CHOOSE(CONTROL!$C$9, $D$9, 100%, $F$9) + CHOOSE(CONTROL!$C$27, 0.0021, 0)</f>
        <v>51.489399999999996</v>
      </c>
      <c r="J439" s="17">
        <f>51.4873 * CHOOSE(CONTROL!$C$9, $D$9, 100%, $F$9) + CHOOSE(CONTROL!$C$27, 0.0021, 0)</f>
        <v>51.489399999999996</v>
      </c>
      <c r="K439" s="17">
        <f>51.4873 * CHOOSE(CONTROL!$C$9, $D$9, 100%, $F$9) + CHOOSE(CONTROL!$C$27, 0.0021, 0)</f>
        <v>51.489399999999996</v>
      </c>
      <c r="L439" s="17"/>
    </row>
    <row r="440" spans="1:12" ht="15.75" x14ac:dyDescent="0.25">
      <c r="A440" s="14">
        <v>54331</v>
      </c>
      <c r="B440" s="17">
        <f>52.9287 * CHOOSE(CONTROL!$C$9, $D$9, 100%, $F$9) + CHOOSE(CONTROL!$C$27, 0.0021, 0)</f>
        <v>52.930799999999998</v>
      </c>
      <c r="C440" s="17">
        <f>52.4965 * CHOOSE(CONTROL!$C$9, $D$9, 100%, $F$9) + CHOOSE(CONTROL!$C$27, 0.0021, 0)</f>
        <v>52.498599999999996</v>
      </c>
      <c r="D440" s="17">
        <f>52.4965 * CHOOSE(CONTROL!$C$9, $D$9, 100%, $F$9) + CHOOSE(CONTROL!$C$27, 0.0021, 0)</f>
        <v>52.498599999999996</v>
      </c>
      <c r="E440" s="17">
        <f>52.3598 * CHOOSE(CONTROL!$C$9, $D$9, 100%, $F$9) + CHOOSE(CONTROL!$C$27, 0.0021, 0)</f>
        <v>52.361899999999999</v>
      </c>
      <c r="F440" s="17">
        <f>52.3598 * CHOOSE(CONTROL!$C$9, $D$9, 100%, $F$9) + CHOOSE(CONTROL!$C$27, 0.0021, 0)</f>
        <v>52.361899999999999</v>
      </c>
      <c r="G440" s="17">
        <f>52.6312 * CHOOSE(CONTROL!$C$9, $D$9, 100%, $F$9) + CHOOSE(CONTROL!$C$27, 0.0021, 0)</f>
        <v>52.633299999999998</v>
      </c>
      <c r="H440" s="17">
        <f>52.4965 * CHOOSE(CONTROL!$C$9, $D$9, 100%, $F$9) + CHOOSE(CONTROL!$C$27, 0.0021, 0)</f>
        <v>52.498599999999996</v>
      </c>
      <c r="I440" s="17">
        <f>52.4965 * CHOOSE(CONTROL!$C$9, $D$9, 100%, $F$9) + CHOOSE(CONTROL!$C$27, 0.0021, 0)</f>
        <v>52.498599999999996</v>
      </c>
      <c r="J440" s="17">
        <f>52.4965 * CHOOSE(CONTROL!$C$9, $D$9, 100%, $F$9) + CHOOSE(CONTROL!$C$27, 0.0021, 0)</f>
        <v>52.498599999999996</v>
      </c>
      <c r="K440" s="17">
        <f>52.4965 * CHOOSE(CONTROL!$C$9, $D$9, 100%, $F$9) + CHOOSE(CONTROL!$C$27, 0.0021, 0)</f>
        <v>52.498599999999996</v>
      </c>
      <c r="L440" s="17"/>
    </row>
    <row r="441" spans="1:12" ht="15.75" x14ac:dyDescent="0.25">
      <c r="A441" s="14">
        <v>54362</v>
      </c>
      <c r="B441" s="17">
        <f>54.2062 * CHOOSE(CONTROL!$C$9, $D$9, 100%, $F$9) + CHOOSE(CONTROL!$C$27, 0.0021, 0)</f>
        <v>54.208300000000001</v>
      </c>
      <c r="C441" s="17">
        <f>53.7739 * CHOOSE(CONTROL!$C$9, $D$9, 100%, $F$9) + CHOOSE(CONTROL!$C$27, 0.0021, 0)</f>
        <v>53.775999999999996</v>
      </c>
      <c r="D441" s="17">
        <f>53.7739 * CHOOSE(CONTROL!$C$9, $D$9, 100%, $F$9) + CHOOSE(CONTROL!$C$27, 0.0021, 0)</f>
        <v>53.775999999999996</v>
      </c>
      <c r="E441" s="17">
        <f>53.6373 * CHOOSE(CONTROL!$C$9, $D$9, 100%, $F$9) + CHOOSE(CONTROL!$C$27, 0.0021, 0)</f>
        <v>53.639400000000002</v>
      </c>
      <c r="F441" s="17">
        <f>53.6373 * CHOOSE(CONTROL!$C$9, $D$9, 100%, $F$9) + CHOOSE(CONTROL!$C$27, 0.0021, 0)</f>
        <v>53.639400000000002</v>
      </c>
      <c r="G441" s="17">
        <f>53.9086 * CHOOSE(CONTROL!$C$9, $D$9, 100%, $F$9) + CHOOSE(CONTROL!$C$27, 0.0021, 0)</f>
        <v>53.910699999999999</v>
      </c>
      <c r="H441" s="17">
        <f>53.7739 * CHOOSE(CONTROL!$C$9, $D$9, 100%, $F$9) + CHOOSE(CONTROL!$C$27, 0.0021, 0)</f>
        <v>53.775999999999996</v>
      </c>
      <c r="I441" s="17">
        <f>53.7739 * CHOOSE(CONTROL!$C$9, $D$9, 100%, $F$9) + CHOOSE(CONTROL!$C$27, 0.0021, 0)</f>
        <v>53.775999999999996</v>
      </c>
      <c r="J441" s="17">
        <f>53.7739 * CHOOSE(CONTROL!$C$9, $D$9, 100%, $F$9) + CHOOSE(CONTROL!$C$27, 0.0021, 0)</f>
        <v>53.775999999999996</v>
      </c>
      <c r="K441" s="17">
        <f>53.7739 * CHOOSE(CONTROL!$C$9, $D$9, 100%, $F$9) + CHOOSE(CONTROL!$C$27, 0.0021, 0)</f>
        <v>53.775999999999996</v>
      </c>
      <c r="L441" s="17"/>
    </row>
    <row r="442" spans="1:12" ht="15.75" x14ac:dyDescent="0.25">
      <c r="A442" s="14">
        <v>54392</v>
      </c>
      <c r="B442" s="17">
        <f>54.3261 * CHOOSE(CONTROL!$C$9, $D$9, 100%, $F$9) + CHOOSE(CONTROL!$C$27, 0.0021, 0)</f>
        <v>54.328199999999995</v>
      </c>
      <c r="C442" s="17">
        <f>53.8938 * CHOOSE(CONTROL!$C$9, $D$9, 100%, $F$9) + CHOOSE(CONTROL!$C$27, 0.0021, 0)</f>
        <v>53.895899999999997</v>
      </c>
      <c r="D442" s="17">
        <f>53.8938 * CHOOSE(CONTROL!$C$9, $D$9, 100%, $F$9) + CHOOSE(CONTROL!$C$27, 0.0021, 0)</f>
        <v>53.895899999999997</v>
      </c>
      <c r="E442" s="17">
        <f>53.7572 * CHOOSE(CONTROL!$C$9, $D$9, 100%, $F$9) + CHOOSE(CONTROL!$C$27, 0.0021, 0)</f>
        <v>53.759299999999996</v>
      </c>
      <c r="F442" s="17">
        <f>53.7572 * CHOOSE(CONTROL!$C$9, $D$9, 100%, $F$9) + CHOOSE(CONTROL!$C$27, 0.0021, 0)</f>
        <v>53.759299999999996</v>
      </c>
      <c r="G442" s="17">
        <f>54.0286 * CHOOSE(CONTROL!$C$9, $D$9, 100%, $F$9) + CHOOSE(CONTROL!$C$27, 0.0021, 0)</f>
        <v>54.030699999999996</v>
      </c>
      <c r="H442" s="17">
        <f>53.8938 * CHOOSE(CONTROL!$C$9, $D$9, 100%, $F$9) + CHOOSE(CONTROL!$C$27, 0.0021, 0)</f>
        <v>53.895899999999997</v>
      </c>
      <c r="I442" s="17">
        <f>53.8938 * CHOOSE(CONTROL!$C$9, $D$9, 100%, $F$9) + CHOOSE(CONTROL!$C$27, 0.0021, 0)</f>
        <v>53.895899999999997</v>
      </c>
      <c r="J442" s="17">
        <f>53.8938 * CHOOSE(CONTROL!$C$9, $D$9, 100%, $F$9) + CHOOSE(CONTROL!$C$27, 0.0021, 0)</f>
        <v>53.895899999999997</v>
      </c>
      <c r="K442" s="17">
        <f>53.8938 * CHOOSE(CONTROL!$C$9, $D$9, 100%, $F$9) + CHOOSE(CONTROL!$C$27, 0.0021, 0)</f>
        <v>53.895899999999997</v>
      </c>
      <c r="L442" s="17"/>
    </row>
    <row r="443" spans="1:12" ht="15.75" x14ac:dyDescent="0.25">
      <c r="A443" s="14">
        <v>54423</v>
      </c>
      <c r="B443" s="17">
        <f>53.3058 * CHOOSE(CONTROL!$C$9, $D$9, 100%, $F$9) + CHOOSE(CONTROL!$C$27, 0.0021, 0)</f>
        <v>53.307899999999997</v>
      </c>
      <c r="C443" s="17">
        <f>52.8736 * CHOOSE(CONTROL!$C$9, $D$9, 100%, $F$9) + CHOOSE(CONTROL!$C$27, 0.0021, 0)</f>
        <v>52.875700000000002</v>
      </c>
      <c r="D443" s="17">
        <f>52.8736 * CHOOSE(CONTROL!$C$9, $D$9, 100%, $F$9) + CHOOSE(CONTROL!$C$27, 0.0021, 0)</f>
        <v>52.875700000000002</v>
      </c>
      <c r="E443" s="17">
        <f>52.7369 * CHOOSE(CONTROL!$C$9, $D$9, 100%, $F$9) + CHOOSE(CONTROL!$C$27, 0.0021, 0)</f>
        <v>52.738999999999997</v>
      </c>
      <c r="F443" s="17">
        <f>52.7369 * CHOOSE(CONTROL!$C$9, $D$9, 100%, $F$9) + CHOOSE(CONTROL!$C$27, 0.0021, 0)</f>
        <v>52.738999999999997</v>
      </c>
      <c r="G443" s="17">
        <f>53.0083 * CHOOSE(CONTROL!$C$9, $D$9, 100%, $F$9) + CHOOSE(CONTROL!$C$27, 0.0021, 0)</f>
        <v>53.010399999999997</v>
      </c>
      <c r="H443" s="17">
        <f>52.8736 * CHOOSE(CONTROL!$C$9, $D$9, 100%, $F$9) + CHOOSE(CONTROL!$C$27, 0.0021, 0)</f>
        <v>52.875700000000002</v>
      </c>
      <c r="I443" s="17">
        <f>52.8736 * CHOOSE(CONTROL!$C$9, $D$9, 100%, $F$9) + CHOOSE(CONTROL!$C$27, 0.0021, 0)</f>
        <v>52.875700000000002</v>
      </c>
      <c r="J443" s="17">
        <f>52.8736 * CHOOSE(CONTROL!$C$9, $D$9, 100%, $F$9) + CHOOSE(CONTROL!$C$27, 0.0021, 0)</f>
        <v>52.875700000000002</v>
      </c>
      <c r="K443" s="17">
        <f>52.8736 * CHOOSE(CONTROL!$C$9, $D$9, 100%, $F$9) + CHOOSE(CONTROL!$C$27, 0.0021, 0)</f>
        <v>52.875700000000002</v>
      </c>
      <c r="L443" s="17"/>
    </row>
    <row r="444" spans="1:12" ht="15.75" x14ac:dyDescent="0.25">
      <c r="A444" s="14">
        <v>54454</v>
      </c>
      <c r="B444" s="17">
        <f>52.661 * CHOOSE(CONTROL!$C$9, $D$9, 100%, $F$9) + CHOOSE(CONTROL!$C$27, 0.0021, 0)</f>
        <v>52.6631</v>
      </c>
      <c r="C444" s="17">
        <f>52.2287 * CHOOSE(CONTROL!$C$9, $D$9, 100%, $F$9) + CHOOSE(CONTROL!$C$27, 0.0021, 0)</f>
        <v>52.230800000000002</v>
      </c>
      <c r="D444" s="17">
        <f>52.2287 * CHOOSE(CONTROL!$C$9, $D$9, 100%, $F$9) + CHOOSE(CONTROL!$C$27, 0.0021, 0)</f>
        <v>52.230800000000002</v>
      </c>
      <c r="E444" s="17">
        <f>52.0921 * CHOOSE(CONTROL!$C$9, $D$9, 100%, $F$9) + CHOOSE(CONTROL!$C$27, 0.0021, 0)</f>
        <v>52.094200000000001</v>
      </c>
      <c r="F444" s="17">
        <f>52.0921 * CHOOSE(CONTROL!$C$9, $D$9, 100%, $F$9) + CHOOSE(CONTROL!$C$27, 0.0021, 0)</f>
        <v>52.094200000000001</v>
      </c>
      <c r="G444" s="17">
        <f>52.3635 * CHOOSE(CONTROL!$C$9, $D$9, 100%, $F$9) + CHOOSE(CONTROL!$C$27, 0.0021, 0)</f>
        <v>52.365600000000001</v>
      </c>
      <c r="H444" s="17">
        <f>52.2287 * CHOOSE(CONTROL!$C$9, $D$9, 100%, $F$9) + CHOOSE(CONTROL!$C$27, 0.0021, 0)</f>
        <v>52.230800000000002</v>
      </c>
      <c r="I444" s="17">
        <f>52.2287 * CHOOSE(CONTROL!$C$9, $D$9, 100%, $F$9) + CHOOSE(CONTROL!$C$27, 0.0021, 0)</f>
        <v>52.230800000000002</v>
      </c>
      <c r="J444" s="17">
        <f>52.2287 * CHOOSE(CONTROL!$C$9, $D$9, 100%, $F$9) + CHOOSE(CONTROL!$C$27, 0.0021, 0)</f>
        <v>52.230800000000002</v>
      </c>
      <c r="K444" s="17">
        <f>52.2287 * CHOOSE(CONTROL!$C$9, $D$9, 100%, $F$9) + CHOOSE(CONTROL!$C$27, 0.0021, 0)</f>
        <v>52.230800000000002</v>
      </c>
      <c r="L444" s="17"/>
    </row>
    <row r="445" spans="1:12" ht="15.75" x14ac:dyDescent="0.25">
      <c r="A445" s="14">
        <v>54482</v>
      </c>
      <c r="B445" s="17">
        <f>51.2363 * CHOOSE(CONTROL!$C$9, $D$9, 100%, $F$9) + CHOOSE(CONTROL!$C$27, 0.0021, 0)</f>
        <v>51.238399999999999</v>
      </c>
      <c r="C445" s="17">
        <f>50.804 * CHOOSE(CONTROL!$C$9, $D$9, 100%, $F$9) + CHOOSE(CONTROL!$C$27, 0.0021, 0)</f>
        <v>50.806100000000001</v>
      </c>
      <c r="D445" s="17">
        <f>50.804 * CHOOSE(CONTROL!$C$9, $D$9, 100%, $F$9) + CHOOSE(CONTROL!$C$27, 0.0021, 0)</f>
        <v>50.806100000000001</v>
      </c>
      <c r="E445" s="17">
        <f>50.6674 * CHOOSE(CONTROL!$C$9, $D$9, 100%, $F$9) + CHOOSE(CONTROL!$C$27, 0.0021, 0)</f>
        <v>50.669499999999999</v>
      </c>
      <c r="F445" s="17">
        <f>50.6674 * CHOOSE(CONTROL!$C$9, $D$9, 100%, $F$9) + CHOOSE(CONTROL!$C$27, 0.0021, 0)</f>
        <v>50.669499999999999</v>
      </c>
      <c r="G445" s="17">
        <f>50.9388 * CHOOSE(CONTROL!$C$9, $D$9, 100%, $F$9) + CHOOSE(CONTROL!$C$27, 0.0021, 0)</f>
        <v>50.940899999999999</v>
      </c>
      <c r="H445" s="17">
        <f>50.804 * CHOOSE(CONTROL!$C$9, $D$9, 100%, $F$9) + CHOOSE(CONTROL!$C$27, 0.0021, 0)</f>
        <v>50.806100000000001</v>
      </c>
      <c r="I445" s="17">
        <f>50.804 * CHOOSE(CONTROL!$C$9, $D$9, 100%, $F$9) + CHOOSE(CONTROL!$C$27, 0.0021, 0)</f>
        <v>50.806100000000001</v>
      </c>
      <c r="J445" s="17">
        <f>50.804 * CHOOSE(CONTROL!$C$9, $D$9, 100%, $F$9) + CHOOSE(CONTROL!$C$27, 0.0021, 0)</f>
        <v>50.806100000000001</v>
      </c>
      <c r="K445" s="17">
        <f>50.804 * CHOOSE(CONTROL!$C$9, $D$9, 100%, $F$9) + CHOOSE(CONTROL!$C$27, 0.0021, 0)</f>
        <v>50.806100000000001</v>
      </c>
      <c r="L445" s="17"/>
    </row>
    <row r="446" spans="1:12" ht="15.75" x14ac:dyDescent="0.25">
      <c r="A446" s="14">
        <v>54513</v>
      </c>
      <c r="B446" s="17">
        <f>50.6482 * CHOOSE(CONTROL!$C$9, $D$9, 100%, $F$9) + CHOOSE(CONTROL!$C$27, 0.0021, 0)</f>
        <v>50.650300000000001</v>
      </c>
      <c r="C446" s="17">
        <f>50.2159 * CHOOSE(CONTROL!$C$9, $D$9, 100%, $F$9) + CHOOSE(CONTROL!$C$27, 0.0021, 0)</f>
        <v>50.217999999999996</v>
      </c>
      <c r="D446" s="17">
        <f>50.2159 * CHOOSE(CONTROL!$C$9, $D$9, 100%, $F$9) + CHOOSE(CONTROL!$C$27, 0.0021, 0)</f>
        <v>50.217999999999996</v>
      </c>
      <c r="E446" s="17">
        <f>50.0793 * CHOOSE(CONTROL!$C$9, $D$9, 100%, $F$9) + CHOOSE(CONTROL!$C$27, 0.0021, 0)</f>
        <v>50.081400000000002</v>
      </c>
      <c r="F446" s="17">
        <f>50.0793 * CHOOSE(CONTROL!$C$9, $D$9, 100%, $F$9) + CHOOSE(CONTROL!$C$27, 0.0021, 0)</f>
        <v>50.081400000000002</v>
      </c>
      <c r="G446" s="17">
        <f>50.3506 * CHOOSE(CONTROL!$C$9, $D$9, 100%, $F$9) + CHOOSE(CONTROL!$C$27, 0.0021, 0)</f>
        <v>50.352699999999999</v>
      </c>
      <c r="H446" s="17">
        <f>50.2159 * CHOOSE(CONTROL!$C$9, $D$9, 100%, $F$9) + CHOOSE(CONTROL!$C$27, 0.0021, 0)</f>
        <v>50.217999999999996</v>
      </c>
      <c r="I446" s="17">
        <f>50.2159 * CHOOSE(CONTROL!$C$9, $D$9, 100%, $F$9) + CHOOSE(CONTROL!$C$27, 0.0021, 0)</f>
        <v>50.217999999999996</v>
      </c>
      <c r="J446" s="17">
        <f>50.2159 * CHOOSE(CONTROL!$C$9, $D$9, 100%, $F$9) + CHOOSE(CONTROL!$C$27, 0.0021, 0)</f>
        <v>50.217999999999996</v>
      </c>
      <c r="K446" s="17">
        <f>50.2159 * CHOOSE(CONTROL!$C$9, $D$9, 100%, $F$9) + CHOOSE(CONTROL!$C$27, 0.0021, 0)</f>
        <v>50.217999999999996</v>
      </c>
      <c r="L446" s="17"/>
    </row>
    <row r="447" spans="1:12" ht="15.75" x14ac:dyDescent="0.25">
      <c r="A447" s="14">
        <v>54543</v>
      </c>
      <c r="B447" s="17">
        <f>49.946 * CHOOSE(CONTROL!$C$9, $D$9, 100%, $F$9) + CHOOSE(CONTROL!$C$27, 0.0021, 0)</f>
        <v>49.948099999999997</v>
      </c>
      <c r="C447" s="17">
        <f>49.5137 * CHOOSE(CONTROL!$C$9, $D$9, 100%, $F$9) + CHOOSE(CONTROL!$C$27, 0.0021, 0)</f>
        <v>49.515799999999999</v>
      </c>
      <c r="D447" s="17">
        <f>49.5137 * CHOOSE(CONTROL!$C$9, $D$9, 100%, $F$9) + CHOOSE(CONTROL!$C$27, 0.0021, 0)</f>
        <v>49.515799999999999</v>
      </c>
      <c r="E447" s="17">
        <f>49.377 * CHOOSE(CONTROL!$C$9, $D$9, 100%, $F$9) + CHOOSE(CONTROL!$C$27, 0.0021, 0)</f>
        <v>49.379100000000001</v>
      </c>
      <c r="F447" s="17">
        <f>49.377 * CHOOSE(CONTROL!$C$9, $D$9, 100%, $F$9) + CHOOSE(CONTROL!$C$27, 0.0021, 0)</f>
        <v>49.379100000000001</v>
      </c>
      <c r="G447" s="17">
        <f>49.6484 * CHOOSE(CONTROL!$C$9, $D$9, 100%, $F$9) + CHOOSE(CONTROL!$C$27, 0.0021, 0)</f>
        <v>49.650500000000001</v>
      </c>
      <c r="H447" s="17">
        <f>49.5137 * CHOOSE(CONTROL!$C$9, $D$9, 100%, $F$9) + CHOOSE(CONTROL!$C$27, 0.0021, 0)</f>
        <v>49.515799999999999</v>
      </c>
      <c r="I447" s="17">
        <f>49.5137 * CHOOSE(CONTROL!$C$9, $D$9, 100%, $F$9) + CHOOSE(CONTROL!$C$27, 0.0021, 0)</f>
        <v>49.515799999999999</v>
      </c>
      <c r="J447" s="17">
        <f>49.5137 * CHOOSE(CONTROL!$C$9, $D$9, 100%, $F$9) + CHOOSE(CONTROL!$C$27, 0.0021, 0)</f>
        <v>49.515799999999999</v>
      </c>
      <c r="K447" s="17">
        <f>49.5137 * CHOOSE(CONTROL!$C$9, $D$9, 100%, $F$9) + CHOOSE(CONTROL!$C$27, 0.0021, 0)</f>
        <v>49.515799999999999</v>
      </c>
      <c r="L447" s="17"/>
    </row>
    <row r="448" spans="1:12" ht="15.75" x14ac:dyDescent="0.25">
      <c r="A448" s="14">
        <v>54574</v>
      </c>
      <c r="B448" s="17">
        <f>50.9467 * CHOOSE(CONTROL!$C$9, $D$9, 100%, $F$9) + CHOOSE(CONTROL!$C$27, 0.0021, 0)</f>
        <v>50.948799999999999</v>
      </c>
      <c r="C448" s="17">
        <f>50.5145 * CHOOSE(CONTROL!$C$9, $D$9, 100%, $F$9) + CHOOSE(CONTROL!$C$27, 0.0021, 0)</f>
        <v>50.516599999999997</v>
      </c>
      <c r="D448" s="17">
        <f>50.5145 * CHOOSE(CONTROL!$C$9, $D$9, 100%, $F$9) + CHOOSE(CONTROL!$C$27, 0.0021, 0)</f>
        <v>50.516599999999997</v>
      </c>
      <c r="E448" s="17">
        <f>50.3778 * CHOOSE(CONTROL!$C$9, $D$9, 100%, $F$9) + CHOOSE(CONTROL!$C$27, 0.0021, 0)</f>
        <v>50.379899999999999</v>
      </c>
      <c r="F448" s="17">
        <f>50.3778 * CHOOSE(CONTROL!$C$9, $D$9, 100%, $F$9) + CHOOSE(CONTROL!$C$27, 0.0021, 0)</f>
        <v>50.379899999999999</v>
      </c>
      <c r="G448" s="17">
        <f>50.6492 * CHOOSE(CONTROL!$C$9, $D$9, 100%, $F$9) + CHOOSE(CONTROL!$C$27, 0.0021, 0)</f>
        <v>50.651299999999999</v>
      </c>
      <c r="H448" s="17">
        <f>50.5145 * CHOOSE(CONTROL!$C$9, $D$9, 100%, $F$9) + CHOOSE(CONTROL!$C$27, 0.0021, 0)</f>
        <v>50.516599999999997</v>
      </c>
      <c r="I448" s="17">
        <f>50.5145 * CHOOSE(CONTROL!$C$9, $D$9, 100%, $F$9) + CHOOSE(CONTROL!$C$27, 0.0021, 0)</f>
        <v>50.516599999999997</v>
      </c>
      <c r="J448" s="17">
        <f>50.5145 * CHOOSE(CONTROL!$C$9, $D$9, 100%, $F$9) + CHOOSE(CONTROL!$C$27, 0.0021, 0)</f>
        <v>50.516599999999997</v>
      </c>
      <c r="K448" s="17">
        <f>50.5145 * CHOOSE(CONTROL!$C$9, $D$9, 100%, $F$9) + CHOOSE(CONTROL!$C$27, 0.0021, 0)</f>
        <v>50.516599999999997</v>
      </c>
      <c r="L448" s="17"/>
    </row>
    <row r="449" spans="1:12" ht="15.75" x14ac:dyDescent="0.25">
      <c r="A449" s="14">
        <v>54604</v>
      </c>
      <c r="B449" s="17">
        <f>51.5461 * CHOOSE(CONTROL!$C$9, $D$9, 100%, $F$9) + CHOOSE(CONTROL!$C$27, 0.0021, 0)</f>
        <v>51.548200000000001</v>
      </c>
      <c r="C449" s="17">
        <f>51.1139 * CHOOSE(CONTROL!$C$9, $D$9, 100%, $F$9) + CHOOSE(CONTROL!$C$27, 0.0021, 0)</f>
        <v>51.116</v>
      </c>
      <c r="D449" s="17">
        <f>51.1139 * CHOOSE(CONTROL!$C$9, $D$9, 100%, $F$9) + CHOOSE(CONTROL!$C$27, 0.0021, 0)</f>
        <v>51.116</v>
      </c>
      <c r="E449" s="17">
        <f>50.9772 * CHOOSE(CONTROL!$C$9, $D$9, 100%, $F$9) + CHOOSE(CONTROL!$C$27, 0.0021, 0)</f>
        <v>50.979300000000002</v>
      </c>
      <c r="F449" s="17">
        <f>50.9772 * CHOOSE(CONTROL!$C$9, $D$9, 100%, $F$9) + CHOOSE(CONTROL!$C$27, 0.0021, 0)</f>
        <v>50.979300000000002</v>
      </c>
      <c r="G449" s="17">
        <f>51.2486 * CHOOSE(CONTROL!$C$9, $D$9, 100%, $F$9) + CHOOSE(CONTROL!$C$27, 0.0021, 0)</f>
        <v>51.250700000000002</v>
      </c>
      <c r="H449" s="17">
        <f>51.1139 * CHOOSE(CONTROL!$C$9, $D$9, 100%, $F$9) + CHOOSE(CONTROL!$C$27, 0.0021, 0)</f>
        <v>51.116</v>
      </c>
      <c r="I449" s="17">
        <f>51.1139 * CHOOSE(CONTROL!$C$9, $D$9, 100%, $F$9) + CHOOSE(CONTROL!$C$27, 0.0021, 0)</f>
        <v>51.116</v>
      </c>
      <c r="J449" s="17">
        <f>51.1139 * CHOOSE(CONTROL!$C$9, $D$9, 100%, $F$9) + CHOOSE(CONTROL!$C$27, 0.0021, 0)</f>
        <v>51.116</v>
      </c>
      <c r="K449" s="17">
        <f>51.1139 * CHOOSE(CONTROL!$C$9, $D$9, 100%, $F$9) + CHOOSE(CONTROL!$C$27, 0.0021, 0)</f>
        <v>51.116</v>
      </c>
      <c r="L449" s="17"/>
    </row>
    <row r="450" spans="1:12" ht="15.75" x14ac:dyDescent="0.25">
      <c r="A450" s="14">
        <v>54635</v>
      </c>
      <c r="B450" s="17">
        <f>52.5349 * CHOOSE(CONTROL!$C$9, $D$9, 100%, $F$9) + CHOOSE(CONTROL!$C$27, 0.0021, 0)</f>
        <v>52.536999999999999</v>
      </c>
      <c r="C450" s="17">
        <f>52.1027 * CHOOSE(CONTROL!$C$9, $D$9, 100%, $F$9) + CHOOSE(CONTROL!$C$27, 0.0021, 0)</f>
        <v>52.104799999999997</v>
      </c>
      <c r="D450" s="17">
        <f>52.1027 * CHOOSE(CONTROL!$C$9, $D$9, 100%, $F$9) + CHOOSE(CONTROL!$C$27, 0.0021, 0)</f>
        <v>52.104799999999997</v>
      </c>
      <c r="E450" s="17">
        <f>51.966 * CHOOSE(CONTROL!$C$9, $D$9, 100%, $F$9) + CHOOSE(CONTROL!$C$27, 0.0021, 0)</f>
        <v>51.9681</v>
      </c>
      <c r="F450" s="17">
        <f>51.966 * CHOOSE(CONTROL!$C$9, $D$9, 100%, $F$9) + CHOOSE(CONTROL!$C$27, 0.0021, 0)</f>
        <v>51.9681</v>
      </c>
      <c r="G450" s="17">
        <f>52.2374 * CHOOSE(CONTROL!$C$9, $D$9, 100%, $F$9) + CHOOSE(CONTROL!$C$27, 0.0021, 0)</f>
        <v>52.2395</v>
      </c>
      <c r="H450" s="17">
        <f>52.1027 * CHOOSE(CONTROL!$C$9, $D$9, 100%, $F$9) + CHOOSE(CONTROL!$C$27, 0.0021, 0)</f>
        <v>52.104799999999997</v>
      </c>
      <c r="I450" s="17">
        <f>52.1027 * CHOOSE(CONTROL!$C$9, $D$9, 100%, $F$9) + CHOOSE(CONTROL!$C$27, 0.0021, 0)</f>
        <v>52.104799999999997</v>
      </c>
      <c r="J450" s="17">
        <f>52.1027 * CHOOSE(CONTROL!$C$9, $D$9, 100%, $F$9) + CHOOSE(CONTROL!$C$27, 0.0021, 0)</f>
        <v>52.104799999999997</v>
      </c>
      <c r="K450" s="17">
        <f>52.1027 * CHOOSE(CONTROL!$C$9, $D$9, 100%, $F$9) + CHOOSE(CONTROL!$C$27, 0.0021, 0)</f>
        <v>52.104799999999997</v>
      </c>
      <c r="L450" s="17"/>
    </row>
    <row r="451" spans="1:12" ht="15.75" x14ac:dyDescent="0.25">
      <c r="A451" s="14">
        <v>54666</v>
      </c>
      <c r="B451" s="17">
        <f>52.8367 * CHOOSE(CONTROL!$C$9, $D$9, 100%, $F$9) + CHOOSE(CONTROL!$C$27, 0.0021, 0)</f>
        <v>52.838799999999999</v>
      </c>
      <c r="C451" s="17">
        <f>52.4045 * CHOOSE(CONTROL!$C$9, $D$9, 100%, $F$9) + CHOOSE(CONTROL!$C$27, 0.0021, 0)</f>
        <v>52.406599999999997</v>
      </c>
      <c r="D451" s="17">
        <f>52.4045 * CHOOSE(CONTROL!$C$9, $D$9, 100%, $F$9) + CHOOSE(CONTROL!$C$27, 0.0021, 0)</f>
        <v>52.406599999999997</v>
      </c>
      <c r="E451" s="17">
        <f>52.2678 * CHOOSE(CONTROL!$C$9, $D$9, 100%, $F$9) + CHOOSE(CONTROL!$C$27, 0.0021, 0)</f>
        <v>52.2699</v>
      </c>
      <c r="F451" s="17">
        <f>52.2678 * CHOOSE(CONTROL!$C$9, $D$9, 100%, $F$9) + CHOOSE(CONTROL!$C$27, 0.0021, 0)</f>
        <v>52.2699</v>
      </c>
      <c r="G451" s="17">
        <f>52.5392 * CHOOSE(CONTROL!$C$9, $D$9, 100%, $F$9) + CHOOSE(CONTROL!$C$27, 0.0021, 0)</f>
        <v>52.5413</v>
      </c>
      <c r="H451" s="17">
        <f>52.4045 * CHOOSE(CONTROL!$C$9, $D$9, 100%, $F$9) + CHOOSE(CONTROL!$C$27, 0.0021, 0)</f>
        <v>52.406599999999997</v>
      </c>
      <c r="I451" s="17">
        <f>52.4045 * CHOOSE(CONTROL!$C$9, $D$9, 100%, $F$9) + CHOOSE(CONTROL!$C$27, 0.0021, 0)</f>
        <v>52.406599999999997</v>
      </c>
      <c r="J451" s="17">
        <f>52.4045 * CHOOSE(CONTROL!$C$9, $D$9, 100%, $F$9) + CHOOSE(CONTROL!$C$27, 0.0021, 0)</f>
        <v>52.406599999999997</v>
      </c>
      <c r="K451" s="17">
        <f>52.4045 * CHOOSE(CONTROL!$C$9, $D$9, 100%, $F$9) + CHOOSE(CONTROL!$C$27, 0.0021, 0)</f>
        <v>52.406599999999997</v>
      </c>
      <c r="L451" s="17"/>
    </row>
    <row r="452" spans="1:12" ht="15.75" x14ac:dyDescent="0.25">
      <c r="A452" s="14">
        <v>54696</v>
      </c>
      <c r="B452" s="17">
        <f>53.8645 * CHOOSE(CONTROL!$C$9, $D$9, 100%, $F$9) + CHOOSE(CONTROL!$C$27, 0.0021, 0)</f>
        <v>53.866599999999998</v>
      </c>
      <c r="C452" s="17">
        <f>53.4323 * CHOOSE(CONTROL!$C$9, $D$9, 100%, $F$9) + CHOOSE(CONTROL!$C$27, 0.0021, 0)</f>
        <v>53.434399999999997</v>
      </c>
      <c r="D452" s="17">
        <f>53.4323 * CHOOSE(CONTROL!$C$9, $D$9, 100%, $F$9) + CHOOSE(CONTROL!$C$27, 0.0021, 0)</f>
        <v>53.434399999999997</v>
      </c>
      <c r="E452" s="17">
        <f>53.2956 * CHOOSE(CONTROL!$C$9, $D$9, 100%, $F$9) + CHOOSE(CONTROL!$C$27, 0.0021, 0)</f>
        <v>53.297699999999999</v>
      </c>
      <c r="F452" s="17">
        <f>53.2956 * CHOOSE(CONTROL!$C$9, $D$9, 100%, $F$9) + CHOOSE(CONTROL!$C$27, 0.0021, 0)</f>
        <v>53.297699999999999</v>
      </c>
      <c r="G452" s="17">
        <f>53.567 * CHOOSE(CONTROL!$C$9, $D$9, 100%, $F$9) + CHOOSE(CONTROL!$C$27, 0.0021, 0)</f>
        <v>53.569099999999999</v>
      </c>
      <c r="H452" s="17">
        <f>53.4323 * CHOOSE(CONTROL!$C$9, $D$9, 100%, $F$9) + CHOOSE(CONTROL!$C$27, 0.0021, 0)</f>
        <v>53.434399999999997</v>
      </c>
      <c r="I452" s="17">
        <f>53.4323 * CHOOSE(CONTROL!$C$9, $D$9, 100%, $F$9) + CHOOSE(CONTROL!$C$27, 0.0021, 0)</f>
        <v>53.434399999999997</v>
      </c>
      <c r="J452" s="17">
        <f>53.4323 * CHOOSE(CONTROL!$C$9, $D$9, 100%, $F$9) + CHOOSE(CONTROL!$C$27, 0.0021, 0)</f>
        <v>53.434399999999997</v>
      </c>
      <c r="K452" s="17">
        <f>53.4323 * CHOOSE(CONTROL!$C$9, $D$9, 100%, $F$9) + CHOOSE(CONTROL!$C$27, 0.0021, 0)</f>
        <v>53.434399999999997</v>
      </c>
      <c r="L452" s="17"/>
    </row>
    <row r="453" spans="1:12" ht="15.75" x14ac:dyDescent="0.25">
      <c r="A453" s="14">
        <v>54727</v>
      </c>
      <c r="B453" s="17">
        <f>55.1656 * CHOOSE(CONTROL!$C$9, $D$9, 100%, $F$9) + CHOOSE(CONTROL!$C$27, 0.0021, 0)</f>
        <v>55.167699999999996</v>
      </c>
      <c r="C453" s="17">
        <f>54.7333 * CHOOSE(CONTROL!$C$9, $D$9, 100%, $F$9) + CHOOSE(CONTROL!$C$27, 0.0021, 0)</f>
        <v>54.735399999999998</v>
      </c>
      <c r="D453" s="17">
        <f>54.7333 * CHOOSE(CONTROL!$C$9, $D$9, 100%, $F$9) + CHOOSE(CONTROL!$C$27, 0.0021, 0)</f>
        <v>54.735399999999998</v>
      </c>
      <c r="E453" s="17">
        <f>54.5967 * CHOOSE(CONTROL!$C$9, $D$9, 100%, $F$9) + CHOOSE(CONTROL!$C$27, 0.0021, 0)</f>
        <v>54.598799999999997</v>
      </c>
      <c r="F453" s="17">
        <f>54.5967 * CHOOSE(CONTROL!$C$9, $D$9, 100%, $F$9) + CHOOSE(CONTROL!$C$27, 0.0021, 0)</f>
        <v>54.598799999999997</v>
      </c>
      <c r="G453" s="17">
        <f>54.868 * CHOOSE(CONTROL!$C$9, $D$9, 100%, $F$9) + CHOOSE(CONTROL!$C$27, 0.0021, 0)</f>
        <v>54.870100000000001</v>
      </c>
      <c r="H453" s="17">
        <f>54.7333 * CHOOSE(CONTROL!$C$9, $D$9, 100%, $F$9) + CHOOSE(CONTROL!$C$27, 0.0021, 0)</f>
        <v>54.735399999999998</v>
      </c>
      <c r="I453" s="17">
        <f>54.7333 * CHOOSE(CONTROL!$C$9, $D$9, 100%, $F$9) + CHOOSE(CONTROL!$C$27, 0.0021, 0)</f>
        <v>54.735399999999998</v>
      </c>
      <c r="J453" s="17">
        <f>54.7333 * CHOOSE(CONTROL!$C$9, $D$9, 100%, $F$9) + CHOOSE(CONTROL!$C$27, 0.0021, 0)</f>
        <v>54.735399999999998</v>
      </c>
      <c r="K453" s="17">
        <f>54.7333 * CHOOSE(CONTROL!$C$9, $D$9, 100%, $F$9) + CHOOSE(CONTROL!$C$27, 0.0021, 0)</f>
        <v>54.735399999999998</v>
      </c>
      <c r="L453" s="17"/>
    </row>
    <row r="454" spans="1:12" ht="15.75" x14ac:dyDescent="0.25">
      <c r="A454" s="14">
        <v>54757</v>
      </c>
      <c r="B454" s="17">
        <f>55.2877 * CHOOSE(CONTROL!$C$9, $D$9, 100%, $F$9) + CHOOSE(CONTROL!$C$27, 0.0021, 0)</f>
        <v>55.2898</v>
      </c>
      <c r="C454" s="17">
        <f>54.8555 * CHOOSE(CONTROL!$C$9, $D$9, 100%, $F$9) + CHOOSE(CONTROL!$C$27, 0.0021, 0)</f>
        <v>54.857599999999998</v>
      </c>
      <c r="D454" s="17">
        <f>54.8555 * CHOOSE(CONTROL!$C$9, $D$9, 100%, $F$9) + CHOOSE(CONTROL!$C$27, 0.0021, 0)</f>
        <v>54.857599999999998</v>
      </c>
      <c r="E454" s="17">
        <f>54.7188 * CHOOSE(CONTROL!$C$9, $D$9, 100%, $F$9) + CHOOSE(CONTROL!$C$27, 0.0021, 0)</f>
        <v>54.7209</v>
      </c>
      <c r="F454" s="17">
        <f>54.7188 * CHOOSE(CONTROL!$C$9, $D$9, 100%, $F$9) + CHOOSE(CONTROL!$C$27, 0.0021, 0)</f>
        <v>54.7209</v>
      </c>
      <c r="G454" s="17">
        <f>54.9902 * CHOOSE(CONTROL!$C$9, $D$9, 100%, $F$9) + CHOOSE(CONTROL!$C$27, 0.0021, 0)</f>
        <v>54.9923</v>
      </c>
      <c r="H454" s="17">
        <f>54.8555 * CHOOSE(CONTROL!$C$9, $D$9, 100%, $F$9) + CHOOSE(CONTROL!$C$27, 0.0021, 0)</f>
        <v>54.857599999999998</v>
      </c>
      <c r="I454" s="17">
        <f>54.8555 * CHOOSE(CONTROL!$C$9, $D$9, 100%, $F$9) + CHOOSE(CONTROL!$C$27, 0.0021, 0)</f>
        <v>54.857599999999998</v>
      </c>
      <c r="J454" s="17">
        <f>54.8555 * CHOOSE(CONTROL!$C$9, $D$9, 100%, $F$9) + CHOOSE(CONTROL!$C$27, 0.0021, 0)</f>
        <v>54.857599999999998</v>
      </c>
      <c r="K454" s="17">
        <f>54.8555 * CHOOSE(CONTROL!$C$9, $D$9, 100%, $F$9) + CHOOSE(CONTROL!$C$27, 0.0021, 0)</f>
        <v>54.857599999999998</v>
      </c>
      <c r="L454" s="17"/>
    </row>
    <row r="455" spans="1:12" ht="15.75" x14ac:dyDescent="0.25">
      <c r="A455" s="14">
        <v>54788</v>
      </c>
      <c r="B455" s="17">
        <f>54.2486 * CHOOSE(CONTROL!$C$9, $D$9, 100%, $F$9) + CHOOSE(CONTROL!$C$27, 0.0021, 0)</f>
        <v>54.250700000000002</v>
      </c>
      <c r="C455" s="17">
        <f>53.8164 * CHOOSE(CONTROL!$C$9, $D$9, 100%, $F$9) + CHOOSE(CONTROL!$C$27, 0.0021, 0)</f>
        <v>53.8185</v>
      </c>
      <c r="D455" s="17">
        <f>53.8164 * CHOOSE(CONTROL!$C$9, $D$9, 100%, $F$9) + CHOOSE(CONTROL!$C$27, 0.0021, 0)</f>
        <v>53.8185</v>
      </c>
      <c r="E455" s="17">
        <f>53.6797 * CHOOSE(CONTROL!$C$9, $D$9, 100%, $F$9) + CHOOSE(CONTROL!$C$27, 0.0021, 0)</f>
        <v>53.681799999999996</v>
      </c>
      <c r="F455" s="17">
        <f>53.6797 * CHOOSE(CONTROL!$C$9, $D$9, 100%, $F$9) + CHOOSE(CONTROL!$C$27, 0.0021, 0)</f>
        <v>53.681799999999996</v>
      </c>
      <c r="G455" s="17">
        <f>53.9511 * CHOOSE(CONTROL!$C$9, $D$9, 100%, $F$9) + CHOOSE(CONTROL!$C$27, 0.0021, 0)</f>
        <v>53.953199999999995</v>
      </c>
      <c r="H455" s="17">
        <f>53.8164 * CHOOSE(CONTROL!$C$9, $D$9, 100%, $F$9) + CHOOSE(CONTROL!$C$27, 0.0021, 0)</f>
        <v>53.8185</v>
      </c>
      <c r="I455" s="17">
        <f>53.8164 * CHOOSE(CONTROL!$C$9, $D$9, 100%, $F$9) + CHOOSE(CONTROL!$C$27, 0.0021, 0)</f>
        <v>53.8185</v>
      </c>
      <c r="J455" s="17">
        <f>53.8164 * CHOOSE(CONTROL!$C$9, $D$9, 100%, $F$9) + CHOOSE(CONTROL!$C$27, 0.0021, 0)</f>
        <v>53.8185</v>
      </c>
      <c r="K455" s="17">
        <f>53.8164 * CHOOSE(CONTROL!$C$9, $D$9, 100%, $F$9) + CHOOSE(CONTROL!$C$27, 0.0021, 0)</f>
        <v>53.8185</v>
      </c>
      <c r="L455" s="17"/>
    </row>
    <row r="456" spans="1:12" ht="15.75" x14ac:dyDescent="0.25">
      <c r="A456" s="14">
        <v>54819</v>
      </c>
      <c r="B456" s="17">
        <f>53.5918 * CHOOSE(CONTROL!$C$9, $D$9, 100%, $F$9) + CHOOSE(CONTROL!$C$27, 0.0021, 0)</f>
        <v>53.593899999999998</v>
      </c>
      <c r="C456" s="17">
        <f>53.1596 * CHOOSE(CONTROL!$C$9, $D$9, 100%, $F$9) + CHOOSE(CONTROL!$C$27, 0.0021, 0)</f>
        <v>53.161699999999996</v>
      </c>
      <c r="D456" s="17">
        <f>53.1596 * CHOOSE(CONTROL!$C$9, $D$9, 100%, $F$9) + CHOOSE(CONTROL!$C$27, 0.0021, 0)</f>
        <v>53.161699999999996</v>
      </c>
      <c r="E456" s="17">
        <f>53.0229 * CHOOSE(CONTROL!$C$9, $D$9, 100%, $F$9) + CHOOSE(CONTROL!$C$27, 0.0021, 0)</f>
        <v>53.024999999999999</v>
      </c>
      <c r="F456" s="17">
        <f>53.0229 * CHOOSE(CONTROL!$C$9, $D$9, 100%, $F$9) + CHOOSE(CONTROL!$C$27, 0.0021, 0)</f>
        <v>53.024999999999999</v>
      </c>
      <c r="G456" s="17">
        <f>53.2943 * CHOOSE(CONTROL!$C$9, $D$9, 100%, $F$9) + CHOOSE(CONTROL!$C$27, 0.0021, 0)</f>
        <v>53.296399999999998</v>
      </c>
      <c r="H456" s="17">
        <f>53.1596 * CHOOSE(CONTROL!$C$9, $D$9, 100%, $F$9) + CHOOSE(CONTROL!$C$27, 0.0021, 0)</f>
        <v>53.161699999999996</v>
      </c>
      <c r="I456" s="17">
        <f>53.1596 * CHOOSE(CONTROL!$C$9, $D$9, 100%, $F$9) + CHOOSE(CONTROL!$C$27, 0.0021, 0)</f>
        <v>53.161699999999996</v>
      </c>
      <c r="J456" s="17">
        <f>53.1596 * CHOOSE(CONTROL!$C$9, $D$9, 100%, $F$9) + CHOOSE(CONTROL!$C$27, 0.0021, 0)</f>
        <v>53.161699999999996</v>
      </c>
      <c r="K456" s="17">
        <f>53.1596 * CHOOSE(CONTROL!$C$9, $D$9, 100%, $F$9) + CHOOSE(CONTROL!$C$27, 0.0021, 0)</f>
        <v>53.161699999999996</v>
      </c>
      <c r="L456" s="17"/>
    </row>
    <row r="457" spans="1:12" ht="15.75" x14ac:dyDescent="0.25">
      <c r="A457" s="14">
        <v>54847</v>
      </c>
      <c r="B457" s="17">
        <f>52.1408 * CHOOSE(CONTROL!$C$9, $D$9, 100%, $F$9) + CHOOSE(CONTROL!$C$27, 0.0021, 0)</f>
        <v>52.142899999999997</v>
      </c>
      <c r="C457" s="17">
        <f>51.7086 * CHOOSE(CONTROL!$C$9, $D$9, 100%, $F$9) + CHOOSE(CONTROL!$C$27, 0.0021, 0)</f>
        <v>51.710699999999996</v>
      </c>
      <c r="D457" s="17">
        <f>51.7086 * CHOOSE(CONTROL!$C$9, $D$9, 100%, $F$9) + CHOOSE(CONTROL!$C$27, 0.0021, 0)</f>
        <v>51.710699999999996</v>
      </c>
      <c r="E457" s="17">
        <f>51.5719 * CHOOSE(CONTROL!$C$9, $D$9, 100%, $F$9) + CHOOSE(CONTROL!$C$27, 0.0021, 0)</f>
        <v>51.573999999999998</v>
      </c>
      <c r="F457" s="17">
        <f>51.5719 * CHOOSE(CONTROL!$C$9, $D$9, 100%, $F$9) + CHOOSE(CONTROL!$C$27, 0.0021, 0)</f>
        <v>51.573999999999998</v>
      </c>
      <c r="G457" s="17">
        <f>51.8433 * CHOOSE(CONTROL!$C$9, $D$9, 100%, $F$9) + CHOOSE(CONTROL!$C$27, 0.0021, 0)</f>
        <v>51.845399999999998</v>
      </c>
      <c r="H457" s="17">
        <f>51.7086 * CHOOSE(CONTROL!$C$9, $D$9, 100%, $F$9) + CHOOSE(CONTROL!$C$27, 0.0021, 0)</f>
        <v>51.710699999999996</v>
      </c>
      <c r="I457" s="17">
        <f>51.7086 * CHOOSE(CONTROL!$C$9, $D$9, 100%, $F$9) + CHOOSE(CONTROL!$C$27, 0.0021, 0)</f>
        <v>51.710699999999996</v>
      </c>
      <c r="J457" s="17">
        <f>51.7086 * CHOOSE(CONTROL!$C$9, $D$9, 100%, $F$9) + CHOOSE(CONTROL!$C$27, 0.0021, 0)</f>
        <v>51.710699999999996</v>
      </c>
      <c r="K457" s="17">
        <f>51.7086 * CHOOSE(CONTROL!$C$9, $D$9, 100%, $F$9) + CHOOSE(CONTROL!$C$27, 0.0021, 0)</f>
        <v>51.710699999999996</v>
      </c>
      <c r="L457" s="17"/>
    </row>
    <row r="458" spans="1:12" ht="15.75" x14ac:dyDescent="0.25">
      <c r="A458" s="14">
        <v>54878</v>
      </c>
      <c r="B458" s="17">
        <f>51.5418 * CHOOSE(CONTROL!$C$9, $D$9, 100%, $F$9) + CHOOSE(CONTROL!$C$27, 0.0021, 0)</f>
        <v>51.543900000000001</v>
      </c>
      <c r="C458" s="17">
        <f>51.1096 * CHOOSE(CONTROL!$C$9, $D$9, 100%, $F$9) + CHOOSE(CONTROL!$C$27, 0.0021, 0)</f>
        <v>51.111699999999999</v>
      </c>
      <c r="D458" s="17">
        <f>51.1096 * CHOOSE(CONTROL!$C$9, $D$9, 100%, $F$9) + CHOOSE(CONTROL!$C$27, 0.0021, 0)</f>
        <v>51.111699999999999</v>
      </c>
      <c r="E458" s="17">
        <f>50.9729 * CHOOSE(CONTROL!$C$9, $D$9, 100%, $F$9) + CHOOSE(CONTROL!$C$27, 0.0021, 0)</f>
        <v>50.975000000000001</v>
      </c>
      <c r="F458" s="17">
        <f>50.9729 * CHOOSE(CONTROL!$C$9, $D$9, 100%, $F$9) + CHOOSE(CONTROL!$C$27, 0.0021, 0)</f>
        <v>50.975000000000001</v>
      </c>
      <c r="G458" s="17">
        <f>51.2443 * CHOOSE(CONTROL!$C$9, $D$9, 100%, $F$9) + CHOOSE(CONTROL!$C$27, 0.0021, 0)</f>
        <v>51.246400000000001</v>
      </c>
      <c r="H458" s="17">
        <f>51.1096 * CHOOSE(CONTROL!$C$9, $D$9, 100%, $F$9) + CHOOSE(CONTROL!$C$27, 0.0021, 0)</f>
        <v>51.111699999999999</v>
      </c>
      <c r="I458" s="17">
        <f>51.1096 * CHOOSE(CONTROL!$C$9, $D$9, 100%, $F$9) + CHOOSE(CONTROL!$C$27, 0.0021, 0)</f>
        <v>51.111699999999999</v>
      </c>
      <c r="J458" s="17">
        <f>51.1096 * CHOOSE(CONTROL!$C$9, $D$9, 100%, $F$9) + CHOOSE(CONTROL!$C$27, 0.0021, 0)</f>
        <v>51.111699999999999</v>
      </c>
      <c r="K458" s="17">
        <f>51.1096 * CHOOSE(CONTROL!$C$9, $D$9, 100%, $F$9) + CHOOSE(CONTROL!$C$27, 0.0021, 0)</f>
        <v>51.111699999999999</v>
      </c>
      <c r="L458" s="17"/>
    </row>
    <row r="459" spans="1:12" ht="15.75" x14ac:dyDescent="0.25">
      <c r="A459" s="14">
        <v>54908</v>
      </c>
      <c r="B459" s="17">
        <f>50.8266 * CHOOSE(CONTROL!$C$9, $D$9, 100%, $F$9) + CHOOSE(CONTROL!$C$27, 0.0021, 0)</f>
        <v>50.828699999999998</v>
      </c>
      <c r="C459" s="17">
        <f>50.3944 * CHOOSE(CONTROL!$C$9, $D$9, 100%, $F$9) + CHOOSE(CONTROL!$C$27, 0.0021, 0)</f>
        <v>50.396499999999996</v>
      </c>
      <c r="D459" s="17">
        <f>50.3944 * CHOOSE(CONTROL!$C$9, $D$9, 100%, $F$9) + CHOOSE(CONTROL!$C$27, 0.0021, 0)</f>
        <v>50.396499999999996</v>
      </c>
      <c r="E459" s="17">
        <f>50.2577 * CHOOSE(CONTROL!$C$9, $D$9, 100%, $F$9) + CHOOSE(CONTROL!$C$27, 0.0021, 0)</f>
        <v>50.259799999999998</v>
      </c>
      <c r="F459" s="17">
        <f>50.2577 * CHOOSE(CONTROL!$C$9, $D$9, 100%, $F$9) + CHOOSE(CONTROL!$C$27, 0.0021, 0)</f>
        <v>50.259799999999998</v>
      </c>
      <c r="G459" s="17">
        <f>50.5291 * CHOOSE(CONTROL!$C$9, $D$9, 100%, $F$9) + CHOOSE(CONTROL!$C$27, 0.0021, 0)</f>
        <v>50.531199999999998</v>
      </c>
      <c r="H459" s="17">
        <f>50.3944 * CHOOSE(CONTROL!$C$9, $D$9, 100%, $F$9) + CHOOSE(CONTROL!$C$27, 0.0021, 0)</f>
        <v>50.396499999999996</v>
      </c>
      <c r="I459" s="17">
        <f>50.3944 * CHOOSE(CONTROL!$C$9, $D$9, 100%, $F$9) + CHOOSE(CONTROL!$C$27, 0.0021, 0)</f>
        <v>50.396499999999996</v>
      </c>
      <c r="J459" s="17">
        <f>50.3944 * CHOOSE(CONTROL!$C$9, $D$9, 100%, $F$9) + CHOOSE(CONTROL!$C$27, 0.0021, 0)</f>
        <v>50.396499999999996</v>
      </c>
      <c r="K459" s="17">
        <f>50.3944 * CHOOSE(CONTROL!$C$9, $D$9, 100%, $F$9) + CHOOSE(CONTROL!$C$27, 0.0021, 0)</f>
        <v>50.396499999999996</v>
      </c>
      <c r="L459" s="17"/>
    </row>
    <row r="460" spans="1:12" ht="15.75" x14ac:dyDescent="0.25">
      <c r="A460" s="14">
        <v>54939</v>
      </c>
      <c r="B460" s="17">
        <f>51.8459 * CHOOSE(CONTROL!$C$9, $D$9, 100%, $F$9) + CHOOSE(CONTROL!$C$27, 0.0021, 0)</f>
        <v>51.847999999999999</v>
      </c>
      <c r="C460" s="17">
        <f>51.4136 * CHOOSE(CONTROL!$C$9, $D$9, 100%, $F$9) + CHOOSE(CONTROL!$C$27, 0.0021, 0)</f>
        <v>51.415700000000001</v>
      </c>
      <c r="D460" s="17">
        <f>51.4136 * CHOOSE(CONTROL!$C$9, $D$9, 100%, $F$9) + CHOOSE(CONTROL!$C$27, 0.0021, 0)</f>
        <v>51.415700000000001</v>
      </c>
      <c r="E460" s="17">
        <f>51.277 * CHOOSE(CONTROL!$C$9, $D$9, 100%, $F$9) + CHOOSE(CONTROL!$C$27, 0.0021, 0)</f>
        <v>51.2791</v>
      </c>
      <c r="F460" s="17">
        <f>51.277 * CHOOSE(CONTROL!$C$9, $D$9, 100%, $F$9) + CHOOSE(CONTROL!$C$27, 0.0021, 0)</f>
        <v>51.2791</v>
      </c>
      <c r="G460" s="17">
        <f>51.5483 * CHOOSE(CONTROL!$C$9, $D$9, 100%, $F$9) + CHOOSE(CONTROL!$C$27, 0.0021, 0)</f>
        <v>51.550399999999996</v>
      </c>
      <c r="H460" s="17">
        <f>51.4136 * CHOOSE(CONTROL!$C$9, $D$9, 100%, $F$9) + CHOOSE(CONTROL!$C$27, 0.0021, 0)</f>
        <v>51.415700000000001</v>
      </c>
      <c r="I460" s="17">
        <f>51.4136 * CHOOSE(CONTROL!$C$9, $D$9, 100%, $F$9) + CHOOSE(CONTROL!$C$27, 0.0021, 0)</f>
        <v>51.415700000000001</v>
      </c>
      <c r="J460" s="17">
        <f>51.4136 * CHOOSE(CONTROL!$C$9, $D$9, 100%, $F$9) + CHOOSE(CONTROL!$C$27, 0.0021, 0)</f>
        <v>51.415700000000001</v>
      </c>
      <c r="K460" s="17">
        <f>51.4136 * CHOOSE(CONTROL!$C$9, $D$9, 100%, $F$9) + CHOOSE(CONTROL!$C$27, 0.0021, 0)</f>
        <v>51.415700000000001</v>
      </c>
      <c r="L460" s="17"/>
    </row>
    <row r="461" spans="1:12" ht="15.75" x14ac:dyDescent="0.25">
      <c r="A461" s="14">
        <v>54969</v>
      </c>
      <c r="B461" s="17">
        <f>52.4564 * CHOOSE(CONTROL!$C$9, $D$9, 100%, $F$9) + CHOOSE(CONTROL!$C$27, 0.0021, 0)</f>
        <v>52.458500000000001</v>
      </c>
      <c r="C461" s="17">
        <f>52.0241 * CHOOSE(CONTROL!$C$9, $D$9, 100%, $F$9) + CHOOSE(CONTROL!$C$27, 0.0021, 0)</f>
        <v>52.026199999999996</v>
      </c>
      <c r="D461" s="17">
        <f>52.0241 * CHOOSE(CONTROL!$C$9, $D$9, 100%, $F$9) + CHOOSE(CONTROL!$C$27, 0.0021, 0)</f>
        <v>52.026199999999996</v>
      </c>
      <c r="E461" s="17">
        <f>51.8874 * CHOOSE(CONTROL!$C$9, $D$9, 100%, $F$9) + CHOOSE(CONTROL!$C$27, 0.0021, 0)</f>
        <v>51.889499999999998</v>
      </c>
      <c r="F461" s="17">
        <f>51.8874 * CHOOSE(CONTROL!$C$9, $D$9, 100%, $F$9) + CHOOSE(CONTROL!$C$27, 0.0021, 0)</f>
        <v>51.889499999999998</v>
      </c>
      <c r="G461" s="17">
        <f>52.1588 * CHOOSE(CONTROL!$C$9, $D$9, 100%, $F$9) + CHOOSE(CONTROL!$C$27, 0.0021, 0)</f>
        <v>52.160899999999998</v>
      </c>
      <c r="H461" s="17">
        <f>52.0241 * CHOOSE(CONTROL!$C$9, $D$9, 100%, $F$9) + CHOOSE(CONTROL!$C$27, 0.0021, 0)</f>
        <v>52.026199999999996</v>
      </c>
      <c r="I461" s="17">
        <f>52.0241 * CHOOSE(CONTROL!$C$9, $D$9, 100%, $F$9) + CHOOSE(CONTROL!$C$27, 0.0021, 0)</f>
        <v>52.026199999999996</v>
      </c>
      <c r="J461" s="17">
        <f>52.0241 * CHOOSE(CONTROL!$C$9, $D$9, 100%, $F$9) + CHOOSE(CONTROL!$C$27, 0.0021, 0)</f>
        <v>52.026199999999996</v>
      </c>
      <c r="K461" s="17">
        <f>52.0241 * CHOOSE(CONTROL!$C$9, $D$9, 100%, $F$9) + CHOOSE(CONTROL!$C$27, 0.0021, 0)</f>
        <v>52.026199999999996</v>
      </c>
      <c r="L461" s="17"/>
    </row>
    <row r="462" spans="1:12" ht="15.75" x14ac:dyDescent="0.25">
      <c r="A462" s="14">
        <v>55000</v>
      </c>
      <c r="B462" s="17">
        <f>53.4634 * CHOOSE(CONTROL!$C$9, $D$9, 100%, $F$9) + CHOOSE(CONTROL!$C$27, 0.0021, 0)</f>
        <v>53.465499999999999</v>
      </c>
      <c r="C462" s="17">
        <f>53.0312 * CHOOSE(CONTROL!$C$9, $D$9, 100%, $F$9) + CHOOSE(CONTROL!$C$27, 0.0021, 0)</f>
        <v>53.033299999999997</v>
      </c>
      <c r="D462" s="17">
        <f>53.0312 * CHOOSE(CONTROL!$C$9, $D$9, 100%, $F$9) + CHOOSE(CONTROL!$C$27, 0.0021, 0)</f>
        <v>53.033299999999997</v>
      </c>
      <c r="E462" s="17">
        <f>52.8945 * CHOOSE(CONTROL!$C$9, $D$9, 100%, $F$9) + CHOOSE(CONTROL!$C$27, 0.0021, 0)</f>
        <v>52.896599999999999</v>
      </c>
      <c r="F462" s="17">
        <f>52.8945 * CHOOSE(CONTROL!$C$9, $D$9, 100%, $F$9) + CHOOSE(CONTROL!$C$27, 0.0021, 0)</f>
        <v>52.896599999999999</v>
      </c>
      <c r="G462" s="17">
        <f>53.1659 * CHOOSE(CONTROL!$C$9, $D$9, 100%, $F$9) + CHOOSE(CONTROL!$C$27, 0.0021, 0)</f>
        <v>53.167999999999999</v>
      </c>
      <c r="H462" s="17">
        <f>53.0312 * CHOOSE(CONTROL!$C$9, $D$9, 100%, $F$9) + CHOOSE(CONTROL!$C$27, 0.0021, 0)</f>
        <v>53.033299999999997</v>
      </c>
      <c r="I462" s="17">
        <f>53.0312 * CHOOSE(CONTROL!$C$9, $D$9, 100%, $F$9) + CHOOSE(CONTROL!$C$27, 0.0021, 0)</f>
        <v>53.033299999999997</v>
      </c>
      <c r="J462" s="17">
        <f>53.0312 * CHOOSE(CONTROL!$C$9, $D$9, 100%, $F$9) + CHOOSE(CONTROL!$C$27, 0.0021, 0)</f>
        <v>53.033299999999997</v>
      </c>
      <c r="K462" s="17">
        <f>53.0312 * CHOOSE(CONTROL!$C$9, $D$9, 100%, $F$9) + CHOOSE(CONTROL!$C$27, 0.0021, 0)</f>
        <v>53.033299999999997</v>
      </c>
      <c r="L462" s="17"/>
    </row>
    <row r="463" spans="1:12" ht="15.75" x14ac:dyDescent="0.25">
      <c r="A463" s="14">
        <v>55031</v>
      </c>
      <c r="B463" s="17">
        <f>53.7708 * CHOOSE(CONTROL!$C$9, $D$9, 100%, $F$9) + CHOOSE(CONTROL!$C$27, 0.0021, 0)</f>
        <v>53.7729</v>
      </c>
      <c r="C463" s="17">
        <f>53.3386 * CHOOSE(CONTROL!$C$9, $D$9, 100%, $F$9) + CHOOSE(CONTROL!$C$27, 0.0021, 0)</f>
        <v>53.340699999999998</v>
      </c>
      <c r="D463" s="17">
        <f>53.3386 * CHOOSE(CONTROL!$C$9, $D$9, 100%, $F$9) + CHOOSE(CONTROL!$C$27, 0.0021, 0)</f>
        <v>53.340699999999998</v>
      </c>
      <c r="E463" s="17">
        <f>53.2019 * CHOOSE(CONTROL!$C$9, $D$9, 100%, $F$9) + CHOOSE(CONTROL!$C$27, 0.0021, 0)</f>
        <v>53.204000000000001</v>
      </c>
      <c r="F463" s="17">
        <f>53.2019 * CHOOSE(CONTROL!$C$9, $D$9, 100%, $F$9) + CHOOSE(CONTROL!$C$27, 0.0021, 0)</f>
        <v>53.204000000000001</v>
      </c>
      <c r="G463" s="17">
        <f>53.4733 * CHOOSE(CONTROL!$C$9, $D$9, 100%, $F$9) + CHOOSE(CONTROL!$C$27, 0.0021, 0)</f>
        <v>53.4754</v>
      </c>
      <c r="H463" s="17">
        <f>53.3386 * CHOOSE(CONTROL!$C$9, $D$9, 100%, $F$9) + CHOOSE(CONTROL!$C$27, 0.0021, 0)</f>
        <v>53.340699999999998</v>
      </c>
      <c r="I463" s="17">
        <f>53.3386 * CHOOSE(CONTROL!$C$9, $D$9, 100%, $F$9) + CHOOSE(CONTROL!$C$27, 0.0021, 0)</f>
        <v>53.340699999999998</v>
      </c>
      <c r="J463" s="17">
        <f>53.3386 * CHOOSE(CONTROL!$C$9, $D$9, 100%, $F$9) + CHOOSE(CONTROL!$C$27, 0.0021, 0)</f>
        <v>53.340699999999998</v>
      </c>
      <c r="K463" s="17">
        <f>53.3386 * CHOOSE(CONTROL!$C$9, $D$9, 100%, $F$9) + CHOOSE(CONTROL!$C$27, 0.0021, 0)</f>
        <v>53.340699999999998</v>
      </c>
      <c r="L463" s="17"/>
    </row>
    <row r="464" spans="1:12" ht="15.75" x14ac:dyDescent="0.25">
      <c r="A464" s="14">
        <v>55061</v>
      </c>
      <c r="B464" s="17">
        <f>54.8176 * CHOOSE(CONTROL!$C$9, $D$9, 100%, $F$9) + CHOOSE(CONTROL!$C$27, 0.0021, 0)</f>
        <v>54.819699999999997</v>
      </c>
      <c r="C464" s="17">
        <f>54.3854 * CHOOSE(CONTROL!$C$9, $D$9, 100%, $F$9) + CHOOSE(CONTROL!$C$27, 0.0021, 0)</f>
        <v>54.387499999999996</v>
      </c>
      <c r="D464" s="17">
        <f>54.3854 * CHOOSE(CONTROL!$C$9, $D$9, 100%, $F$9) + CHOOSE(CONTROL!$C$27, 0.0021, 0)</f>
        <v>54.387499999999996</v>
      </c>
      <c r="E464" s="17">
        <f>54.2487 * CHOOSE(CONTROL!$C$9, $D$9, 100%, $F$9) + CHOOSE(CONTROL!$C$27, 0.0021, 0)</f>
        <v>54.250799999999998</v>
      </c>
      <c r="F464" s="17">
        <f>54.2487 * CHOOSE(CONTROL!$C$9, $D$9, 100%, $F$9) + CHOOSE(CONTROL!$C$27, 0.0021, 0)</f>
        <v>54.250799999999998</v>
      </c>
      <c r="G464" s="17">
        <f>54.5201 * CHOOSE(CONTROL!$C$9, $D$9, 100%, $F$9) + CHOOSE(CONTROL!$C$27, 0.0021, 0)</f>
        <v>54.522199999999998</v>
      </c>
      <c r="H464" s="17">
        <f>54.3854 * CHOOSE(CONTROL!$C$9, $D$9, 100%, $F$9) + CHOOSE(CONTROL!$C$27, 0.0021, 0)</f>
        <v>54.387499999999996</v>
      </c>
      <c r="I464" s="17">
        <f>54.3854 * CHOOSE(CONTROL!$C$9, $D$9, 100%, $F$9) + CHOOSE(CONTROL!$C$27, 0.0021, 0)</f>
        <v>54.387499999999996</v>
      </c>
      <c r="J464" s="17">
        <f>54.3854 * CHOOSE(CONTROL!$C$9, $D$9, 100%, $F$9) + CHOOSE(CONTROL!$C$27, 0.0021, 0)</f>
        <v>54.387499999999996</v>
      </c>
      <c r="K464" s="17">
        <f>54.3854 * CHOOSE(CONTROL!$C$9, $D$9, 100%, $F$9) + CHOOSE(CONTROL!$C$27, 0.0021, 0)</f>
        <v>54.387499999999996</v>
      </c>
      <c r="L464" s="17"/>
    </row>
    <row r="465" spans="1:12" ht="15.75" x14ac:dyDescent="0.25">
      <c r="A465" s="14">
        <v>55092</v>
      </c>
      <c r="B465" s="17">
        <f>56.1427 * CHOOSE(CONTROL!$C$9, $D$9, 100%, $F$9) + CHOOSE(CONTROL!$C$27, 0.0021, 0)</f>
        <v>56.144799999999996</v>
      </c>
      <c r="C465" s="17">
        <f>55.7105 * CHOOSE(CONTROL!$C$9, $D$9, 100%, $F$9) + CHOOSE(CONTROL!$C$27, 0.0021, 0)</f>
        <v>55.712600000000002</v>
      </c>
      <c r="D465" s="17">
        <f>55.7105 * CHOOSE(CONTROL!$C$9, $D$9, 100%, $F$9) + CHOOSE(CONTROL!$C$27, 0.0021, 0)</f>
        <v>55.712600000000002</v>
      </c>
      <c r="E465" s="17">
        <f>55.5738 * CHOOSE(CONTROL!$C$9, $D$9, 100%, $F$9) + CHOOSE(CONTROL!$C$27, 0.0021, 0)</f>
        <v>55.575899999999997</v>
      </c>
      <c r="F465" s="17">
        <f>55.5738 * CHOOSE(CONTROL!$C$9, $D$9, 100%, $F$9) + CHOOSE(CONTROL!$C$27, 0.0021, 0)</f>
        <v>55.575899999999997</v>
      </c>
      <c r="G465" s="17">
        <f>55.8452 * CHOOSE(CONTROL!$C$9, $D$9, 100%, $F$9) + CHOOSE(CONTROL!$C$27, 0.0021, 0)</f>
        <v>55.847299999999997</v>
      </c>
      <c r="H465" s="17">
        <f>55.7105 * CHOOSE(CONTROL!$C$9, $D$9, 100%, $F$9) + CHOOSE(CONTROL!$C$27, 0.0021, 0)</f>
        <v>55.712600000000002</v>
      </c>
      <c r="I465" s="17">
        <f>55.7105 * CHOOSE(CONTROL!$C$9, $D$9, 100%, $F$9) + CHOOSE(CONTROL!$C$27, 0.0021, 0)</f>
        <v>55.712600000000002</v>
      </c>
      <c r="J465" s="17">
        <f>55.7105 * CHOOSE(CONTROL!$C$9, $D$9, 100%, $F$9) + CHOOSE(CONTROL!$C$27, 0.0021, 0)</f>
        <v>55.712600000000002</v>
      </c>
      <c r="K465" s="17">
        <f>55.7105 * CHOOSE(CONTROL!$C$9, $D$9, 100%, $F$9) + CHOOSE(CONTROL!$C$27, 0.0021, 0)</f>
        <v>55.712600000000002</v>
      </c>
      <c r="L465" s="17"/>
    </row>
    <row r="466" spans="1:12" ht="15.75" x14ac:dyDescent="0.25">
      <c r="A466" s="14">
        <v>55122</v>
      </c>
      <c r="B466" s="17">
        <f>56.2671 * CHOOSE(CONTROL!$C$9, $D$9, 100%, $F$9) + CHOOSE(CONTROL!$C$27, 0.0021, 0)</f>
        <v>56.269199999999998</v>
      </c>
      <c r="C466" s="17">
        <f>55.8349 * CHOOSE(CONTROL!$C$9, $D$9, 100%, $F$9) + CHOOSE(CONTROL!$C$27, 0.0021, 0)</f>
        <v>55.836999999999996</v>
      </c>
      <c r="D466" s="17">
        <f>55.8349 * CHOOSE(CONTROL!$C$9, $D$9, 100%, $F$9) + CHOOSE(CONTROL!$C$27, 0.0021, 0)</f>
        <v>55.836999999999996</v>
      </c>
      <c r="E466" s="17">
        <f>55.6982 * CHOOSE(CONTROL!$C$9, $D$9, 100%, $F$9) + CHOOSE(CONTROL!$C$27, 0.0021, 0)</f>
        <v>55.700299999999999</v>
      </c>
      <c r="F466" s="17">
        <f>55.6982 * CHOOSE(CONTROL!$C$9, $D$9, 100%, $F$9) + CHOOSE(CONTROL!$C$27, 0.0021, 0)</f>
        <v>55.700299999999999</v>
      </c>
      <c r="G466" s="17">
        <f>55.9696 * CHOOSE(CONTROL!$C$9, $D$9, 100%, $F$9) + CHOOSE(CONTROL!$C$27, 0.0021, 0)</f>
        <v>55.971699999999998</v>
      </c>
      <c r="H466" s="17">
        <f>55.8349 * CHOOSE(CONTROL!$C$9, $D$9, 100%, $F$9) + CHOOSE(CONTROL!$C$27, 0.0021, 0)</f>
        <v>55.836999999999996</v>
      </c>
      <c r="I466" s="17">
        <f>55.8349 * CHOOSE(CONTROL!$C$9, $D$9, 100%, $F$9) + CHOOSE(CONTROL!$C$27, 0.0021, 0)</f>
        <v>55.836999999999996</v>
      </c>
      <c r="J466" s="17">
        <f>55.8349 * CHOOSE(CONTROL!$C$9, $D$9, 100%, $F$9) + CHOOSE(CONTROL!$C$27, 0.0021, 0)</f>
        <v>55.836999999999996</v>
      </c>
      <c r="K466" s="17">
        <f>55.8349 * CHOOSE(CONTROL!$C$9, $D$9, 100%, $F$9) + CHOOSE(CONTROL!$C$27, 0.0021, 0)</f>
        <v>55.836999999999996</v>
      </c>
      <c r="L466" s="17"/>
    </row>
    <row r="467" spans="1:12" ht="15.75" x14ac:dyDescent="0.25">
      <c r="A467" s="14">
        <v>55153</v>
      </c>
      <c r="B467" s="17">
        <f>55.2088 * CHOOSE(CONTROL!$C$9, $D$9, 100%, $F$9) + CHOOSE(CONTROL!$C$27, 0.0021, 0)</f>
        <v>55.210899999999995</v>
      </c>
      <c r="C467" s="17">
        <f>54.7765 * CHOOSE(CONTROL!$C$9, $D$9, 100%, $F$9) + CHOOSE(CONTROL!$C$27, 0.0021, 0)</f>
        <v>54.778599999999997</v>
      </c>
      <c r="D467" s="17">
        <f>54.7765 * CHOOSE(CONTROL!$C$9, $D$9, 100%, $F$9) + CHOOSE(CONTROL!$C$27, 0.0021, 0)</f>
        <v>54.778599999999997</v>
      </c>
      <c r="E467" s="17">
        <f>54.6399 * CHOOSE(CONTROL!$C$9, $D$9, 100%, $F$9) + CHOOSE(CONTROL!$C$27, 0.0021, 0)</f>
        <v>54.641999999999996</v>
      </c>
      <c r="F467" s="17">
        <f>54.6399 * CHOOSE(CONTROL!$C$9, $D$9, 100%, $F$9) + CHOOSE(CONTROL!$C$27, 0.0021, 0)</f>
        <v>54.641999999999996</v>
      </c>
      <c r="G467" s="17">
        <f>54.9113 * CHOOSE(CONTROL!$C$9, $D$9, 100%, $F$9) + CHOOSE(CONTROL!$C$27, 0.0021, 0)</f>
        <v>54.913399999999996</v>
      </c>
      <c r="H467" s="17">
        <f>54.7765 * CHOOSE(CONTROL!$C$9, $D$9, 100%, $F$9) + CHOOSE(CONTROL!$C$27, 0.0021, 0)</f>
        <v>54.778599999999997</v>
      </c>
      <c r="I467" s="17">
        <f>54.7765 * CHOOSE(CONTROL!$C$9, $D$9, 100%, $F$9) + CHOOSE(CONTROL!$C$27, 0.0021, 0)</f>
        <v>54.778599999999997</v>
      </c>
      <c r="J467" s="17">
        <f>54.7765 * CHOOSE(CONTROL!$C$9, $D$9, 100%, $F$9) + CHOOSE(CONTROL!$C$27, 0.0021, 0)</f>
        <v>54.778599999999997</v>
      </c>
      <c r="K467" s="17">
        <f>54.7765 * CHOOSE(CONTROL!$C$9, $D$9, 100%, $F$9) + CHOOSE(CONTROL!$C$27, 0.0021, 0)</f>
        <v>54.778599999999997</v>
      </c>
      <c r="L467" s="17"/>
    </row>
    <row r="468" spans="1:12" ht="15.75" x14ac:dyDescent="0.25">
      <c r="A468" s="14">
        <v>55184</v>
      </c>
      <c r="B468" s="17">
        <f>54.5399 * CHOOSE(CONTROL!$C$9, $D$9, 100%, $F$9) + CHOOSE(CONTROL!$C$27, 0.0021, 0)</f>
        <v>54.542000000000002</v>
      </c>
      <c r="C468" s="17">
        <f>54.1076 * CHOOSE(CONTROL!$C$9, $D$9, 100%, $F$9) + CHOOSE(CONTROL!$C$27, 0.0021, 0)</f>
        <v>54.109699999999997</v>
      </c>
      <c r="D468" s="17">
        <f>54.1076 * CHOOSE(CONTROL!$C$9, $D$9, 100%, $F$9) + CHOOSE(CONTROL!$C$27, 0.0021, 0)</f>
        <v>54.109699999999997</v>
      </c>
      <c r="E468" s="17">
        <f>53.971 * CHOOSE(CONTROL!$C$9, $D$9, 100%, $F$9) + CHOOSE(CONTROL!$C$27, 0.0021, 0)</f>
        <v>53.973099999999995</v>
      </c>
      <c r="F468" s="17">
        <f>53.971 * CHOOSE(CONTROL!$C$9, $D$9, 100%, $F$9) + CHOOSE(CONTROL!$C$27, 0.0021, 0)</f>
        <v>53.973099999999995</v>
      </c>
      <c r="G468" s="17">
        <f>54.2424 * CHOOSE(CONTROL!$C$9, $D$9, 100%, $F$9) + CHOOSE(CONTROL!$C$27, 0.0021, 0)</f>
        <v>54.244500000000002</v>
      </c>
      <c r="H468" s="17">
        <f>54.1076 * CHOOSE(CONTROL!$C$9, $D$9, 100%, $F$9) + CHOOSE(CONTROL!$C$27, 0.0021, 0)</f>
        <v>54.109699999999997</v>
      </c>
      <c r="I468" s="17">
        <f>54.1076 * CHOOSE(CONTROL!$C$9, $D$9, 100%, $F$9) + CHOOSE(CONTROL!$C$27, 0.0021, 0)</f>
        <v>54.109699999999997</v>
      </c>
      <c r="J468" s="17">
        <f>54.1076 * CHOOSE(CONTROL!$C$9, $D$9, 100%, $F$9) + CHOOSE(CONTROL!$C$27, 0.0021, 0)</f>
        <v>54.109699999999997</v>
      </c>
      <c r="K468" s="17">
        <f>54.1076 * CHOOSE(CONTROL!$C$9, $D$9, 100%, $F$9) + CHOOSE(CONTROL!$C$27, 0.0021, 0)</f>
        <v>54.109699999999997</v>
      </c>
      <c r="L468" s="17"/>
    </row>
    <row r="469" spans="1:12" ht="15.75" x14ac:dyDescent="0.25">
      <c r="A469" s="14">
        <v>55212</v>
      </c>
      <c r="B469" s="17">
        <f>53.062 * CHOOSE(CONTROL!$C$9, $D$9, 100%, $F$9) + CHOOSE(CONTROL!$C$27, 0.0021, 0)</f>
        <v>53.064099999999996</v>
      </c>
      <c r="C469" s="17">
        <f>52.6298 * CHOOSE(CONTROL!$C$9, $D$9, 100%, $F$9) + CHOOSE(CONTROL!$C$27, 0.0021, 0)</f>
        <v>52.631900000000002</v>
      </c>
      <c r="D469" s="17">
        <f>52.6298 * CHOOSE(CONTROL!$C$9, $D$9, 100%, $F$9) + CHOOSE(CONTROL!$C$27, 0.0021, 0)</f>
        <v>52.631900000000002</v>
      </c>
      <c r="E469" s="17">
        <f>52.4931 * CHOOSE(CONTROL!$C$9, $D$9, 100%, $F$9) + CHOOSE(CONTROL!$C$27, 0.0021, 0)</f>
        <v>52.495199999999997</v>
      </c>
      <c r="F469" s="17">
        <f>52.4931 * CHOOSE(CONTROL!$C$9, $D$9, 100%, $F$9) + CHOOSE(CONTROL!$C$27, 0.0021, 0)</f>
        <v>52.495199999999997</v>
      </c>
      <c r="G469" s="17">
        <f>52.7645 * CHOOSE(CONTROL!$C$9, $D$9, 100%, $F$9) + CHOOSE(CONTROL!$C$27, 0.0021, 0)</f>
        <v>52.766599999999997</v>
      </c>
      <c r="H469" s="17">
        <f>52.6298 * CHOOSE(CONTROL!$C$9, $D$9, 100%, $F$9) + CHOOSE(CONTROL!$C$27, 0.0021, 0)</f>
        <v>52.631900000000002</v>
      </c>
      <c r="I469" s="17">
        <f>52.6298 * CHOOSE(CONTROL!$C$9, $D$9, 100%, $F$9) + CHOOSE(CONTROL!$C$27, 0.0021, 0)</f>
        <v>52.631900000000002</v>
      </c>
      <c r="J469" s="17">
        <f>52.6298 * CHOOSE(CONTROL!$C$9, $D$9, 100%, $F$9) + CHOOSE(CONTROL!$C$27, 0.0021, 0)</f>
        <v>52.631900000000002</v>
      </c>
      <c r="K469" s="17">
        <f>52.6298 * CHOOSE(CONTROL!$C$9, $D$9, 100%, $F$9) + CHOOSE(CONTROL!$C$27, 0.0021, 0)</f>
        <v>52.631900000000002</v>
      </c>
      <c r="L469" s="17"/>
    </row>
    <row r="470" spans="1:12" ht="15.75" x14ac:dyDescent="0.25">
      <c r="A470" s="14">
        <v>55243</v>
      </c>
      <c r="B470" s="17">
        <f>52.452 * CHOOSE(CONTROL!$C$9, $D$9, 100%, $F$9) + CHOOSE(CONTROL!$C$27, 0.0021, 0)</f>
        <v>52.454099999999997</v>
      </c>
      <c r="C470" s="17">
        <f>52.0197 * CHOOSE(CONTROL!$C$9, $D$9, 100%, $F$9) + CHOOSE(CONTROL!$C$27, 0.0021, 0)</f>
        <v>52.021799999999999</v>
      </c>
      <c r="D470" s="17">
        <f>52.0197 * CHOOSE(CONTROL!$C$9, $D$9, 100%, $F$9) + CHOOSE(CONTROL!$C$27, 0.0021, 0)</f>
        <v>52.021799999999999</v>
      </c>
      <c r="E470" s="17">
        <f>51.8831 * CHOOSE(CONTROL!$C$9, $D$9, 100%, $F$9) + CHOOSE(CONTROL!$C$27, 0.0021, 0)</f>
        <v>51.885199999999998</v>
      </c>
      <c r="F470" s="17">
        <f>51.8831 * CHOOSE(CONTROL!$C$9, $D$9, 100%, $F$9) + CHOOSE(CONTROL!$C$27, 0.0021, 0)</f>
        <v>51.885199999999998</v>
      </c>
      <c r="G470" s="17">
        <f>52.1545 * CHOOSE(CONTROL!$C$9, $D$9, 100%, $F$9) + CHOOSE(CONTROL!$C$27, 0.0021, 0)</f>
        <v>52.156599999999997</v>
      </c>
      <c r="H470" s="17">
        <f>52.0197 * CHOOSE(CONTROL!$C$9, $D$9, 100%, $F$9) + CHOOSE(CONTROL!$C$27, 0.0021, 0)</f>
        <v>52.021799999999999</v>
      </c>
      <c r="I470" s="17">
        <f>52.0197 * CHOOSE(CONTROL!$C$9, $D$9, 100%, $F$9) + CHOOSE(CONTROL!$C$27, 0.0021, 0)</f>
        <v>52.021799999999999</v>
      </c>
      <c r="J470" s="17">
        <f>52.0197 * CHOOSE(CONTROL!$C$9, $D$9, 100%, $F$9) + CHOOSE(CONTROL!$C$27, 0.0021, 0)</f>
        <v>52.021799999999999</v>
      </c>
      <c r="K470" s="17">
        <f>52.0197 * CHOOSE(CONTROL!$C$9, $D$9, 100%, $F$9) + CHOOSE(CONTROL!$C$27, 0.0021, 0)</f>
        <v>52.021799999999999</v>
      </c>
      <c r="L470" s="17"/>
    </row>
    <row r="471" spans="1:12" ht="15.75" x14ac:dyDescent="0.25">
      <c r="A471" s="14">
        <v>55273</v>
      </c>
      <c r="B471" s="17">
        <f>51.7236 * CHOOSE(CONTROL!$C$9, $D$9, 100%, $F$9) + CHOOSE(CONTROL!$C$27, 0.0021, 0)</f>
        <v>51.725699999999996</v>
      </c>
      <c r="C471" s="17">
        <f>51.2913 * CHOOSE(CONTROL!$C$9, $D$9, 100%, $F$9) + CHOOSE(CONTROL!$C$27, 0.0021, 0)</f>
        <v>51.293399999999998</v>
      </c>
      <c r="D471" s="17">
        <f>51.2913 * CHOOSE(CONTROL!$C$9, $D$9, 100%, $F$9) + CHOOSE(CONTROL!$C$27, 0.0021, 0)</f>
        <v>51.293399999999998</v>
      </c>
      <c r="E471" s="17">
        <f>51.1547 * CHOOSE(CONTROL!$C$9, $D$9, 100%, $F$9) + CHOOSE(CONTROL!$C$27, 0.0021, 0)</f>
        <v>51.156799999999997</v>
      </c>
      <c r="F471" s="17">
        <f>51.1547 * CHOOSE(CONTROL!$C$9, $D$9, 100%, $F$9) + CHOOSE(CONTROL!$C$27, 0.0021, 0)</f>
        <v>51.156799999999997</v>
      </c>
      <c r="G471" s="17">
        <f>51.426 * CHOOSE(CONTROL!$C$9, $D$9, 100%, $F$9) + CHOOSE(CONTROL!$C$27, 0.0021, 0)</f>
        <v>51.428100000000001</v>
      </c>
      <c r="H471" s="17">
        <f>51.2913 * CHOOSE(CONTROL!$C$9, $D$9, 100%, $F$9) + CHOOSE(CONTROL!$C$27, 0.0021, 0)</f>
        <v>51.293399999999998</v>
      </c>
      <c r="I471" s="17">
        <f>51.2913 * CHOOSE(CONTROL!$C$9, $D$9, 100%, $F$9) + CHOOSE(CONTROL!$C$27, 0.0021, 0)</f>
        <v>51.293399999999998</v>
      </c>
      <c r="J471" s="17">
        <f>51.2913 * CHOOSE(CONTROL!$C$9, $D$9, 100%, $F$9) + CHOOSE(CONTROL!$C$27, 0.0021, 0)</f>
        <v>51.293399999999998</v>
      </c>
      <c r="K471" s="17">
        <f>51.2913 * CHOOSE(CONTROL!$C$9, $D$9, 100%, $F$9) + CHOOSE(CONTROL!$C$27, 0.0021, 0)</f>
        <v>51.293399999999998</v>
      </c>
      <c r="L471" s="17"/>
    </row>
    <row r="472" spans="1:12" ht="15.75" x14ac:dyDescent="0.25">
      <c r="A472" s="14">
        <v>55304</v>
      </c>
      <c r="B472" s="17">
        <f>52.7617 * CHOOSE(CONTROL!$C$9, $D$9, 100%, $F$9) + CHOOSE(CONTROL!$C$27, 0.0021, 0)</f>
        <v>52.763799999999996</v>
      </c>
      <c r="C472" s="17">
        <f>52.3294 * CHOOSE(CONTROL!$C$9, $D$9, 100%, $F$9) + CHOOSE(CONTROL!$C$27, 0.0021, 0)</f>
        <v>52.331499999999998</v>
      </c>
      <c r="D472" s="17">
        <f>52.3294 * CHOOSE(CONTROL!$C$9, $D$9, 100%, $F$9) + CHOOSE(CONTROL!$C$27, 0.0021, 0)</f>
        <v>52.331499999999998</v>
      </c>
      <c r="E472" s="17">
        <f>52.1927 * CHOOSE(CONTROL!$C$9, $D$9, 100%, $F$9) + CHOOSE(CONTROL!$C$27, 0.0021, 0)</f>
        <v>52.194800000000001</v>
      </c>
      <c r="F472" s="17">
        <f>52.1927 * CHOOSE(CONTROL!$C$9, $D$9, 100%, $F$9) + CHOOSE(CONTROL!$C$27, 0.0021, 0)</f>
        <v>52.194800000000001</v>
      </c>
      <c r="G472" s="17">
        <f>52.4641 * CHOOSE(CONTROL!$C$9, $D$9, 100%, $F$9) + CHOOSE(CONTROL!$C$27, 0.0021, 0)</f>
        <v>52.466200000000001</v>
      </c>
      <c r="H472" s="17">
        <f>52.3294 * CHOOSE(CONTROL!$C$9, $D$9, 100%, $F$9) + CHOOSE(CONTROL!$C$27, 0.0021, 0)</f>
        <v>52.331499999999998</v>
      </c>
      <c r="I472" s="17">
        <f>52.3294 * CHOOSE(CONTROL!$C$9, $D$9, 100%, $F$9) + CHOOSE(CONTROL!$C$27, 0.0021, 0)</f>
        <v>52.331499999999998</v>
      </c>
      <c r="J472" s="17">
        <f>52.3294 * CHOOSE(CONTROL!$C$9, $D$9, 100%, $F$9) + CHOOSE(CONTROL!$C$27, 0.0021, 0)</f>
        <v>52.331499999999998</v>
      </c>
      <c r="K472" s="17">
        <f>52.3294 * CHOOSE(CONTROL!$C$9, $D$9, 100%, $F$9) + CHOOSE(CONTROL!$C$27, 0.0021, 0)</f>
        <v>52.331499999999998</v>
      </c>
      <c r="L472" s="17"/>
    </row>
    <row r="473" spans="1:12" ht="15.75" x14ac:dyDescent="0.25">
      <c r="A473" s="14">
        <v>55334</v>
      </c>
      <c r="B473" s="17">
        <f>53.3834 * CHOOSE(CONTROL!$C$9, $D$9, 100%, $F$9) + CHOOSE(CONTROL!$C$27, 0.0021, 0)</f>
        <v>53.3855</v>
      </c>
      <c r="C473" s="17">
        <f>52.9512 * CHOOSE(CONTROL!$C$9, $D$9, 100%, $F$9) + CHOOSE(CONTROL!$C$27, 0.0021, 0)</f>
        <v>52.953299999999999</v>
      </c>
      <c r="D473" s="17">
        <f>52.9512 * CHOOSE(CONTROL!$C$9, $D$9, 100%, $F$9) + CHOOSE(CONTROL!$C$27, 0.0021, 0)</f>
        <v>52.953299999999999</v>
      </c>
      <c r="E473" s="17">
        <f>52.8145 * CHOOSE(CONTROL!$C$9, $D$9, 100%, $F$9) + CHOOSE(CONTROL!$C$27, 0.0021, 0)</f>
        <v>52.816600000000001</v>
      </c>
      <c r="F473" s="17">
        <f>52.8145 * CHOOSE(CONTROL!$C$9, $D$9, 100%, $F$9) + CHOOSE(CONTROL!$C$27, 0.0021, 0)</f>
        <v>52.816600000000001</v>
      </c>
      <c r="G473" s="17">
        <f>53.0859 * CHOOSE(CONTROL!$C$9, $D$9, 100%, $F$9) + CHOOSE(CONTROL!$C$27, 0.0021, 0)</f>
        <v>53.088000000000001</v>
      </c>
      <c r="H473" s="17">
        <f>52.9512 * CHOOSE(CONTROL!$C$9, $D$9, 100%, $F$9) + CHOOSE(CONTROL!$C$27, 0.0021, 0)</f>
        <v>52.953299999999999</v>
      </c>
      <c r="I473" s="17">
        <f>52.9512 * CHOOSE(CONTROL!$C$9, $D$9, 100%, $F$9) + CHOOSE(CONTROL!$C$27, 0.0021, 0)</f>
        <v>52.953299999999999</v>
      </c>
      <c r="J473" s="17">
        <f>52.9512 * CHOOSE(CONTROL!$C$9, $D$9, 100%, $F$9) + CHOOSE(CONTROL!$C$27, 0.0021, 0)</f>
        <v>52.953299999999999</v>
      </c>
      <c r="K473" s="17">
        <f>52.9512 * CHOOSE(CONTROL!$C$9, $D$9, 100%, $F$9) + CHOOSE(CONTROL!$C$27, 0.0021, 0)</f>
        <v>52.953299999999999</v>
      </c>
      <c r="L473" s="17"/>
    </row>
    <row r="474" spans="1:12" ht="15.75" x14ac:dyDescent="0.25">
      <c r="A474" s="14">
        <v>55365</v>
      </c>
      <c r="B474" s="17">
        <f>54.4091 * CHOOSE(CONTROL!$C$9, $D$9, 100%, $F$9) + CHOOSE(CONTROL!$C$27, 0.0021, 0)</f>
        <v>54.411200000000001</v>
      </c>
      <c r="C474" s="17">
        <f>53.9769 * CHOOSE(CONTROL!$C$9, $D$9, 100%, $F$9) + CHOOSE(CONTROL!$C$27, 0.0021, 0)</f>
        <v>53.978999999999999</v>
      </c>
      <c r="D474" s="17">
        <f>53.9769 * CHOOSE(CONTROL!$C$9, $D$9, 100%, $F$9) + CHOOSE(CONTROL!$C$27, 0.0021, 0)</f>
        <v>53.978999999999999</v>
      </c>
      <c r="E474" s="17">
        <f>53.8402 * CHOOSE(CONTROL!$C$9, $D$9, 100%, $F$9) + CHOOSE(CONTROL!$C$27, 0.0021, 0)</f>
        <v>53.842300000000002</v>
      </c>
      <c r="F474" s="17">
        <f>53.8402 * CHOOSE(CONTROL!$C$9, $D$9, 100%, $F$9) + CHOOSE(CONTROL!$C$27, 0.0021, 0)</f>
        <v>53.842300000000002</v>
      </c>
      <c r="G474" s="17">
        <f>54.1116 * CHOOSE(CONTROL!$C$9, $D$9, 100%, $F$9) + CHOOSE(CONTROL!$C$27, 0.0021, 0)</f>
        <v>54.113700000000001</v>
      </c>
      <c r="H474" s="17">
        <f>53.9769 * CHOOSE(CONTROL!$C$9, $D$9, 100%, $F$9) + CHOOSE(CONTROL!$C$27, 0.0021, 0)</f>
        <v>53.978999999999999</v>
      </c>
      <c r="I474" s="17">
        <f>53.9769 * CHOOSE(CONTROL!$C$9, $D$9, 100%, $F$9) + CHOOSE(CONTROL!$C$27, 0.0021, 0)</f>
        <v>53.978999999999999</v>
      </c>
      <c r="J474" s="17">
        <f>53.9769 * CHOOSE(CONTROL!$C$9, $D$9, 100%, $F$9) + CHOOSE(CONTROL!$C$27, 0.0021, 0)</f>
        <v>53.978999999999999</v>
      </c>
      <c r="K474" s="17">
        <f>53.9769 * CHOOSE(CONTROL!$C$9, $D$9, 100%, $F$9) + CHOOSE(CONTROL!$C$27, 0.0021, 0)</f>
        <v>53.978999999999999</v>
      </c>
      <c r="L474" s="17"/>
    </row>
    <row r="475" spans="1:12" ht="15.75" x14ac:dyDescent="0.25">
      <c r="A475" s="14">
        <v>55396</v>
      </c>
      <c r="B475" s="17">
        <f>54.7222 * CHOOSE(CONTROL!$C$9, $D$9, 100%, $F$9) + CHOOSE(CONTROL!$C$27, 0.0021, 0)</f>
        <v>54.724299999999999</v>
      </c>
      <c r="C475" s="17">
        <f>54.2899 * CHOOSE(CONTROL!$C$9, $D$9, 100%, $F$9) + CHOOSE(CONTROL!$C$27, 0.0021, 0)</f>
        <v>54.292000000000002</v>
      </c>
      <c r="D475" s="17">
        <f>54.2899 * CHOOSE(CONTROL!$C$9, $D$9, 100%, $F$9) + CHOOSE(CONTROL!$C$27, 0.0021, 0)</f>
        <v>54.292000000000002</v>
      </c>
      <c r="E475" s="17">
        <f>54.1533 * CHOOSE(CONTROL!$C$9, $D$9, 100%, $F$9) + CHOOSE(CONTROL!$C$27, 0.0021, 0)</f>
        <v>54.1554</v>
      </c>
      <c r="F475" s="17">
        <f>54.1533 * CHOOSE(CONTROL!$C$9, $D$9, 100%, $F$9) + CHOOSE(CONTROL!$C$27, 0.0021, 0)</f>
        <v>54.1554</v>
      </c>
      <c r="G475" s="17">
        <f>54.4246 * CHOOSE(CONTROL!$C$9, $D$9, 100%, $F$9) + CHOOSE(CONTROL!$C$27, 0.0021, 0)</f>
        <v>54.426699999999997</v>
      </c>
      <c r="H475" s="17">
        <f>54.2899 * CHOOSE(CONTROL!$C$9, $D$9, 100%, $F$9) + CHOOSE(CONTROL!$C$27, 0.0021, 0)</f>
        <v>54.292000000000002</v>
      </c>
      <c r="I475" s="17">
        <f>54.2899 * CHOOSE(CONTROL!$C$9, $D$9, 100%, $F$9) + CHOOSE(CONTROL!$C$27, 0.0021, 0)</f>
        <v>54.292000000000002</v>
      </c>
      <c r="J475" s="17">
        <f>54.2899 * CHOOSE(CONTROL!$C$9, $D$9, 100%, $F$9) + CHOOSE(CONTROL!$C$27, 0.0021, 0)</f>
        <v>54.292000000000002</v>
      </c>
      <c r="K475" s="17">
        <f>54.2899 * CHOOSE(CONTROL!$C$9, $D$9, 100%, $F$9) + CHOOSE(CONTROL!$C$27, 0.0021, 0)</f>
        <v>54.292000000000002</v>
      </c>
      <c r="L475" s="17"/>
    </row>
    <row r="476" spans="1:12" ht="15.75" x14ac:dyDescent="0.25">
      <c r="A476" s="14">
        <v>55426</v>
      </c>
      <c r="B476" s="17">
        <f>55.7883 * CHOOSE(CONTROL!$C$9, $D$9, 100%, $F$9) + CHOOSE(CONTROL!$C$27, 0.0021, 0)</f>
        <v>55.790399999999998</v>
      </c>
      <c r="C476" s="17">
        <f>55.3561 * CHOOSE(CONTROL!$C$9, $D$9, 100%, $F$9) + CHOOSE(CONTROL!$C$27, 0.0021, 0)</f>
        <v>55.358199999999997</v>
      </c>
      <c r="D476" s="17">
        <f>55.3561 * CHOOSE(CONTROL!$C$9, $D$9, 100%, $F$9) + CHOOSE(CONTROL!$C$27, 0.0021, 0)</f>
        <v>55.358199999999997</v>
      </c>
      <c r="E476" s="17">
        <f>55.2194 * CHOOSE(CONTROL!$C$9, $D$9, 100%, $F$9) + CHOOSE(CONTROL!$C$27, 0.0021, 0)</f>
        <v>55.221499999999999</v>
      </c>
      <c r="F476" s="17">
        <f>55.2194 * CHOOSE(CONTROL!$C$9, $D$9, 100%, $F$9) + CHOOSE(CONTROL!$C$27, 0.0021, 0)</f>
        <v>55.221499999999999</v>
      </c>
      <c r="G476" s="17">
        <f>55.4908 * CHOOSE(CONTROL!$C$9, $D$9, 100%, $F$9) + CHOOSE(CONTROL!$C$27, 0.0021, 0)</f>
        <v>55.492899999999999</v>
      </c>
      <c r="H476" s="17">
        <f>55.3561 * CHOOSE(CONTROL!$C$9, $D$9, 100%, $F$9) + CHOOSE(CONTROL!$C$27, 0.0021, 0)</f>
        <v>55.358199999999997</v>
      </c>
      <c r="I476" s="17">
        <f>55.3561 * CHOOSE(CONTROL!$C$9, $D$9, 100%, $F$9) + CHOOSE(CONTROL!$C$27, 0.0021, 0)</f>
        <v>55.358199999999997</v>
      </c>
      <c r="J476" s="17">
        <f>55.3561 * CHOOSE(CONTROL!$C$9, $D$9, 100%, $F$9) + CHOOSE(CONTROL!$C$27, 0.0021, 0)</f>
        <v>55.358199999999997</v>
      </c>
      <c r="K476" s="17">
        <f>55.3561 * CHOOSE(CONTROL!$C$9, $D$9, 100%, $F$9) + CHOOSE(CONTROL!$C$27, 0.0021, 0)</f>
        <v>55.358199999999997</v>
      </c>
      <c r="L476" s="17"/>
    </row>
    <row r="477" spans="1:12" ht="15.75" x14ac:dyDescent="0.25">
      <c r="A477" s="14">
        <v>55457</v>
      </c>
      <c r="B477" s="17">
        <f>57.1379 * CHOOSE(CONTROL!$C$9, $D$9, 100%, $F$9) + CHOOSE(CONTROL!$C$27, 0.0021, 0)</f>
        <v>57.14</v>
      </c>
      <c r="C477" s="17">
        <f>56.7057 * CHOOSE(CONTROL!$C$9, $D$9, 100%, $F$9) + CHOOSE(CONTROL!$C$27, 0.0021, 0)</f>
        <v>56.707799999999999</v>
      </c>
      <c r="D477" s="17">
        <f>56.7057 * CHOOSE(CONTROL!$C$9, $D$9, 100%, $F$9) + CHOOSE(CONTROL!$C$27, 0.0021, 0)</f>
        <v>56.707799999999999</v>
      </c>
      <c r="E477" s="17">
        <f>56.569 * CHOOSE(CONTROL!$C$9, $D$9, 100%, $F$9) + CHOOSE(CONTROL!$C$27, 0.0021, 0)</f>
        <v>56.571100000000001</v>
      </c>
      <c r="F477" s="17">
        <f>56.569 * CHOOSE(CONTROL!$C$9, $D$9, 100%, $F$9) + CHOOSE(CONTROL!$C$27, 0.0021, 0)</f>
        <v>56.571100000000001</v>
      </c>
      <c r="G477" s="17">
        <f>56.8404 * CHOOSE(CONTROL!$C$9, $D$9, 100%, $F$9) + CHOOSE(CONTROL!$C$27, 0.0021, 0)</f>
        <v>56.842500000000001</v>
      </c>
      <c r="H477" s="17">
        <f>56.7057 * CHOOSE(CONTROL!$C$9, $D$9, 100%, $F$9) + CHOOSE(CONTROL!$C$27, 0.0021, 0)</f>
        <v>56.707799999999999</v>
      </c>
      <c r="I477" s="17">
        <f>56.7057 * CHOOSE(CONTROL!$C$9, $D$9, 100%, $F$9) + CHOOSE(CONTROL!$C$27, 0.0021, 0)</f>
        <v>56.707799999999999</v>
      </c>
      <c r="J477" s="17">
        <f>56.7057 * CHOOSE(CONTROL!$C$9, $D$9, 100%, $F$9) + CHOOSE(CONTROL!$C$27, 0.0021, 0)</f>
        <v>56.707799999999999</v>
      </c>
      <c r="K477" s="17">
        <f>56.7057 * CHOOSE(CONTROL!$C$9, $D$9, 100%, $F$9) + CHOOSE(CONTROL!$C$27, 0.0021, 0)</f>
        <v>56.707799999999999</v>
      </c>
      <c r="L477" s="17"/>
    </row>
    <row r="478" spans="1:12" ht="15.75" x14ac:dyDescent="0.25">
      <c r="A478" s="14">
        <v>55487</v>
      </c>
      <c r="B478" s="17">
        <f>57.2646 * CHOOSE(CONTROL!$C$9, $D$9, 100%, $F$9) + CHOOSE(CONTROL!$C$27, 0.0021, 0)</f>
        <v>57.2667</v>
      </c>
      <c r="C478" s="17">
        <f>56.8324 * CHOOSE(CONTROL!$C$9, $D$9, 100%, $F$9) + CHOOSE(CONTROL!$C$27, 0.0021, 0)</f>
        <v>56.834499999999998</v>
      </c>
      <c r="D478" s="17">
        <f>56.8324 * CHOOSE(CONTROL!$C$9, $D$9, 100%, $F$9) + CHOOSE(CONTROL!$C$27, 0.0021, 0)</f>
        <v>56.834499999999998</v>
      </c>
      <c r="E478" s="17">
        <f>56.6957 * CHOOSE(CONTROL!$C$9, $D$9, 100%, $F$9) + CHOOSE(CONTROL!$C$27, 0.0021, 0)</f>
        <v>56.697800000000001</v>
      </c>
      <c r="F478" s="17">
        <f>56.6957 * CHOOSE(CONTROL!$C$9, $D$9, 100%, $F$9) + CHOOSE(CONTROL!$C$27, 0.0021, 0)</f>
        <v>56.697800000000001</v>
      </c>
      <c r="G478" s="17">
        <f>56.9671 * CHOOSE(CONTROL!$C$9, $D$9, 100%, $F$9) + CHOOSE(CONTROL!$C$27, 0.0021, 0)</f>
        <v>56.969200000000001</v>
      </c>
      <c r="H478" s="17">
        <f>56.8324 * CHOOSE(CONTROL!$C$9, $D$9, 100%, $F$9) + CHOOSE(CONTROL!$C$27, 0.0021, 0)</f>
        <v>56.834499999999998</v>
      </c>
      <c r="I478" s="17">
        <f>56.8324 * CHOOSE(CONTROL!$C$9, $D$9, 100%, $F$9) + CHOOSE(CONTROL!$C$27, 0.0021, 0)</f>
        <v>56.834499999999998</v>
      </c>
      <c r="J478" s="17">
        <f>56.8324 * CHOOSE(CONTROL!$C$9, $D$9, 100%, $F$9) + CHOOSE(CONTROL!$C$27, 0.0021, 0)</f>
        <v>56.834499999999998</v>
      </c>
      <c r="K478" s="17">
        <f>56.8324 * CHOOSE(CONTROL!$C$9, $D$9, 100%, $F$9) + CHOOSE(CONTROL!$C$27, 0.0021, 0)</f>
        <v>56.834499999999998</v>
      </c>
      <c r="L478" s="17"/>
    </row>
    <row r="479" spans="1:12" ht="15.75" x14ac:dyDescent="0.25">
      <c r="A479" s="14">
        <v>55518</v>
      </c>
      <c r="B479" s="17">
        <f>56.1867 * CHOOSE(CONTROL!$C$9, $D$9, 100%, $F$9) + CHOOSE(CONTROL!$C$27, 0.0021, 0)</f>
        <v>56.188800000000001</v>
      </c>
      <c r="C479" s="17">
        <f>55.7545 * CHOOSE(CONTROL!$C$9, $D$9, 100%, $F$9) + CHOOSE(CONTROL!$C$27, 0.0021, 0)</f>
        <v>55.756599999999999</v>
      </c>
      <c r="D479" s="17">
        <f>55.7545 * CHOOSE(CONTROL!$C$9, $D$9, 100%, $F$9) + CHOOSE(CONTROL!$C$27, 0.0021, 0)</f>
        <v>55.756599999999999</v>
      </c>
      <c r="E479" s="17">
        <f>55.6178 * CHOOSE(CONTROL!$C$9, $D$9, 100%, $F$9) + CHOOSE(CONTROL!$C$27, 0.0021, 0)</f>
        <v>55.619900000000001</v>
      </c>
      <c r="F479" s="17">
        <f>55.6178 * CHOOSE(CONTROL!$C$9, $D$9, 100%, $F$9) + CHOOSE(CONTROL!$C$27, 0.0021, 0)</f>
        <v>55.619900000000001</v>
      </c>
      <c r="G479" s="17">
        <f>55.8892 * CHOOSE(CONTROL!$C$9, $D$9, 100%, $F$9) + CHOOSE(CONTROL!$C$27, 0.0021, 0)</f>
        <v>55.891300000000001</v>
      </c>
      <c r="H479" s="17">
        <f>55.7545 * CHOOSE(CONTROL!$C$9, $D$9, 100%, $F$9) + CHOOSE(CONTROL!$C$27, 0.0021, 0)</f>
        <v>55.756599999999999</v>
      </c>
      <c r="I479" s="17">
        <f>55.7545 * CHOOSE(CONTROL!$C$9, $D$9, 100%, $F$9) + CHOOSE(CONTROL!$C$27, 0.0021, 0)</f>
        <v>55.756599999999999</v>
      </c>
      <c r="J479" s="17">
        <f>55.7545 * CHOOSE(CONTROL!$C$9, $D$9, 100%, $F$9) + CHOOSE(CONTROL!$C$27, 0.0021, 0)</f>
        <v>55.756599999999999</v>
      </c>
      <c r="K479" s="17">
        <f>55.7545 * CHOOSE(CONTROL!$C$9, $D$9, 100%, $F$9) + CHOOSE(CONTROL!$C$27, 0.0021, 0)</f>
        <v>55.756599999999999</v>
      </c>
      <c r="L479" s="17"/>
    </row>
    <row r="480" spans="1:12" ht="15.75" x14ac:dyDescent="0.25">
      <c r="A480" s="14">
        <v>55549</v>
      </c>
      <c r="B480" s="17">
        <f>55.5055 * CHOOSE(CONTROL!$C$9, $D$9, 100%, $F$9) + CHOOSE(CONTROL!$C$27, 0.0021, 0)</f>
        <v>55.507599999999996</v>
      </c>
      <c r="C480" s="17">
        <f>55.0732 * CHOOSE(CONTROL!$C$9, $D$9, 100%, $F$9) + CHOOSE(CONTROL!$C$27, 0.0021, 0)</f>
        <v>55.075299999999999</v>
      </c>
      <c r="D480" s="17">
        <f>55.0732 * CHOOSE(CONTROL!$C$9, $D$9, 100%, $F$9) + CHOOSE(CONTROL!$C$27, 0.0021, 0)</f>
        <v>55.075299999999999</v>
      </c>
      <c r="E480" s="17">
        <f>54.9366 * CHOOSE(CONTROL!$C$9, $D$9, 100%, $F$9) + CHOOSE(CONTROL!$C$27, 0.0021, 0)</f>
        <v>54.938699999999997</v>
      </c>
      <c r="F480" s="17">
        <f>54.9366 * CHOOSE(CONTROL!$C$9, $D$9, 100%, $F$9) + CHOOSE(CONTROL!$C$27, 0.0021, 0)</f>
        <v>54.938699999999997</v>
      </c>
      <c r="G480" s="17">
        <f>55.2079 * CHOOSE(CONTROL!$C$9, $D$9, 100%, $F$9) + CHOOSE(CONTROL!$C$27, 0.0021, 0)</f>
        <v>55.21</v>
      </c>
      <c r="H480" s="17">
        <f>55.0732 * CHOOSE(CONTROL!$C$9, $D$9, 100%, $F$9) + CHOOSE(CONTROL!$C$27, 0.0021, 0)</f>
        <v>55.075299999999999</v>
      </c>
      <c r="I480" s="17">
        <f>55.0732 * CHOOSE(CONTROL!$C$9, $D$9, 100%, $F$9) + CHOOSE(CONTROL!$C$27, 0.0021, 0)</f>
        <v>55.075299999999999</v>
      </c>
      <c r="J480" s="17">
        <f>55.0732 * CHOOSE(CONTROL!$C$9, $D$9, 100%, $F$9) + CHOOSE(CONTROL!$C$27, 0.0021, 0)</f>
        <v>55.075299999999999</v>
      </c>
      <c r="K480" s="17">
        <f>55.0732 * CHOOSE(CONTROL!$C$9, $D$9, 100%, $F$9) + CHOOSE(CONTROL!$C$27, 0.0021, 0)</f>
        <v>55.075299999999999</v>
      </c>
      <c r="L480" s="17"/>
    </row>
    <row r="481" spans="1:12" ht="15.75" x14ac:dyDescent="0.25">
      <c r="A481" s="14">
        <v>55577</v>
      </c>
      <c r="B481" s="17">
        <f>54.0003 * CHOOSE(CONTROL!$C$9, $D$9, 100%, $F$9) + CHOOSE(CONTROL!$C$27, 0.0021, 0)</f>
        <v>54.002400000000002</v>
      </c>
      <c r="C481" s="17">
        <f>53.5681 * CHOOSE(CONTROL!$C$9, $D$9, 100%, $F$9) + CHOOSE(CONTROL!$C$27, 0.0021, 0)</f>
        <v>53.5702</v>
      </c>
      <c r="D481" s="17">
        <f>53.5681 * CHOOSE(CONTROL!$C$9, $D$9, 100%, $F$9) + CHOOSE(CONTROL!$C$27, 0.0021, 0)</f>
        <v>53.5702</v>
      </c>
      <c r="E481" s="17">
        <f>53.4314 * CHOOSE(CONTROL!$C$9, $D$9, 100%, $F$9) + CHOOSE(CONTROL!$C$27, 0.0021, 0)</f>
        <v>53.433499999999995</v>
      </c>
      <c r="F481" s="17">
        <f>53.4314 * CHOOSE(CONTROL!$C$9, $D$9, 100%, $F$9) + CHOOSE(CONTROL!$C$27, 0.0021, 0)</f>
        <v>53.433499999999995</v>
      </c>
      <c r="G481" s="17">
        <f>53.7028 * CHOOSE(CONTROL!$C$9, $D$9, 100%, $F$9) + CHOOSE(CONTROL!$C$27, 0.0021, 0)</f>
        <v>53.704900000000002</v>
      </c>
      <c r="H481" s="17">
        <f>53.5681 * CHOOSE(CONTROL!$C$9, $D$9, 100%, $F$9) + CHOOSE(CONTROL!$C$27, 0.0021, 0)</f>
        <v>53.5702</v>
      </c>
      <c r="I481" s="17">
        <f>53.5681 * CHOOSE(CONTROL!$C$9, $D$9, 100%, $F$9) + CHOOSE(CONTROL!$C$27, 0.0021, 0)</f>
        <v>53.5702</v>
      </c>
      <c r="J481" s="17">
        <f>53.5681 * CHOOSE(CONTROL!$C$9, $D$9, 100%, $F$9) + CHOOSE(CONTROL!$C$27, 0.0021, 0)</f>
        <v>53.5702</v>
      </c>
      <c r="K481" s="17">
        <f>53.5681 * CHOOSE(CONTROL!$C$9, $D$9, 100%, $F$9) + CHOOSE(CONTROL!$C$27, 0.0021, 0)</f>
        <v>53.5702</v>
      </c>
      <c r="L481" s="17"/>
    </row>
    <row r="482" spans="1:12" ht="15.75" x14ac:dyDescent="0.25">
      <c r="A482" s="14">
        <v>55609</v>
      </c>
      <c r="B482" s="17">
        <f>53.379 * CHOOSE(CONTROL!$C$9, $D$9, 100%, $F$9) + CHOOSE(CONTROL!$C$27, 0.0021, 0)</f>
        <v>53.381099999999996</v>
      </c>
      <c r="C482" s="17">
        <f>52.9467 * CHOOSE(CONTROL!$C$9, $D$9, 100%, $F$9) + CHOOSE(CONTROL!$C$27, 0.0021, 0)</f>
        <v>52.948799999999999</v>
      </c>
      <c r="D482" s="17">
        <f>52.9467 * CHOOSE(CONTROL!$C$9, $D$9, 100%, $F$9) + CHOOSE(CONTROL!$C$27, 0.0021, 0)</f>
        <v>52.948799999999999</v>
      </c>
      <c r="E482" s="17">
        <f>52.8101 * CHOOSE(CONTROL!$C$9, $D$9, 100%, $F$9) + CHOOSE(CONTROL!$C$27, 0.0021, 0)</f>
        <v>52.812199999999997</v>
      </c>
      <c r="F482" s="17">
        <f>52.8101 * CHOOSE(CONTROL!$C$9, $D$9, 100%, $F$9) + CHOOSE(CONTROL!$C$27, 0.0021, 0)</f>
        <v>52.812199999999997</v>
      </c>
      <c r="G482" s="17">
        <f>53.0814 * CHOOSE(CONTROL!$C$9, $D$9, 100%, $F$9) + CHOOSE(CONTROL!$C$27, 0.0021, 0)</f>
        <v>53.083500000000001</v>
      </c>
      <c r="H482" s="17">
        <f>52.9467 * CHOOSE(CONTROL!$C$9, $D$9, 100%, $F$9) + CHOOSE(CONTROL!$C$27, 0.0021, 0)</f>
        <v>52.948799999999999</v>
      </c>
      <c r="I482" s="17">
        <f>52.9467 * CHOOSE(CONTROL!$C$9, $D$9, 100%, $F$9) + CHOOSE(CONTROL!$C$27, 0.0021, 0)</f>
        <v>52.948799999999999</v>
      </c>
      <c r="J482" s="17">
        <f>52.9467 * CHOOSE(CONTROL!$C$9, $D$9, 100%, $F$9) + CHOOSE(CONTROL!$C$27, 0.0021, 0)</f>
        <v>52.948799999999999</v>
      </c>
      <c r="K482" s="17">
        <f>52.9467 * CHOOSE(CONTROL!$C$9, $D$9, 100%, $F$9) + CHOOSE(CONTROL!$C$27, 0.0021, 0)</f>
        <v>52.948799999999999</v>
      </c>
      <c r="L482" s="17"/>
    </row>
    <row r="483" spans="1:12" ht="15.75" x14ac:dyDescent="0.25">
      <c r="A483" s="14">
        <v>55639</v>
      </c>
      <c r="B483" s="17">
        <f>52.6371 * CHOOSE(CONTROL!$C$9, $D$9, 100%, $F$9) + CHOOSE(CONTROL!$C$27, 0.0021, 0)</f>
        <v>52.639199999999995</v>
      </c>
      <c r="C483" s="17">
        <f>52.2049 * CHOOSE(CONTROL!$C$9, $D$9, 100%, $F$9) + CHOOSE(CONTROL!$C$27, 0.0021, 0)</f>
        <v>52.207000000000001</v>
      </c>
      <c r="D483" s="17">
        <f>52.2049 * CHOOSE(CONTROL!$C$9, $D$9, 100%, $F$9) + CHOOSE(CONTROL!$C$27, 0.0021, 0)</f>
        <v>52.207000000000001</v>
      </c>
      <c r="E483" s="17">
        <f>52.0682 * CHOOSE(CONTROL!$C$9, $D$9, 100%, $F$9) + CHOOSE(CONTROL!$C$27, 0.0021, 0)</f>
        <v>52.070299999999996</v>
      </c>
      <c r="F483" s="17">
        <f>52.0682 * CHOOSE(CONTROL!$C$9, $D$9, 100%, $F$9) + CHOOSE(CONTROL!$C$27, 0.0021, 0)</f>
        <v>52.070299999999996</v>
      </c>
      <c r="G483" s="17">
        <f>52.3396 * CHOOSE(CONTROL!$C$9, $D$9, 100%, $F$9) + CHOOSE(CONTROL!$C$27, 0.0021, 0)</f>
        <v>52.341699999999996</v>
      </c>
      <c r="H483" s="17">
        <f>52.2049 * CHOOSE(CONTROL!$C$9, $D$9, 100%, $F$9) + CHOOSE(CONTROL!$C$27, 0.0021, 0)</f>
        <v>52.207000000000001</v>
      </c>
      <c r="I483" s="17">
        <f>52.2049 * CHOOSE(CONTROL!$C$9, $D$9, 100%, $F$9) + CHOOSE(CONTROL!$C$27, 0.0021, 0)</f>
        <v>52.207000000000001</v>
      </c>
      <c r="J483" s="17">
        <f>52.2049 * CHOOSE(CONTROL!$C$9, $D$9, 100%, $F$9) + CHOOSE(CONTROL!$C$27, 0.0021, 0)</f>
        <v>52.207000000000001</v>
      </c>
      <c r="K483" s="17">
        <f>52.2049 * CHOOSE(CONTROL!$C$9, $D$9, 100%, $F$9) + CHOOSE(CONTROL!$C$27, 0.0021, 0)</f>
        <v>52.207000000000001</v>
      </c>
      <c r="L483" s="17"/>
    </row>
    <row r="484" spans="1:12" ht="15.75" x14ac:dyDescent="0.25">
      <c r="A484" s="14">
        <v>55670</v>
      </c>
      <c r="B484" s="17">
        <f>53.6944 * CHOOSE(CONTROL!$C$9, $D$9, 100%, $F$9) + CHOOSE(CONTROL!$C$27, 0.0021, 0)</f>
        <v>53.6965</v>
      </c>
      <c r="C484" s="17">
        <f>53.2621 * CHOOSE(CONTROL!$C$9, $D$9, 100%, $F$9) + CHOOSE(CONTROL!$C$27, 0.0021, 0)</f>
        <v>53.264199999999995</v>
      </c>
      <c r="D484" s="17">
        <f>53.2621 * CHOOSE(CONTROL!$C$9, $D$9, 100%, $F$9) + CHOOSE(CONTROL!$C$27, 0.0021, 0)</f>
        <v>53.264199999999995</v>
      </c>
      <c r="E484" s="17">
        <f>53.1255 * CHOOSE(CONTROL!$C$9, $D$9, 100%, $F$9) + CHOOSE(CONTROL!$C$27, 0.0021, 0)</f>
        <v>53.127600000000001</v>
      </c>
      <c r="F484" s="17">
        <f>53.1255 * CHOOSE(CONTROL!$C$9, $D$9, 100%, $F$9) + CHOOSE(CONTROL!$C$27, 0.0021, 0)</f>
        <v>53.127600000000001</v>
      </c>
      <c r="G484" s="17">
        <f>53.3968 * CHOOSE(CONTROL!$C$9, $D$9, 100%, $F$9) + CHOOSE(CONTROL!$C$27, 0.0021, 0)</f>
        <v>53.398899999999998</v>
      </c>
      <c r="H484" s="17">
        <f>53.2621 * CHOOSE(CONTROL!$C$9, $D$9, 100%, $F$9) + CHOOSE(CONTROL!$C$27, 0.0021, 0)</f>
        <v>53.264199999999995</v>
      </c>
      <c r="I484" s="17">
        <f>53.2621 * CHOOSE(CONTROL!$C$9, $D$9, 100%, $F$9) + CHOOSE(CONTROL!$C$27, 0.0021, 0)</f>
        <v>53.264199999999995</v>
      </c>
      <c r="J484" s="17">
        <f>53.2621 * CHOOSE(CONTROL!$C$9, $D$9, 100%, $F$9) + CHOOSE(CONTROL!$C$27, 0.0021, 0)</f>
        <v>53.264199999999995</v>
      </c>
      <c r="K484" s="17">
        <f>53.2621 * CHOOSE(CONTROL!$C$9, $D$9, 100%, $F$9) + CHOOSE(CONTROL!$C$27, 0.0021, 0)</f>
        <v>53.264199999999995</v>
      </c>
      <c r="L484" s="17"/>
    </row>
    <row r="485" spans="1:12" ht="15.75" x14ac:dyDescent="0.25">
      <c r="A485" s="14">
        <v>55700</v>
      </c>
      <c r="B485" s="17">
        <f>54.3276 * CHOOSE(CONTROL!$C$9, $D$9, 100%, $F$9) + CHOOSE(CONTROL!$C$27, 0.0021, 0)</f>
        <v>54.329699999999995</v>
      </c>
      <c r="C485" s="17">
        <f>53.8954 * CHOOSE(CONTROL!$C$9, $D$9, 100%, $F$9) + CHOOSE(CONTROL!$C$27, 0.0021, 0)</f>
        <v>53.897500000000001</v>
      </c>
      <c r="D485" s="17">
        <f>53.8954 * CHOOSE(CONTROL!$C$9, $D$9, 100%, $F$9) + CHOOSE(CONTROL!$C$27, 0.0021, 0)</f>
        <v>53.897500000000001</v>
      </c>
      <c r="E485" s="17">
        <f>53.7587 * CHOOSE(CONTROL!$C$9, $D$9, 100%, $F$9) + CHOOSE(CONTROL!$C$27, 0.0021, 0)</f>
        <v>53.760799999999996</v>
      </c>
      <c r="F485" s="17">
        <f>53.7587 * CHOOSE(CONTROL!$C$9, $D$9, 100%, $F$9) + CHOOSE(CONTROL!$C$27, 0.0021, 0)</f>
        <v>53.760799999999996</v>
      </c>
      <c r="G485" s="17">
        <f>54.0301 * CHOOSE(CONTROL!$C$9, $D$9, 100%, $F$9) + CHOOSE(CONTROL!$C$27, 0.0021, 0)</f>
        <v>54.032199999999996</v>
      </c>
      <c r="H485" s="17">
        <f>53.8954 * CHOOSE(CONTROL!$C$9, $D$9, 100%, $F$9) + CHOOSE(CONTROL!$C$27, 0.0021, 0)</f>
        <v>53.897500000000001</v>
      </c>
      <c r="I485" s="17">
        <f>53.8954 * CHOOSE(CONTROL!$C$9, $D$9, 100%, $F$9) + CHOOSE(CONTROL!$C$27, 0.0021, 0)</f>
        <v>53.897500000000001</v>
      </c>
      <c r="J485" s="17">
        <f>53.8954 * CHOOSE(CONTROL!$C$9, $D$9, 100%, $F$9) + CHOOSE(CONTROL!$C$27, 0.0021, 0)</f>
        <v>53.897500000000001</v>
      </c>
      <c r="K485" s="17">
        <f>53.8954 * CHOOSE(CONTROL!$C$9, $D$9, 100%, $F$9) + CHOOSE(CONTROL!$C$27, 0.0021, 0)</f>
        <v>53.897500000000001</v>
      </c>
      <c r="L485" s="17"/>
    </row>
    <row r="486" spans="1:12" ht="15.75" x14ac:dyDescent="0.25">
      <c r="A486" s="14">
        <v>55731</v>
      </c>
      <c r="B486" s="17">
        <f>55.3723 * CHOOSE(CONTROL!$C$9, $D$9, 100%, $F$9) + CHOOSE(CONTROL!$C$27, 0.0021, 0)</f>
        <v>55.374400000000001</v>
      </c>
      <c r="C486" s="17">
        <f>54.94 * CHOOSE(CONTROL!$C$9, $D$9, 100%, $F$9) + CHOOSE(CONTROL!$C$27, 0.0021, 0)</f>
        <v>54.942099999999996</v>
      </c>
      <c r="D486" s="17">
        <f>54.94 * CHOOSE(CONTROL!$C$9, $D$9, 100%, $F$9) + CHOOSE(CONTROL!$C$27, 0.0021, 0)</f>
        <v>54.942099999999996</v>
      </c>
      <c r="E486" s="17">
        <f>54.8034 * CHOOSE(CONTROL!$C$9, $D$9, 100%, $F$9) + CHOOSE(CONTROL!$C$27, 0.0021, 0)</f>
        <v>54.805500000000002</v>
      </c>
      <c r="F486" s="17">
        <f>54.8034 * CHOOSE(CONTROL!$C$9, $D$9, 100%, $F$9) + CHOOSE(CONTROL!$C$27, 0.0021, 0)</f>
        <v>54.805500000000002</v>
      </c>
      <c r="G486" s="17">
        <f>55.0747 * CHOOSE(CONTROL!$C$9, $D$9, 100%, $F$9) + CHOOSE(CONTROL!$C$27, 0.0021, 0)</f>
        <v>55.076799999999999</v>
      </c>
      <c r="H486" s="17">
        <f>54.94 * CHOOSE(CONTROL!$C$9, $D$9, 100%, $F$9) + CHOOSE(CONTROL!$C$27, 0.0021, 0)</f>
        <v>54.942099999999996</v>
      </c>
      <c r="I486" s="17">
        <f>54.94 * CHOOSE(CONTROL!$C$9, $D$9, 100%, $F$9) + CHOOSE(CONTROL!$C$27, 0.0021, 0)</f>
        <v>54.942099999999996</v>
      </c>
      <c r="J486" s="17">
        <f>54.94 * CHOOSE(CONTROL!$C$9, $D$9, 100%, $F$9) + CHOOSE(CONTROL!$C$27, 0.0021, 0)</f>
        <v>54.942099999999996</v>
      </c>
      <c r="K486" s="17">
        <f>54.94 * CHOOSE(CONTROL!$C$9, $D$9, 100%, $F$9) + CHOOSE(CONTROL!$C$27, 0.0021, 0)</f>
        <v>54.942099999999996</v>
      </c>
      <c r="L486" s="17"/>
    </row>
    <row r="487" spans="1:12" ht="15.75" x14ac:dyDescent="0.25">
      <c r="A487" s="14">
        <v>55762</v>
      </c>
      <c r="B487" s="17">
        <f>55.6911 * CHOOSE(CONTROL!$C$9, $D$9, 100%, $F$9) + CHOOSE(CONTROL!$C$27, 0.0021, 0)</f>
        <v>55.693199999999997</v>
      </c>
      <c r="C487" s="17">
        <f>55.2589 * CHOOSE(CONTROL!$C$9, $D$9, 100%, $F$9) + CHOOSE(CONTROL!$C$27, 0.0021, 0)</f>
        <v>55.260999999999996</v>
      </c>
      <c r="D487" s="17">
        <f>55.2589 * CHOOSE(CONTROL!$C$9, $D$9, 100%, $F$9) + CHOOSE(CONTROL!$C$27, 0.0021, 0)</f>
        <v>55.260999999999996</v>
      </c>
      <c r="E487" s="17">
        <f>55.1222 * CHOOSE(CONTROL!$C$9, $D$9, 100%, $F$9) + CHOOSE(CONTROL!$C$27, 0.0021, 0)</f>
        <v>55.124299999999998</v>
      </c>
      <c r="F487" s="17">
        <f>55.1222 * CHOOSE(CONTROL!$C$9, $D$9, 100%, $F$9) + CHOOSE(CONTROL!$C$27, 0.0021, 0)</f>
        <v>55.124299999999998</v>
      </c>
      <c r="G487" s="17">
        <f>55.3936 * CHOOSE(CONTROL!$C$9, $D$9, 100%, $F$9) + CHOOSE(CONTROL!$C$27, 0.0021, 0)</f>
        <v>55.395699999999998</v>
      </c>
      <c r="H487" s="17">
        <f>55.2589 * CHOOSE(CONTROL!$C$9, $D$9, 100%, $F$9) + CHOOSE(CONTROL!$C$27, 0.0021, 0)</f>
        <v>55.260999999999996</v>
      </c>
      <c r="I487" s="17">
        <f>55.2589 * CHOOSE(CONTROL!$C$9, $D$9, 100%, $F$9) + CHOOSE(CONTROL!$C$27, 0.0021, 0)</f>
        <v>55.260999999999996</v>
      </c>
      <c r="J487" s="17">
        <f>55.2589 * CHOOSE(CONTROL!$C$9, $D$9, 100%, $F$9) + CHOOSE(CONTROL!$C$27, 0.0021, 0)</f>
        <v>55.260999999999996</v>
      </c>
      <c r="K487" s="17">
        <f>55.2589 * CHOOSE(CONTROL!$C$9, $D$9, 100%, $F$9) + CHOOSE(CONTROL!$C$27, 0.0021, 0)</f>
        <v>55.260999999999996</v>
      </c>
      <c r="L487" s="17"/>
    </row>
    <row r="488" spans="1:12" ht="15.75" x14ac:dyDescent="0.25">
      <c r="A488" s="14">
        <v>55792</v>
      </c>
      <c r="B488" s="17">
        <f>56.777 * CHOOSE(CONTROL!$C$9, $D$9, 100%, $F$9) + CHOOSE(CONTROL!$C$27, 0.0021, 0)</f>
        <v>56.7791</v>
      </c>
      <c r="C488" s="17">
        <f>56.3447 * CHOOSE(CONTROL!$C$9, $D$9, 100%, $F$9) + CHOOSE(CONTROL!$C$27, 0.0021, 0)</f>
        <v>56.346800000000002</v>
      </c>
      <c r="D488" s="17">
        <f>56.3447 * CHOOSE(CONTROL!$C$9, $D$9, 100%, $F$9) + CHOOSE(CONTROL!$C$27, 0.0021, 0)</f>
        <v>56.346800000000002</v>
      </c>
      <c r="E488" s="17">
        <f>56.2081 * CHOOSE(CONTROL!$C$9, $D$9, 100%, $F$9) + CHOOSE(CONTROL!$C$27, 0.0021, 0)</f>
        <v>56.2102</v>
      </c>
      <c r="F488" s="17">
        <f>56.2081 * CHOOSE(CONTROL!$C$9, $D$9, 100%, $F$9) + CHOOSE(CONTROL!$C$27, 0.0021, 0)</f>
        <v>56.2102</v>
      </c>
      <c r="G488" s="17">
        <f>56.4795 * CHOOSE(CONTROL!$C$9, $D$9, 100%, $F$9) + CHOOSE(CONTROL!$C$27, 0.0021, 0)</f>
        <v>56.4816</v>
      </c>
      <c r="H488" s="17">
        <f>56.3447 * CHOOSE(CONTROL!$C$9, $D$9, 100%, $F$9) + CHOOSE(CONTROL!$C$27, 0.0021, 0)</f>
        <v>56.346800000000002</v>
      </c>
      <c r="I488" s="17">
        <f>56.3447 * CHOOSE(CONTROL!$C$9, $D$9, 100%, $F$9) + CHOOSE(CONTROL!$C$27, 0.0021, 0)</f>
        <v>56.346800000000002</v>
      </c>
      <c r="J488" s="17">
        <f>56.3447 * CHOOSE(CONTROL!$C$9, $D$9, 100%, $F$9) + CHOOSE(CONTROL!$C$27, 0.0021, 0)</f>
        <v>56.346800000000002</v>
      </c>
      <c r="K488" s="17">
        <f>56.3447 * CHOOSE(CONTROL!$C$9, $D$9, 100%, $F$9) + CHOOSE(CONTROL!$C$27, 0.0021, 0)</f>
        <v>56.346800000000002</v>
      </c>
      <c r="L488" s="17"/>
    </row>
    <row r="489" spans="1:12" ht="15.75" x14ac:dyDescent="0.25">
      <c r="A489" s="14">
        <v>55823</v>
      </c>
      <c r="B489" s="17">
        <f>58.1515 * CHOOSE(CONTROL!$C$9, $D$9, 100%, $F$9) + CHOOSE(CONTROL!$C$27, 0.0021, 0)</f>
        <v>58.153599999999997</v>
      </c>
      <c r="C489" s="17">
        <f>57.7193 * CHOOSE(CONTROL!$C$9, $D$9, 100%, $F$9) + CHOOSE(CONTROL!$C$27, 0.0021, 0)</f>
        <v>57.721399999999996</v>
      </c>
      <c r="D489" s="17">
        <f>57.7193 * CHOOSE(CONTROL!$C$9, $D$9, 100%, $F$9) + CHOOSE(CONTROL!$C$27, 0.0021, 0)</f>
        <v>57.721399999999996</v>
      </c>
      <c r="E489" s="17">
        <f>57.5826 * CHOOSE(CONTROL!$C$9, $D$9, 100%, $F$9) + CHOOSE(CONTROL!$C$27, 0.0021, 0)</f>
        <v>57.584699999999998</v>
      </c>
      <c r="F489" s="17">
        <f>57.5826 * CHOOSE(CONTROL!$C$9, $D$9, 100%, $F$9) + CHOOSE(CONTROL!$C$27, 0.0021, 0)</f>
        <v>57.584699999999998</v>
      </c>
      <c r="G489" s="17">
        <f>57.854 * CHOOSE(CONTROL!$C$9, $D$9, 100%, $F$9) + CHOOSE(CONTROL!$C$27, 0.0021, 0)</f>
        <v>57.856099999999998</v>
      </c>
      <c r="H489" s="17">
        <f>57.7193 * CHOOSE(CONTROL!$C$9, $D$9, 100%, $F$9) + CHOOSE(CONTROL!$C$27, 0.0021, 0)</f>
        <v>57.721399999999996</v>
      </c>
      <c r="I489" s="17">
        <f>57.7193 * CHOOSE(CONTROL!$C$9, $D$9, 100%, $F$9) + CHOOSE(CONTROL!$C$27, 0.0021, 0)</f>
        <v>57.721399999999996</v>
      </c>
      <c r="J489" s="17">
        <f>57.7193 * CHOOSE(CONTROL!$C$9, $D$9, 100%, $F$9) + CHOOSE(CONTROL!$C$27, 0.0021, 0)</f>
        <v>57.721399999999996</v>
      </c>
      <c r="K489" s="17">
        <f>57.7193 * CHOOSE(CONTROL!$C$9, $D$9, 100%, $F$9) + CHOOSE(CONTROL!$C$27, 0.0021, 0)</f>
        <v>57.721399999999996</v>
      </c>
      <c r="L489" s="17"/>
    </row>
    <row r="490" spans="1:12" ht="15.75" x14ac:dyDescent="0.25">
      <c r="A490" s="14">
        <v>55853</v>
      </c>
      <c r="B490" s="17">
        <f>58.2805 * CHOOSE(CONTROL!$C$9, $D$9, 100%, $F$9) + CHOOSE(CONTROL!$C$27, 0.0021, 0)</f>
        <v>58.282600000000002</v>
      </c>
      <c r="C490" s="17">
        <f>57.8483 * CHOOSE(CONTROL!$C$9, $D$9, 100%, $F$9) + CHOOSE(CONTROL!$C$27, 0.0021, 0)</f>
        <v>57.8504</v>
      </c>
      <c r="D490" s="17">
        <f>57.8483 * CHOOSE(CONTROL!$C$9, $D$9, 100%, $F$9) + CHOOSE(CONTROL!$C$27, 0.0021, 0)</f>
        <v>57.8504</v>
      </c>
      <c r="E490" s="17">
        <f>57.7116 * CHOOSE(CONTROL!$C$9, $D$9, 100%, $F$9) + CHOOSE(CONTROL!$C$27, 0.0021, 0)</f>
        <v>57.713699999999996</v>
      </c>
      <c r="F490" s="17">
        <f>57.7116 * CHOOSE(CONTROL!$C$9, $D$9, 100%, $F$9) + CHOOSE(CONTROL!$C$27, 0.0021, 0)</f>
        <v>57.713699999999996</v>
      </c>
      <c r="G490" s="17">
        <f>57.983 * CHOOSE(CONTROL!$C$9, $D$9, 100%, $F$9) + CHOOSE(CONTROL!$C$27, 0.0021, 0)</f>
        <v>57.985099999999996</v>
      </c>
      <c r="H490" s="17">
        <f>57.8483 * CHOOSE(CONTROL!$C$9, $D$9, 100%, $F$9) + CHOOSE(CONTROL!$C$27, 0.0021, 0)</f>
        <v>57.8504</v>
      </c>
      <c r="I490" s="17">
        <f>57.8483 * CHOOSE(CONTROL!$C$9, $D$9, 100%, $F$9) + CHOOSE(CONTROL!$C$27, 0.0021, 0)</f>
        <v>57.8504</v>
      </c>
      <c r="J490" s="17">
        <f>57.8483 * CHOOSE(CONTROL!$C$9, $D$9, 100%, $F$9) + CHOOSE(CONTROL!$C$27, 0.0021, 0)</f>
        <v>57.8504</v>
      </c>
      <c r="K490" s="17">
        <f>57.8483 * CHOOSE(CONTROL!$C$9, $D$9, 100%, $F$9) + CHOOSE(CONTROL!$C$27, 0.0021, 0)</f>
        <v>57.8504</v>
      </c>
      <c r="L490" s="17"/>
    </row>
    <row r="491" spans="1:12" ht="15.75" x14ac:dyDescent="0.25">
      <c r="A491" s="14">
        <v>55884</v>
      </c>
      <c r="B491" s="17">
        <f>57.1827 * CHOOSE(CONTROL!$C$9, $D$9, 100%, $F$9) + CHOOSE(CONTROL!$C$27, 0.0021, 0)</f>
        <v>57.184799999999996</v>
      </c>
      <c r="C491" s="17">
        <f>56.7505 * CHOOSE(CONTROL!$C$9, $D$9, 100%, $F$9) + CHOOSE(CONTROL!$C$27, 0.0021, 0)</f>
        <v>56.752600000000001</v>
      </c>
      <c r="D491" s="17">
        <f>56.7505 * CHOOSE(CONTROL!$C$9, $D$9, 100%, $F$9) + CHOOSE(CONTROL!$C$27, 0.0021, 0)</f>
        <v>56.752600000000001</v>
      </c>
      <c r="E491" s="17">
        <f>56.6138 * CHOOSE(CONTROL!$C$9, $D$9, 100%, $F$9) + CHOOSE(CONTROL!$C$27, 0.0021, 0)</f>
        <v>56.615899999999996</v>
      </c>
      <c r="F491" s="17">
        <f>56.6138 * CHOOSE(CONTROL!$C$9, $D$9, 100%, $F$9) + CHOOSE(CONTROL!$C$27, 0.0021, 0)</f>
        <v>56.615899999999996</v>
      </c>
      <c r="G491" s="17">
        <f>56.8852 * CHOOSE(CONTROL!$C$9, $D$9, 100%, $F$9) + CHOOSE(CONTROL!$C$27, 0.0021, 0)</f>
        <v>56.887299999999996</v>
      </c>
      <c r="H491" s="17">
        <f>56.7505 * CHOOSE(CONTROL!$C$9, $D$9, 100%, $F$9) + CHOOSE(CONTROL!$C$27, 0.0021, 0)</f>
        <v>56.752600000000001</v>
      </c>
      <c r="I491" s="17">
        <f>56.7505 * CHOOSE(CONTROL!$C$9, $D$9, 100%, $F$9) + CHOOSE(CONTROL!$C$27, 0.0021, 0)</f>
        <v>56.752600000000001</v>
      </c>
      <c r="J491" s="17">
        <f>56.7505 * CHOOSE(CONTROL!$C$9, $D$9, 100%, $F$9) + CHOOSE(CONTROL!$C$27, 0.0021, 0)</f>
        <v>56.752600000000001</v>
      </c>
      <c r="K491" s="17">
        <f>56.7505 * CHOOSE(CONTROL!$C$9, $D$9, 100%, $F$9) + CHOOSE(CONTROL!$C$27, 0.0021, 0)</f>
        <v>56.752600000000001</v>
      </c>
      <c r="L491" s="17"/>
    </row>
    <row r="492" spans="1:12" ht="15.75" x14ac:dyDescent="0.25">
      <c r="A492" s="14">
        <v>55915</v>
      </c>
      <c r="B492" s="17">
        <f>56.4889 * CHOOSE(CONTROL!$C$9, $D$9, 100%, $F$9) + CHOOSE(CONTROL!$C$27, 0.0021, 0)</f>
        <v>56.491</v>
      </c>
      <c r="C492" s="17">
        <f>56.0566 * CHOOSE(CONTROL!$C$9, $D$9, 100%, $F$9) + CHOOSE(CONTROL!$C$27, 0.0021, 0)</f>
        <v>56.058700000000002</v>
      </c>
      <c r="D492" s="17">
        <f>56.0566 * CHOOSE(CONTROL!$C$9, $D$9, 100%, $F$9) + CHOOSE(CONTROL!$C$27, 0.0021, 0)</f>
        <v>56.058700000000002</v>
      </c>
      <c r="E492" s="17">
        <f>55.92 * CHOOSE(CONTROL!$C$9, $D$9, 100%, $F$9) + CHOOSE(CONTROL!$C$27, 0.0021, 0)</f>
        <v>55.9221</v>
      </c>
      <c r="F492" s="17">
        <f>55.92 * CHOOSE(CONTROL!$C$9, $D$9, 100%, $F$9) + CHOOSE(CONTROL!$C$27, 0.0021, 0)</f>
        <v>55.9221</v>
      </c>
      <c r="G492" s="17">
        <f>56.1913 * CHOOSE(CONTROL!$C$9, $D$9, 100%, $F$9) + CHOOSE(CONTROL!$C$27, 0.0021, 0)</f>
        <v>56.193399999999997</v>
      </c>
      <c r="H492" s="17">
        <f>56.0566 * CHOOSE(CONTROL!$C$9, $D$9, 100%, $F$9) + CHOOSE(CONTROL!$C$27, 0.0021, 0)</f>
        <v>56.058700000000002</v>
      </c>
      <c r="I492" s="17">
        <f>56.0566 * CHOOSE(CONTROL!$C$9, $D$9, 100%, $F$9) + CHOOSE(CONTROL!$C$27, 0.0021, 0)</f>
        <v>56.058700000000002</v>
      </c>
      <c r="J492" s="17">
        <f>56.0566 * CHOOSE(CONTROL!$C$9, $D$9, 100%, $F$9) + CHOOSE(CONTROL!$C$27, 0.0021, 0)</f>
        <v>56.058700000000002</v>
      </c>
      <c r="K492" s="17">
        <f>56.0566 * CHOOSE(CONTROL!$C$9, $D$9, 100%, $F$9) + CHOOSE(CONTROL!$C$27, 0.0021, 0)</f>
        <v>56.058700000000002</v>
      </c>
      <c r="L492" s="17"/>
    </row>
    <row r="493" spans="1:12" ht="15.75" x14ac:dyDescent="0.25">
      <c r="A493" s="14">
        <v>55943</v>
      </c>
      <c r="B493" s="17">
        <f>54.9559 * CHOOSE(CONTROL!$C$9, $D$9, 100%, $F$9) + CHOOSE(CONTROL!$C$27, 0.0021, 0)</f>
        <v>54.957999999999998</v>
      </c>
      <c r="C493" s="17">
        <f>54.5237 * CHOOSE(CONTROL!$C$9, $D$9, 100%, $F$9) + CHOOSE(CONTROL!$C$27, 0.0021, 0)</f>
        <v>54.525799999999997</v>
      </c>
      <c r="D493" s="17">
        <f>54.5237 * CHOOSE(CONTROL!$C$9, $D$9, 100%, $F$9) + CHOOSE(CONTROL!$C$27, 0.0021, 0)</f>
        <v>54.525799999999997</v>
      </c>
      <c r="E493" s="17">
        <f>54.387 * CHOOSE(CONTROL!$C$9, $D$9, 100%, $F$9) + CHOOSE(CONTROL!$C$27, 0.0021, 0)</f>
        <v>54.389099999999999</v>
      </c>
      <c r="F493" s="17">
        <f>54.387 * CHOOSE(CONTROL!$C$9, $D$9, 100%, $F$9) + CHOOSE(CONTROL!$C$27, 0.0021, 0)</f>
        <v>54.389099999999999</v>
      </c>
      <c r="G493" s="17">
        <f>54.6584 * CHOOSE(CONTROL!$C$9, $D$9, 100%, $F$9) + CHOOSE(CONTROL!$C$27, 0.0021, 0)</f>
        <v>54.660499999999999</v>
      </c>
      <c r="H493" s="17">
        <f>54.5237 * CHOOSE(CONTROL!$C$9, $D$9, 100%, $F$9) + CHOOSE(CONTROL!$C$27, 0.0021, 0)</f>
        <v>54.525799999999997</v>
      </c>
      <c r="I493" s="17">
        <f>54.5237 * CHOOSE(CONTROL!$C$9, $D$9, 100%, $F$9) + CHOOSE(CONTROL!$C$27, 0.0021, 0)</f>
        <v>54.525799999999997</v>
      </c>
      <c r="J493" s="17">
        <f>54.5237 * CHOOSE(CONTROL!$C$9, $D$9, 100%, $F$9) + CHOOSE(CONTROL!$C$27, 0.0021, 0)</f>
        <v>54.525799999999997</v>
      </c>
      <c r="K493" s="17">
        <f>54.5237 * CHOOSE(CONTROL!$C$9, $D$9, 100%, $F$9) + CHOOSE(CONTROL!$C$27, 0.0021, 0)</f>
        <v>54.525799999999997</v>
      </c>
      <c r="L493" s="17"/>
    </row>
    <row r="494" spans="1:12" ht="15.75" x14ac:dyDescent="0.25">
      <c r="A494" s="14">
        <v>55974</v>
      </c>
      <c r="B494" s="17">
        <f>54.3231 * CHOOSE(CONTROL!$C$9, $D$9, 100%, $F$9) + CHOOSE(CONTROL!$C$27, 0.0021, 0)</f>
        <v>54.325199999999995</v>
      </c>
      <c r="C494" s="17">
        <f>53.8908 * CHOOSE(CONTROL!$C$9, $D$9, 100%, $F$9) + CHOOSE(CONTROL!$C$27, 0.0021, 0)</f>
        <v>53.892899999999997</v>
      </c>
      <c r="D494" s="17">
        <f>53.8908 * CHOOSE(CONTROL!$C$9, $D$9, 100%, $F$9) + CHOOSE(CONTROL!$C$27, 0.0021, 0)</f>
        <v>53.892899999999997</v>
      </c>
      <c r="E494" s="17">
        <f>53.7542 * CHOOSE(CONTROL!$C$9, $D$9, 100%, $F$9) + CHOOSE(CONTROL!$C$27, 0.0021, 0)</f>
        <v>53.756299999999996</v>
      </c>
      <c r="F494" s="17">
        <f>53.7542 * CHOOSE(CONTROL!$C$9, $D$9, 100%, $F$9) + CHOOSE(CONTROL!$C$27, 0.0021, 0)</f>
        <v>53.756299999999996</v>
      </c>
      <c r="G494" s="17">
        <f>54.0256 * CHOOSE(CONTROL!$C$9, $D$9, 100%, $F$9) + CHOOSE(CONTROL!$C$27, 0.0021, 0)</f>
        <v>54.027699999999996</v>
      </c>
      <c r="H494" s="17">
        <f>53.8908 * CHOOSE(CONTROL!$C$9, $D$9, 100%, $F$9) + CHOOSE(CONTROL!$C$27, 0.0021, 0)</f>
        <v>53.892899999999997</v>
      </c>
      <c r="I494" s="17">
        <f>53.8908 * CHOOSE(CONTROL!$C$9, $D$9, 100%, $F$9) + CHOOSE(CONTROL!$C$27, 0.0021, 0)</f>
        <v>53.892899999999997</v>
      </c>
      <c r="J494" s="17">
        <f>53.8908 * CHOOSE(CONTROL!$C$9, $D$9, 100%, $F$9) + CHOOSE(CONTROL!$C$27, 0.0021, 0)</f>
        <v>53.892899999999997</v>
      </c>
      <c r="K494" s="17">
        <f>53.8908 * CHOOSE(CONTROL!$C$9, $D$9, 100%, $F$9) + CHOOSE(CONTROL!$C$27, 0.0021, 0)</f>
        <v>53.892899999999997</v>
      </c>
      <c r="L494" s="17"/>
    </row>
    <row r="495" spans="1:12" ht="15.75" x14ac:dyDescent="0.25">
      <c r="A495" s="14">
        <v>56004</v>
      </c>
      <c r="B495" s="17">
        <f>53.5675 * CHOOSE(CONTROL!$C$9, $D$9, 100%, $F$9) + CHOOSE(CONTROL!$C$27, 0.0021, 0)</f>
        <v>53.569600000000001</v>
      </c>
      <c r="C495" s="17">
        <f>53.1353 * CHOOSE(CONTROL!$C$9, $D$9, 100%, $F$9) + CHOOSE(CONTROL!$C$27, 0.0021, 0)</f>
        <v>53.1374</v>
      </c>
      <c r="D495" s="17">
        <f>53.1353 * CHOOSE(CONTROL!$C$9, $D$9, 100%, $F$9) + CHOOSE(CONTROL!$C$27, 0.0021, 0)</f>
        <v>53.1374</v>
      </c>
      <c r="E495" s="17">
        <f>52.9986 * CHOOSE(CONTROL!$C$9, $D$9, 100%, $F$9) + CHOOSE(CONTROL!$C$27, 0.0021, 0)</f>
        <v>53.000700000000002</v>
      </c>
      <c r="F495" s="17">
        <f>52.9986 * CHOOSE(CONTROL!$C$9, $D$9, 100%, $F$9) + CHOOSE(CONTROL!$C$27, 0.0021, 0)</f>
        <v>53.000700000000002</v>
      </c>
      <c r="G495" s="17">
        <f>53.27 * CHOOSE(CONTROL!$C$9, $D$9, 100%, $F$9) + CHOOSE(CONTROL!$C$27, 0.0021, 0)</f>
        <v>53.272100000000002</v>
      </c>
      <c r="H495" s="17">
        <f>53.1353 * CHOOSE(CONTROL!$C$9, $D$9, 100%, $F$9) + CHOOSE(CONTROL!$C$27, 0.0021, 0)</f>
        <v>53.1374</v>
      </c>
      <c r="I495" s="17">
        <f>53.1353 * CHOOSE(CONTROL!$C$9, $D$9, 100%, $F$9) + CHOOSE(CONTROL!$C$27, 0.0021, 0)</f>
        <v>53.1374</v>
      </c>
      <c r="J495" s="17">
        <f>53.1353 * CHOOSE(CONTROL!$C$9, $D$9, 100%, $F$9) + CHOOSE(CONTROL!$C$27, 0.0021, 0)</f>
        <v>53.1374</v>
      </c>
      <c r="K495" s="17">
        <f>53.1353 * CHOOSE(CONTROL!$C$9, $D$9, 100%, $F$9) + CHOOSE(CONTROL!$C$27, 0.0021, 0)</f>
        <v>53.1374</v>
      </c>
      <c r="L495" s="17"/>
    </row>
    <row r="496" spans="1:12" ht="15.75" x14ac:dyDescent="0.25">
      <c r="A496" s="14">
        <v>56035</v>
      </c>
      <c r="B496" s="17">
        <f>54.6443 * CHOOSE(CONTROL!$C$9, $D$9, 100%, $F$9) + CHOOSE(CONTROL!$C$27, 0.0021, 0)</f>
        <v>54.6464</v>
      </c>
      <c r="C496" s="17">
        <f>54.2121 * CHOOSE(CONTROL!$C$9, $D$9, 100%, $F$9) + CHOOSE(CONTROL!$C$27, 0.0021, 0)</f>
        <v>54.214199999999998</v>
      </c>
      <c r="D496" s="17">
        <f>54.2121 * CHOOSE(CONTROL!$C$9, $D$9, 100%, $F$9) + CHOOSE(CONTROL!$C$27, 0.0021, 0)</f>
        <v>54.214199999999998</v>
      </c>
      <c r="E496" s="17">
        <f>54.0754 * CHOOSE(CONTROL!$C$9, $D$9, 100%, $F$9) + CHOOSE(CONTROL!$C$27, 0.0021, 0)</f>
        <v>54.077500000000001</v>
      </c>
      <c r="F496" s="17">
        <f>54.0754 * CHOOSE(CONTROL!$C$9, $D$9, 100%, $F$9) + CHOOSE(CONTROL!$C$27, 0.0021, 0)</f>
        <v>54.077500000000001</v>
      </c>
      <c r="G496" s="17">
        <f>54.3468 * CHOOSE(CONTROL!$C$9, $D$9, 100%, $F$9) + CHOOSE(CONTROL!$C$27, 0.0021, 0)</f>
        <v>54.3489</v>
      </c>
      <c r="H496" s="17">
        <f>54.2121 * CHOOSE(CONTROL!$C$9, $D$9, 100%, $F$9) + CHOOSE(CONTROL!$C$27, 0.0021, 0)</f>
        <v>54.214199999999998</v>
      </c>
      <c r="I496" s="17">
        <f>54.2121 * CHOOSE(CONTROL!$C$9, $D$9, 100%, $F$9) + CHOOSE(CONTROL!$C$27, 0.0021, 0)</f>
        <v>54.214199999999998</v>
      </c>
      <c r="J496" s="17">
        <f>54.2121 * CHOOSE(CONTROL!$C$9, $D$9, 100%, $F$9) + CHOOSE(CONTROL!$C$27, 0.0021, 0)</f>
        <v>54.214199999999998</v>
      </c>
      <c r="K496" s="17">
        <f>54.2121 * CHOOSE(CONTROL!$C$9, $D$9, 100%, $F$9) + CHOOSE(CONTROL!$C$27, 0.0021, 0)</f>
        <v>54.214199999999998</v>
      </c>
      <c r="L496" s="17"/>
    </row>
    <row r="497" spans="1:12" ht="15.75" x14ac:dyDescent="0.25">
      <c r="A497" s="14">
        <v>56065</v>
      </c>
      <c r="B497" s="17">
        <f>55.2893 * CHOOSE(CONTROL!$C$9, $D$9, 100%, $F$9) + CHOOSE(CONTROL!$C$27, 0.0021, 0)</f>
        <v>55.291399999999996</v>
      </c>
      <c r="C497" s="17">
        <f>54.857 * CHOOSE(CONTROL!$C$9, $D$9, 100%, $F$9) + CHOOSE(CONTROL!$C$27, 0.0021, 0)</f>
        <v>54.859099999999998</v>
      </c>
      <c r="D497" s="17">
        <f>54.857 * CHOOSE(CONTROL!$C$9, $D$9, 100%, $F$9) + CHOOSE(CONTROL!$C$27, 0.0021, 0)</f>
        <v>54.859099999999998</v>
      </c>
      <c r="E497" s="17">
        <f>54.7204 * CHOOSE(CONTROL!$C$9, $D$9, 100%, $F$9) + CHOOSE(CONTROL!$C$27, 0.0021, 0)</f>
        <v>54.722499999999997</v>
      </c>
      <c r="F497" s="17">
        <f>54.7204 * CHOOSE(CONTROL!$C$9, $D$9, 100%, $F$9) + CHOOSE(CONTROL!$C$27, 0.0021, 0)</f>
        <v>54.722499999999997</v>
      </c>
      <c r="G497" s="17">
        <f>54.9917 * CHOOSE(CONTROL!$C$9, $D$9, 100%, $F$9) + CHOOSE(CONTROL!$C$27, 0.0021, 0)</f>
        <v>54.9938</v>
      </c>
      <c r="H497" s="17">
        <f>54.857 * CHOOSE(CONTROL!$C$9, $D$9, 100%, $F$9) + CHOOSE(CONTROL!$C$27, 0.0021, 0)</f>
        <v>54.859099999999998</v>
      </c>
      <c r="I497" s="17">
        <f>54.857 * CHOOSE(CONTROL!$C$9, $D$9, 100%, $F$9) + CHOOSE(CONTROL!$C$27, 0.0021, 0)</f>
        <v>54.859099999999998</v>
      </c>
      <c r="J497" s="17">
        <f>54.857 * CHOOSE(CONTROL!$C$9, $D$9, 100%, $F$9) + CHOOSE(CONTROL!$C$27, 0.0021, 0)</f>
        <v>54.859099999999998</v>
      </c>
      <c r="K497" s="17">
        <f>54.857 * CHOOSE(CONTROL!$C$9, $D$9, 100%, $F$9) + CHOOSE(CONTROL!$C$27, 0.0021, 0)</f>
        <v>54.859099999999998</v>
      </c>
      <c r="L497" s="17"/>
    </row>
    <row r="498" spans="1:12" ht="15.75" x14ac:dyDescent="0.25">
      <c r="A498" s="14">
        <v>56096</v>
      </c>
      <c r="B498" s="17">
        <f>56.3532 * CHOOSE(CONTROL!$C$9, $D$9, 100%, $F$9) + CHOOSE(CONTROL!$C$27, 0.0021, 0)</f>
        <v>56.3553</v>
      </c>
      <c r="C498" s="17">
        <f>55.921 * CHOOSE(CONTROL!$C$9, $D$9, 100%, $F$9) + CHOOSE(CONTROL!$C$27, 0.0021, 0)</f>
        <v>55.923099999999998</v>
      </c>
      <c r="D498" s="17">
        <f>55.921 * CHOOSE(CONTROL!$C$9, $D$9, 100%, $F$9) + CHOOSE(CONTROL!$C$27, 0.0021, 0)</f>
        <v>55.923099999999998</v>
      </c>
      <c r="E498" s="17">
        <f>55.7843 * CHOOSE(CONTROL!$C$9, $D$9, 100%, $F$9) + CHOOSE(CONTROL!$C$27, 0.0021, 0)</f>
        <v>55.7864</v>
      </c>
      <c r="F498" s="17">
        <f>55.7843 * CHOOSE(CONTROL!$C$9, $D$9, 100%, $F$9) + CHOOSE(CONTROL!$C$27, 0.0021, 0)</f>
        <v>55.7864</v>
      </c>
      <c r="G498" s="17">
        <f>56.0557 * CHOOSE(CONTROL!$C$9, $D$9, 100%, $F$9) + CHOOSE(CONTROL!$C$27, 0.0021, 0)</f>
        <v>56.0578</v>
      </c>
      <c r="H498" s="17">
        <f>55.921 * CHOOSE(CONTROL!$C$9, $D$9, 100%, $F$9) + CHOOSE(CONTROL!$C$27, 0.0021, 0)</f>
        <v>55.923099999999998</v>
      </c>
      <c r="I498" s="17">
        <f>55.921 * CHOOSE(CONTROL!$C$9, $D$9, 100%, $F$9) + CHOOSE(CONTROL!$C$27, 0.0021, 0)</f>
        <v>55.923099999999998</v>
      </c>
      <c r="J498" s="17">
        <f>55.921 * CHOOSE(CONTROL!$C$9, $D$9, 100%, $F$9) + CHOOSE(CONTROL!$C$27, 0.0021, 0)</f>
        <v>55.923099999999998</v>
      </c>
      <c r="K498" s="17">
        <f>55.921 * CHOOSE(CONTROL!$C$9, $D$9, 100%, $F$9) + CHOOSE(CONTROL!$C$27, 0.0021, 0)</f>
        <v>55.923099999999998</v>
      </c>
      <c r="L498" s="17"/>
    </row>
    <row r="499" spans="1:12" ht="15.75" x14ac:dyDescent="0.25">
      <c r="A499" s="14">
        <v>56127</v>
      </c>
      <c r="B499" s="17">
        <f>56.678 * CHOOSE(CONTROL!$C$9, $D$9, 100%, $F$9) + CHOOSE(CONTROL!$C$27, 0.0021, 0)</f>
        <v>56.680099999999996</v>
      </c>
      <c r="C499" s="17">
        <f>56.2457 * CHOOSE(CONTROL!$C$9, $D$9, 100%, $F$9) + CHOOSE(CONTROL!$C$27, 0.0021, 0)</f>
        <v>56.247799999999998</v>
      </c>
      <c r="D499" s="17">
        <f>56.2457 * CHOOSE(CONTROL!$C$9, $D$9, 100%, $F$9) + CHOOSE(CONTROL!$C$27, 0.0021, 0)</f>
        <v>56.247799999999998</v>
      </c>
      <c r="E499" s="17">
        <f>56.1091 * CHOOSE(CONTROL!$C$9, $D$9, 100%, $F$9) + CHOOSE(CONTROL!$C$27, 0.0021, 0)</f>
        <v>56.111199999999997</v>
      </c>
      <c r="F499" s="17">
        <f>56.1091 * CHOOSE(CONTROL!$C$9, $D$9, 100%, $F$9) + CHOOSE(CONTROL!$C$27, 0.0021, 0)</f>
        <v>56.111199999999997</v>
      </c>
      <c r="G499" s="17">
        <f>56.3804 * CHOOSE(CONTROL!$C$9, $D$9, 100%, $F$9) + CHOOSE(CONTROL!$C$27, 0.0021, 0)</f>
        <v>56.3825</v>
      </c>
      <c r="H499" s="17">
        <f>56.2457 * CHOOSE(CONTROL!$C$9, $D$9, 100%, $F$9) + CHOOSE(CONTROL!$C$27, 0.0021, 0)</f>
        <v>56.247799999999998</v>
      </c>
      <c r="I499" s="17">
        <f>56.2457 * CHOOSE(CONTROL!$C$9, $D$9, 100%, $F$9) + CHOOSE(CONTROL!$C$27, 0.0021, 0)</f>
        <v>56.247799999999998</v>
      </c>
      <c r="J499" s="17">
        <f>56.2457 * CHOOSE(CONTROL!$C$9, $D$9, 100%, $F$9) + CHOOSE(CONTROL!$C$27, 0.0021, 0)</f>
        <v>56.247799999999998</v>
      </c>
      <c r="K499" s="17">
        <f>56.2457 * CHOOSE(CONTROL!$C$9, $D$9, 100%, $F$9) + CHOOSE(CONTROL!$C$27, 0.0021, 0)</f>
        <v>56.247799999999998</v>
      </c>
      <c r="L499" s="17"/>
    </row>
    <row r="500" spans="1:12" ht="15.75" x14ac:dyDescent="0.25">
      <c r="A500" s="14">
        <v>56157</v>
      </c>
      <c r="B500" s="17">
        <f>57.7839 * CHOOSE(CONTROL!$C$9, $D$9, 100%, $F$9) + CHOOSE(CONTROL!$C$27, 0.0021, 0)</f>
        <v>57.786000000000001</v>
      </c>
      <c r="C500" s="17">
        <f>57.3517 * CHOOSE(CONTROL!$C$9, $D$9, 100%, $F$9) + CHOOSE(CONTROL!$C$27, 0.0021, 0)</f>
        <v>57.3538</v>
      </c>
      <c r="D500" s="17">
        <f>57.3517 * CHOOSE(CONTROL!$C$9, $D$9, 100%, $F$9) + CHOOSE(CONTROL!$C$27, 0.0021, 0)</f>
        <v>57.3538</v>
      </c>
      <c r="E500" s="17">
        <f>57.215 * CHOOSE(CONTROL!$C$9, $D$9, 100%, $F$9) + CHOOSE(CONTROL!$C$27, 0.0021, 0)</f>
        <v>57.217100000000002</v>
      </c>
      <c r="F500" s="17">
        <f>57.215 * CHOOSE(CONTROL!$C$9, $D$9, 100%, $F$9) + CHOOSE(CONTROL!$C$27, 0.0021, 0)</f>
        <v>57.217100000000002</v>
      </c>
      <c r="G500" s="17">
        <f>57.4864 * CHOOSE(CONTROL!$C$9, $D$9, 100%, $F$9) + CHOOSE(CONTROL!$C$27, 0.0021, 0)</f>
        <v>57.488500000000002</v>
      </c>
      <c r="H500" s="17">
        <f>57.3517 * CHOOSE(CONTROL!$C$9, $D$9, 100%, $F$9) + CHOOSE(CONTROL!$C$27, 0.0021, 0)</f>
        <v>57.3538</v>
      </c>
      <c r="I500" s="17">
        <f>57.3517 * CHOOSE(CONTROL!$C$9, $D$9, 100%, $F$9) + CHOOSE(CONTROL!$C$27, 0.0021, 0)</f>
        <v>57.3538</v>
      </c>
      <c r="J500" s="17">
        <f>57.3517 * CHOOSE(CONTROL!$C$9, $D$9, 100%, $F$9) + CHOOSE(CONTROL!$C$27, 0.0021, 0)</f>
        <v>57.3538</v>
      </c>
      <c r="K500" s="17">
        <f>57.3517 * CHOOSE(CONTROL!$C$9, $D$9, 100%, $F$9) + CHOOSE(CONTROL!$C$27, 0.0021, 0)</f>
        <v>57.3538</v>
      </c>
      <c r="L500" s="17"/>
    </row>
    <row r="501" spans="1:12" ht="15.75" x14ac:dyDescent="0.25">
      <c r="A501" s="14">
        <v>56188</v>
      </c>
      <c r="B501" s="17">
        <f>59.1838 * CHOOSE(CONTROL!$C$9, $D$9, 100%, $F$9) + CHOOSE(CONTROL!$C$27, 0.0021, 0)</f>
        <v>59.185899999999997</v>
      </c>
      <c r="C501" s="17">
        <f>58.7516 * CHOOSE(CONTROL!$C$9, $D$9, 100%, $F$9) + CHOOSE(CONTROL!$C$27, 0.0021, 0)</f>
        <v>58.753700000000002</v>
      </c>
      <c r="D501" s="17">
        <f>58.7516 * CHOOSE(CONTROL!$C$9, $D$9, 100%, $F$9) + CHOOSE(CONTROL!$C$27, 0.0021, 0)</f>
        <v>58.753700000000002</v>
      </c>
      <c r="E501" s="17">
        <f>58.6149 * CHOOSE(CONTROL!$C$9, $D$9, 100%, $F$9) + CHOOSE(CONTROL!$C$27, 0.0021, 0)</f>
        <v>58.616999999999997</v>
      </c>
      <c r="F501" s="17">
        <f>58.6149 * CHOOSE(CONTROL!$C$9, $D$9, 100%, $F$9) + CHOOSE(CONTROL!$C$27, 0.0021, 0)</f>
        <v>58.616999999999997</v>
      </c>
      <c r="G501" s="17">
        <f>58.8863 * CHOOSE(CONTROL!$C$9, $D$9, 100%, $F$9) + CHOOSE(CONTROL!$C$27, 0.0021, 0)</f>
        <v>58.888399999999997</v>
      </c>
      <c r="H501" s="17">
        <f>58.7516 * CHOOSE(CONTROL!$C$9, $D$9, 100%, $F$9) + CHOOSE(CONTROL!$C$27, 0.0021, 0)</f>
        <v>58.753700000000002</v>
      </c>
      <c r="I501" s="17">
        <f>58.7516 * CHOOSE(CONTROL!$C$9, $D$9, 100%, $F$9) + CHOOSE(CONTROL!$C$27, 0.0021, 0)</f>
        <v>58.753700000000002</v>
      </c>
      <c r="J501" s="17">
        <f>58.7516 * CHOOSE(CONTROL!$C$9, $D$9, 100%, $F$9) + CHOOSE(CONTROL!$C$27, 0.0021, 0)</f>
        <v>58.753700000000002</v>
      </c>
      <c r="K501" s="17">
        <f>58.7516 * CHOOSE(CONTROL!$C$9, $D$9, 100%, $F$9) + CHOOSE(CONTROL!$C$27, 0.0021, 0)</f>
        <v>58.753700000000002</v>
      </c>
      <c r="L501" s="17"/>
    </row>
    <row r="502" spans="1:12" ht="15.75" x14ac:dyDescent="0.25">
      <c r="A502" s="14">
        <v>56218</v>
      </c>
      <c r="B502" s="17">
        <f>59.3152 * CHOOSE(CONTROL!$C$9, $D$9, 100%, $F$9) + CHOOSE(CONTROL!$C$27, 0.0021, 0)</f>
        <v>59.317299999999996</v>
      </c>
      <c r="C502" s="17">
        <f>58.883 * CHOOSE(CONTROL!$C$9, $D$9, 100%, $F$9) + CHOOSE(CONTROL!$C$27, 0.0021, 0)</f>
        <v>58.885100000000001</v>
      </c>
      <c r="D502" s="17">
        <f>58.883 * CHOOSE(CONTROL!$C$9, $D$9, 100%, $F$9) + CHOOSE(CONTROL!$C$27, 0.0021, 0)</f>
        <v>58.885100000000001</v>
      </c>
      <c r="E502" s="17">
        <f>58.7463 * CHOOSE(CONTROL!$C$9, $D$9, 100%, $F$9) + CHOOSE(CONTROL!$C$27, 0.0021, 0)</f>
        <v>58.748399999999997</v>
      </c>
      <c r="F502" s="17">
        <f>58.7463 * CHOOSE(CONTROL!$C$9, $D$9, 100%, $F$9) + CHOOSE(CONTROL!$C$27, 0.0021, 0)</f>
        <v>58.748399999999997</v>
      </c>
      <c r="G502" s="17">
        <f>59.0177 * CHOOSE(CONTROL!$C$9, $D$9, 100%, $F$9) + CHOOSE(CONTROL!$C$27, 0.0021, 0)</f>
        <v>59.019799999999996</v>
      </c>
      <c r="H502" s="17">
        <f>58.883 * CHOOSE(CONTROL!$C$9, $D$9, 100%, $F$9) + CHOOSE(CONTROL!$C$27, 0.0021, 0)</f>
        <v>58.885100000000001</v>
      </c>
      <c r="I502" s="17">
        <f>58.883 * CHOOSE(CONTROL!$C$9, $D$9, 100%, $F$9) + CHOOSE(CONTROL!$C$27, 0.0021, 0)</f>
        <v>58.885100000000001</v>
      </c>
      <c r="J502" s="17">
        <f>58.883 * CHOOSE(CONTROL!$C$9, $D$9, 100%, $F$9) + CHOOSE(CONTROL!$C$27, 0.0021, 0)</f>
        <v>58.885100000000001</v>
      </c>
      <c r="K502" s="17">
        <f>58.883 * CHOOSE(CONTROL!$C$9, $D$9, 100%, $F$9) + CHOOSE(CONTROL!$C$27, 0.0021, 0)</f>
        <v>58.885100000000001</v>
      </c>
      <c r="L502" s="17"/>
    </row>
    <row r="503" spans="1:12" ht="15.75" x14ac:dyDescent="0.25">
      <c r="A503" s="14">
        <v>56249</v>
      </c>
      <c r="B503" s="17">
        <f>58.1972 * CHOOSE(CONTROL!$C$9, $D$9, 100%, $F$9) + CHOOSE(CONTROL!$C$27, 0.0021, 0)</f>
        <v>58.199300000000001</v>
      </c>
      <c r="C503" s="17">
        <f>57.7649 * CHOOSE(CONTROL!$C$9, $D$9, 100%, $F$9) + CHOOSE(CONTROL!$C$27, 0.0021, 0)</f>
        <v>57.766999999999996</v>
      </c>
      <c r="D503" s="17">
        <f>57.7649 * CHOOSE(CONTROL!$C$9, $D$9, 100%, $F$9) + CHOOSE(CONTROL!$C$27, 0.0021, 0)</f>
        <v>57.766999999999996</v>
      </c>
      <c r="E503" s="17">
        <f>57.6282 * CHOOSE(CONTROL!$C$9, $D$9, 100%, $F$9) + CHOOSE(CONTROL!$C$27, 0.0021, 0)</f>
        <v>57.630299999999998</v>
      </c>
      <c r="F503" s="17">
        <f>57.6282 * CHOOSE(CONTROL!$C$9, $D$9, 100%, $F$9) + CHOOSE(CONTROL!$C$27, 0.0021, 0)</f>
        <v>57.630299999999998</v>
      </c>
      <c r="G503" s="17">
        <f>57.8996 * CHOOSE(CONTROL!$C$9, $D$9, 100%, $F$9) + CHOOSE(CONTROL!$C$27, 0.0021, 0)</f>
        <v>57.901699999999998</v>
      </c>
      <c r="H503" s="17">
        <f>57.7649 * CHOOSE(CONTROL!$C$9, $D$9, 100%, $F$9) + CHOOSE(CONTROL!$C$27, 0.0021, 0)</f>
        <v>57.766999999999996</v>
      </c>
      <c r="I503" s="17">
        <f>57.7649 * CHOOSE(CONTROL!$C$9, $D$9, 100%, $F$9) + CHOOSE(CONTROL!$C$27, 0.0021, 0)</f>
        <v>57.766999999999996</v>
      </c>
      <c r="J503" s="17">
        <f>57.7649 * CHOOSE(CONTROL!$C$9, $D$9, 100%, $F$9) + CHOOSE(CONTROL!$C$27, 0.0021, 0)</f>
        <v>57.766999999999996</v>
      </c>
      <c r="K503" s="17">
        <f>57.7649 * CHOOSE(CONTROL!$C$9, $D$9, 100%, $F$9) + CHOOSE(CONTROL!$C$27, 0.0021, 0)</f>
        <v>57.766999999999996</v>
      </c>
      <c r="L503" s="17"/>
    </row>
    <row r="504" spans="1:12" ht="15.75" x14ac:dyDescent="0.25">
      <c r="A504" s="14">
        <v>56280</v>
      </c>
      <c r="B504" s="17">
        <f>57.4905 * CHOOSE(CONTROL!$C$9, $D$9, 100%, $F$9) + CHOOSE(CONTROL!$C$27, 0.0021, 0)</f>
        <v>57.492599999999996</v>
      </c>
      <c r="C504" s="17">
        <f>57.0582 * CHOOSE(CONTROL!$C$9, $D$9, 100%, $F$9) + CHOOSE(CONTROL!$C$27, 0.0021, 0)</f>
        <v>57.060299999999998</v>
      </c>
      <c r="D504" s="17">
        <f>57.0582 * CHOOSE(CONTROL!$C$9, $D$9, 100%, $F$9) + CHOOSE(CONTROL!$C$27, 0.0021, 0)</f>
        <v>57.060299999999998</v>
      </c>
      <c r="E504" s="17">
        <f>56.9216 * CHOOSE(CONTROL!$C$9, $D$9, 100%, $F$9) + CHOOSE(CONTROL!$C$27, 0.0021, 0)</f>
        <v>56.923699999999997</v>
      </c>
      <c r="F504" s="17">
        <f>56.9216 * CHOOSE(CONTROL!$C$9, $D$9, 100%, $F$9) + CHOOSE(CONTROL!$C$27, 0.0021, 0)</f>
        <v>56.923699999999997</v>
      </c>
      <c r="G504" s="17">
        <f>57.1929 * CHOOSE(CONTROL!$C$9, $D$9, 100%, $F$9) + CHOOSE(CONTROL!$C$27, 0.0021, 0)</f>
        <v>57.195</v>
      </c>
      <c r="H504" s="17">
        <f>57.0582 * CHOOSE(CONTROL!$C$9, $D$9, 100%, $F$9) + CHOOSE(CONTROL!$C$27, 0.0021, 0)</f>
        <v>57.060299999999998</v>
      </c>
      <c r="I504" s="17">
        <f>57.0582 * CHOOSE(CONTROL!$C$9, $D$9, 100%, $F$9) + CHOOSE(CONTROL!$C$27, 0.0021, 0)</f>
        <v>57.060299999999998</v>
      </c>
      <c r="J504" s="17">
        <f>57.0582 * CHOOSE(CONTROL!$C$9, $D$9, 100%, $F$9) + CHOOSE(CONTROL!$C$27, 0.0021, 0)</f>
        <v>57.060299999999998</v>
      </c>
      <c r="K504" s="17">
        <f>57.0582 * CHOOSE(CONTROL!$C$9, $D$9, 100%, $F$9) + CHOOSE(CONTROL!$C$27, 0.0021, 0)</f>
        <v>57.060299999999998</v>
      </c>
      <c r="L504" s="17"/>
    </row>
    <row r="505" spans="1:12" ht="15.75" x14ac:dyDescent="0.25">
      <c r="A505" s="14">
        <v>56308</v>
      </c>
      <c r="B505" s="17">
        <f>55.9292 * CHOOSE(CONTROL!$C$9, $D$9, 100%, $F$9) + CHOOSE(CONTROL!$C$27, 0.0021, 0)</f>
        <v>55.9313</v>
      </c>
      <c r="C505" s="17">
        <f>55.4969 * CHOOSE(CONTROL!$C$9, $D$9, 100%, $F$9) + CHOOSE(CONTROL!$C$27, 0.0021, 0)</f>
        <v>55.498999999999995</v>
      </c>
      <c r="D505" s="17">
        <f>55.4969 * CHOOSE(CONTROL!$C$9, $D$9, 100%, $F$9) + CHOOSE(CONTROL!$C$27, 0.0021, 0)</f>
        <v>55.498999999999995</v>
      </c>
      <c r="E505" s="17">
        <f>55.3603 * CHOOSE(CONTROL!$C$9, $D$9, 100%, $F$9) + CHOOSE(CONTROL!$C$27, 0.0021, 0)</f>
        <v>55.362400000000001</v>
      </c>
      <c r="F505" s="17">
        <f>55.3603 * CHOOSE(CONTROL!$C$9, $D$9, 100%, $F$9) + CHOOSE(CONTROL!$C$27, 0.0021, 0)</f>
        <v>55.362400000000001</v>
      </c>
      <c r="G505" s="17">
        <f>55.6316 * CHOOSE(CONTROL!$C$9, $D$9, 100%, $F$9) + CHOOSE(CONTROL!$C$27, 0.0021, 0)</f>
        <v>55.633699999999997</v>
      </c>
      <c r="H505" s="17">
        <f>55.4969 * CHOOSE(CONTROL!$C$9, $D$9, 100%, $F$9) + CHOOSE(CONTROL!$C$27, 0.0021, 0)</f>
        <v>55.498999999999995</v>
      </c>
      <c r="I505" s="17">
        <f>55.4969 * CHOOSE(CONTROL!$C$9, $D$9, 100%, $F$9) + CHOOSE(CONTROL!$C$27, 0.0021, 0)</f>
        <v>55.498999999999995</v>
      </c>
      <c r="J505" s="17">
        <f>55.4969 * CHOOSE(CONTROL!$C$9, $D$9, 100%, $F$9) + CHOOSE(CONTROL!$C$27, 0.0021, 0)</f>
        <v>55.498999999999995</v>
      </c>
      <c r="K505" s="17">
        <f>55.4969 * CHOOSE(CONTROL!$C$9, $D$9, 100%, $F$9) + CHOOSE(CONTROL!$C$27, 0.0021, 0)</f>
        <v>55.498999999999995</v>
      </c>
      <c r="L505" s="17"/>
    </row>
    <row r="506" spans="1:12" ht="15.75" x14ac:dyDescent="0.25">
      <c r="A506" s="14">
        <v>56339</v>
      </c>
      <c r="B506" s="17">
        <f>55.2847 * CHOOSE(CONTROL!$C$9, $D$9, 100%, $F$9) + CHOOSE(CONTROL!$C$27, 0.0021, 0)</f>
        <v>55.286799999999999</v>
      </c>
      <c r="C506" s="17">
        <f>54.8524 * CHOOSE(CONTROL!$C$9, $D$9, 100%, $F$9) + CHOOSE(CONTROL!$C$27, 0.0021, 0)</f>
        <v>54.854500000000002</v>
      </c>
      <c r="D506" s="17">
        <f>54.8524 * CHOOSE(CONTROL!$C$9, $D$9, 100%, $F$9) + CHOOSE(CONTROL!$C$27, 0.0021, 0)</f>
        <v>54.854500000000002</v>
      </c>
      <c r="E506" s="17">
        <f>54.7158 * CHOOSE(CONTROL!$C$9, $D$9, 100%, $F$9) + CHOOSE(CONTROL!$C$27, 0.0021, 0)</f>
        <v>54.7179</v>
      </c>
      <c r="F506" s="17">
        <f>54.7158 * CHOOSE(CONTROL!$C$9, $D$9, 100%, $F$9) + CHOOSE(CONTROL!$C$27, 0.0021, 0)</f>
        <v>54.7179</v>
      </c>
      <c r="G506" s="17">
        <f>54.9871 * CHOOSE(CONTROL!$C$9, $D$9, 100%, $F$9) + CHOOSE(CONTROL!$C$27, 0.0021, 0)</f>
        <v>54.989199999999997</v>
      </c>
      <c r="H506" s="17">
        <f>54.8524 * CHOOSE(CONTROL!$C$9, $D$9, 100%, $F$9) + CHOOSE(CONTROL!$C$27, 0.0021, 0)</f>
        <v>54.854500000000002</v>
      </c>
      <c r="I506" s="17">
        <f>54.8524 * CHOOSE(CONTROL!$C$9, $D$9, 100%, $F$9) + CHOOSE(CONTROL!$C$27, 0.0021, 0)</f>
        <v>54.854500000000002</v>
      </c>
      <c r="J506" s="17">
        <f>54.8524 * CHOOSE(CONTROL!$C$9, $D$9, 100%, $F$9) + CHOOSE(CONTROL!$C$27, 0.0021, 0)</f>
        <v>54.854500000000002</v>
      </c>
      <c r="K506" s="17">
        <f>54.8524 * CHOOSE(CONTROL!$C$9, $D$9, 100%, $F$9) + CHOOSE(CONTROL!$C$27, 0.0021, 0)</f>
        <v>54.854500000000002</v>
      </c>
      <c r="L506" s="17"/>
    </row>
    <row r="507" spans="1:12" ht="15.75" x14ac:dyDescent="0.25">
      <c r="A507" s="14">
        <v>56369</v>
      </c>
      <c r="B507" s="17">
        <f>54.5151 * CHOOSE(CONTROL!$C$9, $D$9, 100%, $F$9) + CHOOSE(CONTROL!$C$27, 0.0021, 0)</f>
        <v>54.517199999999995</v>
      </c>
      <c r="C507" s="17">
        <f>54.0829 * CHOOSE(CONTROL!$C$9, $D$9, 100%, $F$9) + CHOOSE(CONTROL!$C$27, 0.0021, 0)</f>
        <v>54.085000000000001</v>
      </c>
      <c r="D507" s="17">
        <f>54.0829 * CHOOSE(CONTROL!$C$9, $D$9, 100%, $F$9) + CHOOSE(CONTROL!$C$27, 0.0021, 0)</f>
        <v>54.085000000000001</v>
      </c>
      <c r="E507" s="17">
        <f>53.9462 * CHOOSE(CONTROL!$C$9, $D$9, 100%, $F$9) + CHOOSE(CONTROL!$C$27, 0.0021, 0)</f>
        <v>53.948299999999996</v>
      </c>
      <c r="F507" s="17">
        <f>53.9462 * CHOOSE(CONTROL!$C$9, $D$9, 100%, $F$9) + CHOOSE(CONTROL!$C$27, 0.0021, 0)</f>
        <v>53.948299999999996</v>
      </c>
      <c r="G507" s="17">
        <f>54.2176 * CHOOSE(CONTROL!$C$9, $D$9, 100%, $F$9) + CHOOSE(CONTROL!$C$27, 0.0021, 0)</f>
        <v>54.219699999999996</v>
      </c>
      <c r="H507" s="17">
        <f>54.0829 * CHOOSE(CONTROL!$C$9, $D$9, 100%, $F$9) + CHOOSE(CONTROL!$C$27, 0.0021, 0)</f>
        <v>54.085000000000001</v>
      </c>
      <c r="I507" s="17">
        <f>54.0829 * CHOOSE(CONTROL!$C$9, $D$9, 100%, $F$9) + CHOOSE(CONTROL!$C$27, 0.0021, 0)</f>
        <v>54.085000000000001</v>
      </c>
      <c r="J507" s="17">
        <f>54.0829 * CHOOSE(CONTROL!$C$9, $D$9, 100%, $F$9) + CHOOSE(CONTROL!$C$27, 0.0021, 0)</f>
        <v>54.085000000000001</v>
      </c>
      <c r="K507" s="17">
        <f>54.0829 * CHOOSE(CONTROL!$C$9, $D$9, 100%, $F$9) + CHOOSE(CONTROL!$C$27, 0.0021, 0)</f>
        <v>54.085000000000001</v>
      </c>
      <c r="L507" s="17"/>
    </row>
    <row r="508" spans="1:12" ht="15.75" x14ac:dyDescent="0.25">
      <c r="A508" s="14">
        <v>56400</v>
      </c>
      <c r="B508" s="17">
        <f>55.6118 * CHOOSE(CONTROL!$C$9, $D$9, 100%, $F$9) + CHOOSE(CONTROL!$C$27, 0.0021, 0)</f>
        <v>55.613900000000001</v>
      </c>
      <c r="C508" s="17">
        <f>55.1796 * CHOOSE(CONTROL!$C$9, $D$9, 100%, $F$9) + CHOOSE(CONTROL!$C$27, 0.0021, 0)</f>
        <v>55.181699999999999</v>
      </c>
      <c r="D508" s="17">
        <f>55.1796 * CHOOSE(CONTROL!$C$9, $D$9, 100%, $F$9) + CHOOSE(CONTROL!$C$27, 0.0021, 0)</f>
        <v>55.181699999999999</v>
      </c>
      <c r="E508" s="17">
        <f>55.0429 * CHOOSE(CONTROL!$C$9, $D$9, 100%, $F$9) + CHOOSE(CONTROL!$C$27, 0.0021, 0)</f>
        <v>55.045000000000002</v>
      </c>
      <c r="F508" s="17">
        <f>55.0429 * CHOOSE(CONTROL!$C$9, $D$9, 100%, $F$9) + CHOOSE(CONTROL!$C$27, 0.0021, 0)</f>
        <v>55.045000000000002</v>
      </c>
      <c r="G508" s="17">
        <f>55.3143 * CHOOSE(CONTROL!$C$9, $D$9, 100%, $F$9) + CHOOSE(CONTROL!$C$27, 0.0021, 0)</f>
        <v>55.316400000000002</v>
      </c>
      <c r="H508" s="17">
        <f>55.1796 * CHOOSE(CONTROL!$C$9, $D$9, 100%, $F$9) + CHOOSE(CONTROL!$C$27, 0.0021, 0)</f>
        <v>55.181699999999999</v>
      </c>
      <c r="I508" s="17">
        <f>55.1796 * CHOOSE(CONTROL!$C$9, $D$9, 100%, $F$9) + CHOOSE(CONTROL!$C$27, 0.0021, 0)</f>
        <v>55.181699999999999</v>
      </c>
      <c r="J508" s="17">
        <f>55.1796 * CHOOSE(CONTROL!$C$9, $D$9, 100%, $F$9) + CHOOSE(CONTROL!$C$27, 0.0021, 0)</f>
        <v>55.181699999999999</v>
      </c>
      <c r="K508" s="17">
        <f>55.1796 * CHOOSE(CONTROL!$C$9, $D$9, 100%, $F$9) + CHOOSE(CONTROL!$C$27, 0.0021, 0)</f>
        <v>55.181699999999999</v>
      </c>
      <c r="L508" s="17"/>
    </row>
    <row r="509" spans="1:12" ht="15.75" x14ac:dyDescent="0.25">
      <c r="A509" s="14">
        <v>56430</v>
      </c>
      <c r="B509" s="17">
        <f>56.2687 * CHOOSE(CONTROL!$C$9, $D$9, 100%, $F$9) + CHOOSE(CONTROL!$C$27, 0.0021, 0)</f>
        <v>56.270800000000001</v>
      </c>
      <c r="C509" s="17">
        <f>55.8364 * CHOOSE(CONTROL!$C$9, $D$9, 100%, $F$9) + CHOOSE(CONTROL!$C$27, 0.0021, 0)</f>
        <v>55.838499999999996</v>
      </c>
      <c r="D509" s="17">
        <f>55.8364 * CHOOSE(CONTROL!$C$9, $D$9, 100%, $F$9) + CHOOSE(CONTROL!$C$27, 0.0021, 0)</f>
        <v>55.838499999999996</v>
      </c>
      <c r="E509" s="17">
        <f>55.6998 * CHOOSE(CONTROL!$C$9, $D$9, 100%, $F$9) + CHOOSE(CONTROL!$C$27, 0.0021, 0)</f>
        <v>55.701900000000002</v>
      </c>
      <c r="F509" s="17">
        <f>55.6998 * CHOOSE(CONTROL!$C$9, $D$9, 100%, $F$9) + CHOOSE(CONTROL!$C$27, 0.0021, 0)</f>
        <v>55.701900000000002</v>
      </c>
      <c r="G509" s="17">
        <f>55.9712 * CHOOSE(CONTROL!$C$9, $D$9, 100%, $F$9) + CHOOSE(CONTROL!$C$27, 0.0021, 0)</f>
        <v>55.973300000000002</v>
      </c>
      <c r="H509" s="17">
        <f>55.8364 * CHOOSE(CONTROL!$C$9, $D$9, 100%, $F$9) + CHOOSE(CONTROL!$C$27, 0.0021, 0)</f>
        <v>55.838499999999996</v>
      </c>
      <c r="I509" s="17">
        <f>55.8364 * CHOOSE(CONTROL!$C$9, $D$9, 100%, $F$9) + CHOOSE(CONTROL!$C$27, 0.0021, 0)</f>
        <v>55.838499999999996</v>
      </c>
      <c r="J509" s="17">
        <f>55.8364 * CHOOSE(CONTROL!$C$9, $D$9, 100%, $F$9) + CHOOSE(CONTROL!$C$27, 0.0021, 0)</f>
        <v>55.838499999999996</v>
      </c>
      <c r="K509" s="17">
        <f>55.8364 * CHOOSE(CONTROL!$C$9, $D$9, 100%, $F$9) + CHOOSE(CONTROL!$C$27, 0.0021, 0)</f>
        <v>55.838499999999996</v>
      </c>
      <c r="L509" s="17"/>
    </row>
    <row r="510" spans="1:12" ht="15.75" x14ac:dyDescent="0.25">
      <c r="A510" s="14">
        <v>56461</v>
      </c>
      <c r="B510" s="17">
        <f>57.3523 * CHOOSE(CONTROL!$C$9, $D$9, 100%, $F$9) + CHOOSE(CONTROL!$C$27, 0.0021, 0)</f>
        <v>57.354399999999998</v>
      </c>
      <c r="C510" s="17">
        <f>56.9201 * CHOOSE(CONTROL!$C$9, $D$9, 100%, $F$9) + CHOOSE(CONTROL!$C$27, 0.0021, 0)</f>
        <v>56.922199999999997</v>
      </c>
      <c r="D510" s="17">
        <f>56.9201 * CHOOSE(CONTROL!$C$9, $D$9, 100%, $F$9) + CHOOSE(CONTROL!$C$27, 0.0021, 0)</f>
        <v>56.922199999999997</v>
      </c>
      <c r="E510" s="17">
        <f>56.7834 * CHOOSE(CONTROL!$C$9, $D$9, 100%, $F$9) + CHOOSE(CONTROL!$C$27, 0.0021, 0)</f>
        <v>56.785499999999999</v>
      </c>
      <c r="F510" s="17">
        <f>56.7834 * CHOOSE(CONTROL!$C$9, $D$9, 100%, $F$9) + CHOOSE(CONTROL!$C$27, 0.0021, 0)</f>
        <v>56.785499999999999</v>
      </c>
      <c r="G510" s="17">
        <f>57.0548 * CHOOSE(CONTROL!$C$9, $D$9, 100%, $F$9) + CHOOSE(CONTROL!$C$27, 0.0021, 0)</f>
        <v>57.056899999999999</v>
      </c>
      <c r="H510" s="17">
        <f>56.9201 * CHOOSE(CONTROL!$C$9, $D$9, 100%, $F$9) + CHOOSE(CONTROL!$C$27, 0.0021, 0)</f>
        <v>56.922199999999997</v>
      </c>
      <c r="I510" s="17">
        <f>56.9201 * CHOOSE(CONTROL!$C$9, $D$9, 100%, $F$9) + CHOOSE(CONTROL!$C$27, 0.0021, 0)</f>
        <v>56.922199999999997</v>
      </c>
      <c r="J510" s="17">
        <f>56.9201 * CHOOSE(CONTROL!$C$9, $D$9, 100%, $F$9) + CHOOSE(CONTROL!$C$27, 0.0021, 0)</f>
        <v>56.922199999999997</v>
      </c>
      <c r="K510" s="17">
        <f>56.9201 * CHOOSE(CONTROL!$C$9, $D$9, 100%, $F$9) + CHOOSE(CONTROL!$C$27, 0.0021, 0)</f>
        <v>56.922199999999997</v>
      </c>
      <c r="L510" s="17"/>
    </row>
    <row r="511" spans="1:12" ht="15.75" x14ac:dyDescent="0.25">
      <c r="A511" s="14">
        <v>56492</v>
      </c>
      <c r="B511" s="17">
        <f>57.6831 * CHOOSE(CONTROL!$C$9, $D$9, 100%, $F$9) + CHOOSE(CONTROL!$C$27, 0.0021, 0)</f>
        <v>57.685200000000002</v>
      </c>
      <c r="C511" s="17">
        <f>57.2508 * CHOOSE(CONTROL!$C$9, $D$9, 100%, $F$9) + CHOOSE(CONTROL!$C$27, 0.0021, 0)</f>
        <v>57.252899999999997</v>
      </c>
      <c r="D511" s="17">
        <f>57.2508 * CHOOSE(CONTROL!$C$9, $D$9, 100%, $F$9) + CHOOSE(CONTROL!$C$27, 0.0021, 0)</f>
        <v>57.252899999999997</v>
      </c>
      <c r="E511" s="17">
        <f>57.1142 * CHOOSE(CONTROL!$C$9, $D$9, 100%, $F$9) + CHOOSE(CONTROL!$C$27, 0.0021, 0)</f>
        <v>57.116299999999995</v>
      </c>
      <c r="F511" s="17">
        <f>57.1142 * CHOOSE(CONTROL!$C$9, $D$9, 100%, $F$9) + CHOOSE(CONTROL!$C$27, 0.0021, 0)</f>
        <v>57.116299999999995</v>
      </c>
      <c r="G511" s="17">
        <f>57.3855 * CHOOSE(CONTROL!$C$9, $D$9, 100%, $F$9) + CHOOSE(CONTROL!$C$27, 0.0021, 0)</f>
        <v>57.387599999999999</v>
      </c>
      <c r="H511" s="17">
        <f>57.2508 * CHOOSE(CONTROL!$C$9, $D$9, 100%, $F$9) + CHOOSE(CONTROL!$C$27, 0.0021, 0)</f>
        <v>57.252899999999997</v>
      </c>
      <c r="I511" s="17">
        <f>57.2508 * CHOOSE(CONTROL!$C$9, $D$9, 100%, $F$9) + CHOOSE(CONTROL!$C$27, 0.0021, 0)</f>
        <v>57.252899999999997</v>
      </c>
      <c r="J511" s="17">
        <f>57.2508 * CHOOSE(CONTROL!$C$9, $D$9, 100%, $F$9) + CHOOSE(CONTROL!$C$27, 0.0021, 0)</f>
        <v>57.252899999999997</v>
      </c>
      <c r="K511" s="17">
        <f>57.2508 * CHOOSE(CONTROL!$C$9, $D$9, 100%, $F$9) + CHOOSE(CONTROL!$C$27, 0.0021, 0)</f>
        <v>57.252899999999997</v>
      </c>
      <c r="L511" s="17"/>
    </row>
    <row r="512" spans="1:12" ht="15.75" x14ac:dyDescent="0.25">
      <c r="A512" s="14">
        <v>56522</v>
      </c>
      <c r="B512" s="17">
        <f>58.8094 * CHOOSE(CONTROL!$C$9, $D$9, 100%, $F$9) + CHOOSE(CONTROL!$C$27, 0.0021, 0)</f>
        <v>58.811499999999995</v>
      </c>
      <c r="C512" s="17">
        <f>58.3772 * CHOOSE(CONTROL!$C$9, $D$9, 100%, $F$9) + CHOOSE(CONTROL!$C$27, 0.0021, 0)</f>
        <v>58.379300000000001</v>
      </c>
      <c r="D512" s="17">
        <f>58.3772 * CHOOSE(CONTROL!$C$9, $D$9, 100%, $F$9) + CHOOSE(CONTROL!$C$27, 0.0021, 0)</f>
        <v>58.379300000000001</v>
      </c>
      <c r="E512" s="17">
        <f>58.2405 * CHOOSE(CONTROL!$C$9, $D$9, 100%, $F$9) + CHOOSE(CONTROL!$C$27, 0.0021, 0)</f>
        <v>58.242599999999996</v>
      </c>
      <c r="F512" s="17">
        <f>58.2405 * CHOOSE(CONTROL!$C$9, $D$9, 100%, $F$9) + CHOOSE(CONTROL!$C$27, 0.0021, 0)</f>
        <v>58.242599999999996</v>
      </c>
      <c r="G512" s="17">
        <f>58.5119 * CHOOSE(CONTROL!$C$9, $D$9, 100%, $F$9) + CHOOSE(CONTROL!$C$27, 0.0021, 0)</f>
        <v>58.513999999999996</v>
      </c>
      <c r="H512" s="17">
        <f>58.3772 * CHOOSE(CONTROL!$C$9, $D$9, 100%, $F$9) + CHOOSE(CONTROL!$C$27, 0.0021, 0)</f>
        <v>58.379300000000001</v>
      </c>
      <c r="I512" s="17">
        <f>58.3772 * CHOOSE(CONTROL!$C$9, $D$9, 100%, $F$9) + CHOOSE(CONTROL!$C$27, 0.0021, 0)</f>
        <v>58.379300000000001</v>
      </c>
      <c r="J512" s="17">
        <f>58.3772 * CHOOSE(CONTROL!$C$9, $D$9, 100%, $F$9) + CHOOSE(CONTROL!$C$27, 0.0021, 0)</f>
        <v>58.379300000000001</v>
      </c>
      <c r="K512" s="17">
        <f>58.3772 * CHOOSE(CONTROL!$C$9, $D$9, 100%, $F$9) + CHOOSE(CONTROL!$C$27, 0.0021, 0)</f>
        <v>58.379300000000001</v>
      </c>
      <c r="L512" s="17"/>
    </row>
    <row r="513" spans="1:12" ht="15.75" x14ac:dyDescent="0.25">
      <c r="A513" s="14">
        <v>56553</v>
      </c>
      <c r="B513" s="17">
        <f>60.2352 * CHOOSE(CONTROL!$C$9, $D$9, 100%, $F$9) + CHOOSE(CONTROL!$C$27, 0.0021, 0)</f>
        <v>60.237299999999998</v>
      </c>
      <c r="C513" s="17">
        <f>59.803 * CHOOSE(CONTROL!$C$9, $D$9, 100%, $F$9) + CHOOSE(CONTROL!$C$27, 0.0021, 0)</f>
        <v>59.805099999999996</v>
      </c>
      <c r="D513" s="17">
        <f>59.803 * CHOOSE(CONTROL!$C$9, $D$9, 100%, $F$9) + CHOOSE(CONTROL!$C$27, 0.0021, 0)</f>
        <v>59.805099999999996</v>
      </c>
      <c r="E513" s="17">
        <f>59.6663 * CHOOSE(CONTROL!$C$9, $D$9, 100%, $F$9) + CHOOSE(CONTROL!$C$27, 0.0021, 0)</f>
        <v>59.668399999999998</v>
      </c>
      <c r="F513" s="17">
        <f>59.6663 * CHOOSE(CONTROL!$C$9, $D$9, 100%, $F$9) + CHOOSE(CONTROL!$C$27, 0.0021, 0)</f>
        <v>59.668399999999998</v>
      </c>
      <c r="G513" s="17">
        <f>59.9377 * CHOOSE(CONTROL!$C$9, $D$9, 100%, $F$9) + CHOOSE(CONTROL!$C$27, 0.0021, 0)</f>
        <v>59.939799999999998</v>
      </c>
      <c r="H513" s="17">
        <f>59.803 * CHOOSE(CONTROL!$C$9, $D$9, 100%, $F$9) + CHOOSE(CONTROL!$C$27, 0.0021, 0)</f>
        <v>59.805099999999996</v>
      </c>
      <c r="I513" s="17">
        <f>59.803 * CHOOSE(CONTROL!$C$9, $D$9, 100%, $F$9) + CHOOSE(CONTROL!$C$27, 0.0021, 0)</f>
        <v>59.805099999999996</v>
      </c>
      <c r="J513" s="17">
        <f>59.803 * CHOOSE(CONTROL!$C$9, $D$9, 100%, $F$9) + CHOOSE(CONTROL!$C$27, 0.0021, 0)</f>
        <v>59.805099999999996</v>
      </c>
      <c r="K513" s="17">
        <f>59.803 * CHOOSE(CONTROL!$C$9, $D$9, 100%, $F$9) + CHOOSE(CONTROL!$C$27, 0.0021, 0)</f>
        <v>59.805099999999996</v>
      </c>
      <c r="L513" s="17"/>
    </row>
    <row r="514" spans="1:12" ht="15.75" x14ac:dyDescent="0.25">
      <c r="A514" s="14">
        <v>56583</v>
      </c>
      <c r="B514" s="17">
        <f>60.3691 * CHOOSE(CONTROL!$C$9, $D$9, 100%, $F$9) + CHOOSE(CONTROL!$C$27, 0.0021, 0)</f>
        <v>60.371200000000002</v>
      </c>
      <c r="C514" s="17">
        <f>59.9368 * CHOOSE(CONTROL!$C$9, $D$9, 100%, $F$9) + CHOOSE(CONTROL!$C$27, 0.0021, 0)</f>
        <v>59.938899999999997</v>
      </c>
      <c r="D514" s="17">
        <f>59.9368 * CHOOSE(CONTROL!$C$9, $D$9, 100%, $F$9) + CHOOSE(CONTROL!$C$27, 0.0021, 0)</f>
        <v>59.938899999999997</v>
      </c>
      <c r="E514" s="17">
        <f>59.8002 * CHOOSE(CONTROL!$C$9, $D$9, 100%, $F$9) + CHOOSE(CONTROL!$C$27, 0.0021, 0)</f>
        <v>59.802299999999995</v>
      </c>
      <c r="F514" s="17">
        <f>59.8002 * CHOOSE(CONTROL!$C$9, $D$9, 100%, $F$9) + CHOOSE(CONTROL!$C$27, 0.0021, 0)</f>
        <v>59.802299999999995</v>
      </c>
      <c r="G514" s="17">
        <f>60.0715 * CHOOSE(CONTROL!$C$9, $D$9, 100%, $F$9) + CHOOSE(CONTROL!$C$27, 0.0021, 0)</f>
        <v>60.073599999999999</v>
      </c>
      <c r="H514" s="17">
        <f>59.9368 * CHOOSE(CONTROL!$C$9, $D$9, 100%, $F$9) + CHOOSE(CONTROL!$C$27, 0.0021, 0)</f>
        <v>59.938899999999997</v>
      </c>
      <c r="I514" s="17">
        <f>59.9368 * CHOOSE(CONTROL!$C$9, $D$9, 100%, $F$9) + CHOOSE(CONTROL!$C$27, 0.0021, 0)</f>
        <v>59.938899999999997</v>
      </c>
      <c r="J514" s="17">
        <f>59.9368 * CHOOSE(CONTROL!$C$9, $D$9, 100%, $F$9) + CHOOSE(CONTROL!$C$27, 0.0021, 0)</f>
        <v>59.938899999999997</v>
      </c>
      <c r="K514" s="17">
        <f>59.9368 * CHOOSE(CONTROL!$C$9, $D$9, 100%, $F$9) + CHOOSE(CONTROL!$C$27, 0.0021, 0)</f>
        <v>59.938899999999997</v>
      </c>
      <c r="L514" s="17"/>
    </row>
    <row r="515" spans="1:12" ht="15.75" x14ac:dyDescent="0.25">
      <c r="A515" s="14">
        <v>56614</v>
      </c>
      <c r="B515" s="17">
        <f>59.2303 * CHOOSE(CONTROL!$C$9, $D$9, 100%, $F$9) + CHOOSE(CONTROL!$C$27, 0.0021, 0)</f>
        <v>59.232399999999998</v>
      </c>
      <c r="C515" s="17">
        <f>58.7981 * CHOOSE(CONTROL!$C$9, $D$9, 100%, $F$9) + CHOOSE(CONTROL!$C$27, 0.0021, 0)</f>
        <v>58.800199999999997</v>
      </c>
      <c r="D515" s="17">
        <f>58.7981 * CHOOSE(CONTROL!$C$9, $D$9, 100%, $F$9) + CHOOSE(CONTROL!$C$27, 0.0021, 0)</f>
        <v>58.800199999999997</v>
      </c>
      <c r="E515" s="17">
        <f>58.6614 * CHOOSE(CONTROL!$C$9, $D$9, 100%, $F$9) + CHOOSE(CONTROL!$C$27, 0.0021, 0)</f>
        <v>58.663499999999999</v>
      </c>
      <c r="F515" s="17">
        <f>58.6614 * CHOOSE(CONTROL!$C$9, $D$9, 100%, $F$9) + CHOOSE(CONTROL!$C$27, 0.0021, 0)</f>
        <v>58.663499999999999</v>
      </c>
      <c r="G515" s="17">
        <f>58.9328 * CHOOSE(CONTROL!$C$9, $D$9, 100%, $F$9) + CHOOSE(CONTROL!$C$27, 0.0021, 0)</f>
        <v>58.934899999999999</v>
      </c>
      <c r="H515" s="17">
        <f>58.7981 * CHOOSE(CONTROL!$C$9, $D$9, 100%, $F$9) + CHOOSE(CONTROL!$C$27, 0.0021, 0)</f>
        <v>58.800199999999997</v>
      </c>
      <c r="I515" s="17">
        <f>58.7981 * CHOOSE(CONTROL!$C$9, $D$9, 100%, $F$9) + CHOOSE(CONTROL!$C$27, 0.0021, 0)</f>
        <v>58.800199999999997</v>
      </c>
      <c r="J515" s="17">
        <f>58.7981 * CHOOSE(CONTROL!$C$9, $D$9, 100%, $F$9) + CHOOSE(CONTROL!$C$27, 0.0021, 0)</f>
        <v>58.800199999999997</v>
      </c>
      <c r="K515" s="17">
        <f>58.7981 * CHOOSE(CONTROL!$C$9, $D$9, 100%, $F$9) + CHOOSE(CONTROL!$C$27, 0.0021, 0)</f>
        <v>58.800199999999997</v>
      </c>
      <c r="L515" s="17"/>
    </row>
    <row r="516" spans="1:12" ht="15.75" x14ac:dyDescent="0.25">
      <c r="A516" s="13">
        <v>56645</v>
      </c>
      <c r="B516" s="17">
        <f>58.5106 * CHOOSE(CONTROL!$C$9, $D$9, 100%, $F$9) + CHOOSE(CONTROL!$C$27, 0.0021, 0)</f>
        <v>58.512699999999995</v>
      </c>
      <c r="C516" s="17">
        <f>58.0783 * CHOOSE(CONTROL!$C$9, $D$9, 100%, $F$9) + CHOOSE(CONTROL!$C$27, 0.0021, 0)</f>
        <v>58.080399999999997</v>
      </c>
      <c r="D516" s="17">
        <f>58.0783 * CHOOSE(CONTROL!$C$9, $D$9, 100%, $F$9) + CHOOSE(CONTROL!$C$27, 0.0021, 0)</f>
        <v>58.080399999999997</v>
      </c>
      <c r="E516" s="17">
        <f>57.9417 * CHOOSE(CONTROL!$C$9, $D$9, 100%, $F$9) + CHOOSE(CONTROL!$C$27, 0.0021, 0)</f>
        <v>57.943799999999996</v>
      </c>
      <c r="F516" s="17">
        <f>57.9417 * CHOOSE(CONTROL!$C$9, $D$9, 100%, $F$9) + CHOOSE(CONTROL!$C$27, 0.0021, 0)</f>
        <v>57.943799999999996</v>
      </c>
      <c r="G516" s="17">
        <f>58.213 * CHOOSE(CONTROL!$C$9, $D$9, 100%, $F$9) + CHOOSE(CONTROL!$C$27, 0.0021, 0)</f>
        <v>58.2151</v>
      </c>
      <c r="H516" s="17">
        <f>58.0783 * CHOOSE(CONTROL!$C$9, $D$9, 100%, $F$9) + CHOOSE(CONTROL!$C$27, 0.0021, 0)</f>
        <v>58.080399999999997</v>
      </c>
      <c r="I516" s="17">
        <f>58.0783 * CHOOSE(CONTROL!$C$9, $D$9, 100%, $F$9) + CHOOSE(CONTROL!$C$27, 0.0021, 0)</f>
        <v>58.080399999999997</v>
      </c>
      <c r="J516" s="17">
        <f>58.0783 * CHOOSE(CONTROL!$C$9, $D$9, 100%, $F$9) + CHOOSE(CONTROL!$C$27, 0.0021, 0)</f>
        <v>58.080399999999997</v>
      </c>
      <c r="K516" s="17">
        <f>58.0783 * CHOOSE(CONTROL!$C$9, $D$9, 100%, $F$9) + CHOOSE(CONTROL!$C$27, 0.0021, 0)</f>
        <v>58.080399999999997</v>
      </c>
      <c r="L516" s="17"/>
    </row>
    <row r="517" spans="1:12" ht="15.75" x14ac:dyDescent="0.25">
      <c r="A517" s="13">
        <v>56673</v>
      </c>
      <c r="B517" s="17">
        <f>56.9204 * CHOOSE(CONTROL!$C$9, $D$9, 100%, $F$9) + CHOOSE(CONTROL!$C$27, 0.0021, 0)</f>
        <v>56.922499999999999</v>
      </c>
      <c r="C517" s="17">
        <f>56.4882 * CHOOSE(CONTROL!$C$9, $D$9, 100%, $F$9) + CHOOSE(CONTROL!$C$27, 0.0021, 0)</f>
        <v>56.490299999999998</v>
      </c>
      <c r="D517" s="17">
        <f>56.4882 * CHOOSE(CONTROL!$C$9, $D$9, 100%, $F$9) + CHOOSE(CONTROL!$C$27, 0.0021, 0)</f>
        <v>56.490299999999998</v>
      </c>
      <c r="E517" s="17">
        <f>56.3515 * CHOOSE(CONTROL!$C$9, $D$9, 100%, $F$9) + CHOOSE(CONTROL!$C$27, 0.0021, 0)</f>
        <v>56.3536</v>
      </c>
      <c r="F517" s="17">
        <f>56.3515 * CHOOSE(CONTROL!$C$9, $D$9, 100%, $F$9) + CHOOSE(CONTROL!$C$27, 0.0021, 0)</f>
        <v>56.3536</v>
      </c>
      <c r="G517" s="17">
        <f>56.6229 * CHOOSE(CONTROL!$C$9, $D$9, 100%, $F$9) + CHOOSE(CONTROL!$C$27, 0.0021, 0)</f>
        <v>56.625</v>
      </c>
      <c r="H517" s="17">
        <f>56.4882 * CHOOSE(CONTROL!$C$9, $D$9, 100%, $F$9) + CHOOSE(CONTROL!$C$27, 0.0021, 0)</f>
        <v>56.490299999999998</v>
      </c>
      <c r="I517" s="17">
        <f>56.4882 * CHOOSE(CONTROL!$C$9, $D$9, 100%, $F$9) + CHOOSE(CONTROL!$C$27, 0.0021, 0)</f>
        <v>56.490299999999998</v>
      </c>
      <c r="J517" s="17">
        <f>56.4882 * CHOOSE(CONTROL!$C$9, $D$9, 100%, $F$9) + CHOOSE(CONTROL!$C$27, 0.0021, 0)</f>
        <v>56.490299999999998</v>
      </c>
      <c r="K517" s="17">
        <f>56.4882 * CHOOSE(CONTROL!$C$9, $D$9, 100%, $F$9) + CHOOSE(CONTROL!$C$27, 0.0021, 0)</f>
        <v>56.490299999999998</v>
      </c>
      <c r="L517" s="17"/>
    </row>
    <row r="518" spans="1:12" ht="15.75" x14ac:dyDescent="0.25">
      <c r="A518" s="13">
        <v>56704</v>
      </c>
      <c r="B518" s="17">
        <f>56.264 * CHOOSE(CONTROL!$C$9, $D$9, 100%, $F$9) + CHOOSE(CONTROL!$C$27, 0.0021, 0)</f>
        <v>56.266100000000002</v>
      </c>
      <c r="C518" s="17">
        <f>55.8318 * CHOOSE(CONTROL!$C$9, $D$9, 100%, $F$9) + CHOOSE(CONTROL!$C$27, 0.0021, 0)</f>
        <v>55.8339</v>
      </c>
      <c r="D518" s="17">
        <f>55.8318 * CHOOSE(CONTROL!$C$9, $D$9, 100%, $F$9) + CHOOSE(CONTROL!$C$27, 0.0021, 0)</f>
        <v>55.8339</v>
      </c>
      <c r="E518" s="17">
        <f>55.6951 * CHOOSE(CONTROL!$C$9, $D$9, 100%, $F$9) + CHOOSE(CONTROL!$C$27, 0.0021, 0)</f>
        <v>55.697199999999995</v>
      </c>
      <c r="F518" s="17">
        <f>55.6951 * CHOOSE(CONTROL!$C$9, $D$9, 100%, $F$9) + CHOOSE(CONTROL!$C$27, 0.0021, 0)</f>
        <v>55.697199999999995</v>
      </c>
      <c r="G518" s="17">
        <f>55.9665 * CHOOSE(CONTROL!$C$9, $D$9, 100%, $F$9) + CHOOSE(CONTROL!$C$27, 0.0021, 0)</f>
        <v>55.968600000000002</v>
      </c>
      <c r="H518" s="17">
        <f>55.8318 * CHOOSE(CONTROL!$C$9, $D$9, 100%, $F$9) + CHOOSE(CONTROL!$C$27, 0.0021, 0)</f>
        <v>55.8339</v>
      </c>
      <c r="I518" s="17">
        <f>55.8318 * CHOOSE(CONTROL!$C$9, $D$9, 100%, $F$9) + CHOOSE(CONTROL!$C$27, 0.0021, 0)</f>
        <v>55.8339</v>
      </c>
      <c r="J518" s="17">
        <f>55.8318 * CHOOSE(CONTROL!$C$9, $D$9, 100%, $F$9) + CHOOSE(CONTROL!$C$27, 0.0021, 0)</f>
        <v>55.8339</v>
      </c>
      <c r="K518" s="17">
        <f>55.8318 * CHOOSE(CONTROL!$C$9, $D$9, 100%, $F$9) + CHOOSE(CONTROL!$C$27, 0.0021, 0)</f>
        <v>55.8339</v>
      </c>
      <c r="L518" s="17"/>
    </row>
    <row r="519" spans="1:12" ht="15.75" x14ac:dyDescent="0.25">
      <c r="A519" s="13">
        <v>56734</v>
      </c>
      <c r="B519" s="17">
        <f>55.4802 * CHOOSE(CONTROL!$C$9, $D$9, 100%, $F$9) + CHOOSE(CONTROL!$C$27, 0.0021, 0)</f>
        <v>55.482300000000002</v>
      </c>
      <c r="C519" s="17">
        <f>55.048 * CHOOSE(CONTROL!$C$9, $D$9, 100%, $F$9) + CHOOSE(CONTROL!$C$27, 0.0021, 0)</f>
        <v>55.0501</v>
      </c>
      <c r="D519" s="17">
        <f>55.048 * CHOOSE(CONTROL!$C$9, $D$9, 100%, $F$9) + CHOOSE(CONTROL!$C$27, 0.0021, 0)</f>
        <v>55.0501</v>
      </c>
      <c r="E519" s="17">
        <f>54.9113 * CHOOSE(CONTROL!$C$9, $D$9, 100%, $F$9) + CHOOSE(CONTROL!$C$27, 0.0021, 0)</f>
        <v>54.913399999999996</v>
      </c>
      <c r="F519" s="17">
        <f>54.9113 * CHOOSE(CONTROL!$C$9, $D$9, 100%, $F$9) + CHOOSE(CONTROL!$C$27, 0.0021, 0)</f>
        <v>54.913399999999996</v>
      </c>
      <c r="G519" s="17">
        <f>55.1827 * CHOOSE(CONTROL!$C$9, $D$9, 100%, $F$9) + CHOOSE(CONTROL!$C$27, 0.0021, 0)</f>
        <v>55.184799999999996</v>
      </c>
      <c r="H519" s="17">
        <f>55.048 * CHOOSE(CONTROL!$C$9, $D$9, 100%, $F$9) + CHOOSE(CONTROL!$C$27, 0.0021, 0)</f>
        <v>55.0501</v>
      </c>
      <c r="I519" s="17">
        <f>55.048 * CHOOSE(CONTROL!$C$9, $D$9, 100%, $F$9) + CHOOSE(CONTROL!$C$27, 0.0021, 0)</f>
        <v>55.0501</v>
      </c>
      <c r="J519" s="17">
        <f>55.048 * CHOOSE(CONTROL!$C$9, $D$9, 100%, $F$9) + CHOOSE(CONTROL!$C$27, 0.0021, 0)</f>
        <v>55.0501</v>
      </c>
      <c r="K519" s="17">
        <f>55.048 * CHOOSE(CONTROL!$C$9, $D$9, 100%, $F$9) + CHOOSE(CONTROL!$C$27, 0.0021, 0)</f>
        <v>55.0501</v>
      </c>
      <c r="L519" s="17"/>
    </row>
    <row r="520" spans="1:12" ht="15.75" x14ac:dyDescent="0.25">
      <c r="A520" s="13">
        <v>56765</v>
      </c>
      <c r="B520" s="17">
        <f>56.5972 * CHOOSE(CONTROL!$C$9, $D$9, 100%, $F$9) + CHOOSE(CONTROL!$C$27, 0.0021, 0)</f>
        <v>56.599299999999999</v>
      </c>
      <c r="C520" s="17">
        <f>56.165 * CHOOSE(CONTROL!$C$9, $D$9, 100%, $F$9) + CHOOSE(CONTROL!$C$27, 0.0021, 0)</f>
        <v>56.167099999999998</v>
      </c>
      <c r="D520" s="17">
        <f>56.165 * CHOOSE(CONTROL!$C$9, $D$9, 100%, $F$9) + CHOOSE(CONTROL!$C$27, 0.0021, 0)</f>
        <v>56.167099999999998</v>
      </c>
      <c r="E520" s="17">
        <f>56.0283 * CHOOSE(CONTROL!$C$9, $D$9, 100%, $F$9) + CHOOSE(CONTROL!$C$27, 0.0021, 0)</f>
        <v>56.0304</v>
      </c>
      <c r="F520" s="17">
        <f>56.0283 * CHOOSE(CONTROL!$C$9, $D$9, 100%, $F$9) + CHOOSE(CONTROL!$C$27, 0.0021, 0)</f>
        <v>56.0304</v>
      </c>
      <c r="G520" s="17">
        <f>56.2997 * CHOOSE(CONTROL!$C$9, $D$9, 100%, $F$9) + CHOOSE(CONTROL!$C$27, 0.0021, 0)</f>
        <v>56.3018</v>
      </c>
      <c r="H520" s="17">
        <f>56.165 * CHOOSE(CONTROL!$C$9, $D$9, 100%, $F$9) + CHOOSE(CONTROL!$C$27, 0.0021, 0)</f>
        <v>56.167099999999998</v>
      </c>
      <c r="I520" s="17">
        <f>56.165 * CHOOSE(CONTROL!$C$9, $D$9, 100%, $F$9) + CHOOSE(CONTROL!$C$27, 0.0021, 0)</f>
        <v>56.167099999999998</v>
      </c>
      <c r="J520" s="17">
        <f>56.165 * CHOOSE(CONTROL!$C$9, $D$9, 100%, $F$9) + CHOOSE(CONTROL!$C$27, 0.0021, 0)</f>
        <v>56.167099999999998</v>
      </c>
      <c r="K520" s="17">
        <f>56.165 * CHOOSE(CONTROL!$C$9, $D$9, 100%, $F$9) + CHOOSE(CONTROL!$C$27, 0.0021, 0)</f>
        <v>56.167099999999998</v>
      </c>
      <c r="L520" s="17"/>
    </row>
    <row r="521" spans="1:12" ht="15.75" x14ac:dyDescent="0.25">
      <c r="A521" s="13">
        <v>56795</v>
      </c>
      <c r="B521" s="17">
        <f>57.2662 * CHOOSE(CONTROL!$C$9, $D$9, 100%, $F$9) + CHOOSE(CONTROL!$C$27, 0.0021, 0)</f>
        <v>57.268299999999996</v>
      </c>
      <c r="C521" s="17">
        <f>56.834 * CHOOSE(CONTROL!$C$9, $D$9, 100%, $F$9) + CHOOSE(CONTROL!$C$27, 0.0021, 0)</f>
        <v>56.836100000000002</v>
      </c>
      <c r="D521" s="17">
        <f>56.834 * CHOOSE(CONTROL!$C$9, $D$9, 100%, $F$9) + CHOOSE(CONTROL!$C$27, 0.0021, 0)</f>
        <v>56.836100000000002</v>
      </c>
      <c r="E521" s="17">
        <f>56.6973 * CHOOSE(CONTROL!$C$9, $D$9, 100%, $F$9) + CHOOSE(CONTROL!$C$27, 0.0021, 0)</f>
        <v>56.699399999999997</v>
      </c>
      <c r="F521" s="17">
        <f>56.6973 * CHOOSE(CONTROL!$C$9, $D$9, 100%, $F$9) + CHOOSE(CONTROL!$C$27, 0.0021, 0)</f>
        <v>56.699399999999997</v>
      </c>
      <c r="G521" s="17">
        <f>56.9687 * CHOOSE(CONTROL!$C$9, $D$9, 100%, $F$9) + CHOOSE(CONTROL!$C$27, 0.0021, 0)</f>
        <v>56.970799999999997</v>
      </c>
      <c r="H521" s="17">
        <f>56.834 * CHOOSE(CONTROL!$C$9, $D$9, 100%, $F$9) + CHOOSE(CONTROL!$C$27, 0.0021, 0)</f>
        <v>56.836100000000002</v>
      </c>
      <c r="I521" s="17">
        <f>56.834 * CHOOSE(CONTROL!$C$9, $D$9, 100%, $F$9) + CHOOSE(CONTROL!$C$27, 0.0021, 0)</f>
        <v>56.836100000000002</v>
      </c>
      <c r="J521" s="17">
        <f>56.834 * CHOOSE(CONTROL!$C$9, $D$9, 100%, $F$9) + CHOOSE(CONTROL!$C$27, 0.0021, 0)</f>
        <v>56.836100000000002</v>
      </c>
      <c r="K521" s="17">
        <f>56.834 * CHOOSE(CONTROL!$C$9, $D$9, 100%, $F$9) + CHOOSE(CONTROL!$C$27, 0.0021, 0)</f>
        <v>56.836100000000002</v>
      </c>
      <c r="L521" s="17"/>
    </row>
    <row r="522" spans="1:12" ht="15.75" x14ac:dyDescent="0.25">
      <c r="A522" s="13">
        <v>56826</v>
      </c>
      <c r="B522" s="17">
        <f>58.3699 * CHOOSE(CONTROL!$C$9, $D$9, 100%, $F$9) + CHOOSE(CONTROL!$C$27, 0.0021, 0)</f>
        <v>58.372</v>
      </c>
      <c r="C522" s="17">
        <f>57.9376 * CHOOSE(CONTROL!$C$9, $D$9, 100%, $F$9) + CHOOSE(CONTROL!$C$27, 0.0021, 0)</f>
        <v>57.939700000000002</v>
      </c>
      <c r="D522" s="17">
        <f>57.9376 * CHOOSE(CONTROL!$C$9, $D$9, 100%, $F$9) + CHOOSE(CONTROL!$C$27, 0.0021, 0)</f>
        <v>57.939700000000002</v>
      </c>
      <c r="E522" s="17">
        <f>57.8009 * CHOOSE(CONTROL!$C$9, $D$9, 100%, $F$9) + CHOOSE(CONTROL!$C$27, 0.0021, 0)</f>
        <v>57.802999999999997</v>
      </c>
      <c r="F522" s="17">
        <f>57.8009 * CHOOSE(CONTROL!$C$9, $D$9, 100%, $F$9) + CHOOSE(CONTROL!$C$27, 0.0021, 0)</f>
        <v>57.802999999999997</v>
      </c>
      <c r="G522" s="17">
        <f>58.0723 * CHOOSE(CONTROL!$C$9, $D$9, 100%, $F$9) + CHOOSE(CONTROL!$C$27, 0.0021, 0)</f>
        <v>58.074399999999997</v>
      </c>
      <c r="H522" s="17">
        <f>57.9376 * CHOOSE(CONTROL!$C$9, $D$9, 100%, $F$9) + CHOOSE(CONTROL!$C$27, 0.0021, 0)</f>
        <v>57.939700000000002</v>
      </c>
      <c r="I522" s="17">
        <f>57.9376 * CHOOSE(CONTROL!$C$9, $D$9, 100%, $F$9) + CHOOSE(CONTROL!$C$27, 0.0021, 0)</f>
        <v>57.939700000000002</v>
      </c>
      <c r="J522" s="17">
        <f>57.9376 * CHOOSE(CONTROL!$C$9, $D$9, 100%, $F$9) + CHOOSE(CONTROL!$C$27, 0.0021, 0)</f>
        <v>57.939700000000002</v>
      </c>
      <c r="K522" s="17">
        <f>57.9376 * CHOOSE(CONTROL!$C$9, $D$9, 100%, $F$9) + CHOOSE(CONTROL!$C$27, 0.0021, 0)</f>
        <v>57.939700000000002</v>
      </c>
      <c r="L522" s="17"/>
    </row>
    <row r="523" spans="1:12" ht="15.75" x14ac:dyDescent="0.25">
      <c r="A523" s="13">
        <v>56857</v>
      </c>
      <c r="B523" s="17">
        <f>58.7067 * CHOOSE(CONTROL!$C$9, $D$9, 100%, $F$9) + CHOOSE(CONTROL!$C$27, 0.0021, 0)</f>
        <v>58.708799999999997</v>
      </c>
      <c r="C523" s="17">
        <f>58.2745 * CHOOSE(CONTROL!$C$9, $D$9, 100%, $F$9) + CHOOSE(CONTROL!$C$27, 0.0021, 0)</f>
        <v>58.276600000000002</v>
      </c>
      <c r="D523" s="17">
        <f>58.2745 * CHOOSE(CONTROL!$C$9, $D$9, 100%, $F$9) + CHOOSE(CONTROL!$C$27, 0.0021, 0)</f>
        <v>58.276600000000002</v>
      </c>
      <c r="E523" s="17">
        <f>58.1378 * CHOOSE(CONTROL!$C$9, $D$9, 100%, $F$9) + CHOOSE(CONTROL!$C$27, 0.0021, 0)</f>
        <v>58.139899999999997</v>
      </c>
      <c r="F523" s="17">
        <f>58.1378 * CHOOSE(CONTROL!$C$9, $D$9, 100%, $F$9) + CHOOSE(CONTROL!$C$27, 0.0021, 0)</f>
        <v>58.139899999999997</v>
      </c>
      <c r="G523" s="17">
        <f>58.4092 * CHOOSE(CONTROL!$C$9, $D$9, 100%, $F$9) + CHOOSE(CONTROL!$C$27, 0.0021, 0)</f>
        <v>58.411299999999997</v>
      </c>
      <c r="H523" s="17">
        <f>58.2745 * CHOOSE(CONTROL!$C$9, $D$9, 100%, $F$9) + CHOOSE(CONTROL!$C$27, 0.0021, 0)</f>
        <v>58.276600000000002</v>
      </c>
      <c r="I523" s="17">
        <f>58.2745 * CHOOSE(CONTROL!$C$9, $D$9, 100%, $F$9) + CHOOSE(CONTROL!$C$27, 0.0021, 0)</f>
        <v>58.276600000000002</v>
      </c>
      <c r="J523" s="17">
        <f>58.2745 * CHOOSE(CONTROL!$C$9, $D$9, 100%, $F$9) + CHOOSE(CONTROL!$C$27, 0.0021, 0)</f>
        <v>58.276600000000002</v>
      </c>
      <c r="K523" s="17">
        <f>58.2745 * CHOOSE(CONTROL!$C$9, $D$9, 100%, $F$9) + CHOOSE(CONTROL!$C$27, 0.0021, 0)</f>
        <v>58.276600000000002</v>
      </c>
      <c r="L523" s="17"/>
    </row>
    <row r="524" spans="1:12" ht="15.75" x14ac:dyDescent="0.25">
      <c r="A524" s="13">
        <v>56887</v>
      </c>
      <c r="B524" s="17">
        <f>59.8539 * CHOOSE(CONTROL!$C$9, $D$9, 100%, $F$9) + CHOOSE(CONTROL!$C$27, 0.0021, 0)</f>
        <v>59.856000000000002</v>
      </c>
      <c r="C524" s="17">
        <f>59.4217 * CHOOSE(CONTROL!$C$9, $D$9, 100%, $F$9) + CHOOSE(CONTROL!$C$27, 0.0021, 0)</f>
        <v>59.4238</v>
      </c>
      <c r="D524" s="17">
        <f>59.4217 * CHOOSE(CONTROL!$C$9, $D$9, 100%, $F$9) + CHOOSE(CONTROL!$C$27, 0.0021, 0)</f>
        <v>59.4238</v>
      </c>
      <c r="E524" s="17">
        <f>59.285 * CHOOSE(CONTROL!$C$9, $D$9, 100%, $F$9) + CHOOSE(CONTROL!$C$27, 0.0021, 0)</f>
        <v>59.287099999999995</v>
      </c>
      <c r="F524" s="17">
        <f>59.285 * CHOOSE(CONTROL!$C$9, $D$9, 100%, $F$9) + CHOOSE(CONTROL!$C$27, 0.0021, 0)</f>
        <v>59.287099999999995</v>
      </c>
      <c r="G524" s="17">
        <f>59.5564 * CHOOSE(CONTROL!$C$9, $D$9, 100%, $F$9) + CHOOSE(CONTROL!$C$27, 0.0021, 0)</f>
        <v>59.558499999999995</v>
      </c>
      <c r="H524" s="17">
        <f>59.4217 * CHOOSE(CONTROL!$C$9, $D$9, 100%, $F$9) + CHOOSE(CONTROL!$C$27, 0.0021, 0)</f>
        <v>59.4238</v>
      </c>
      <c r="I524" s="17">
        <f>59.4217 * CHOOSE(CONTROL!$C$9, $D$9, 100%, $F$9) + CHOOSE(CONTROL!$C$27, 0.0021, 0)</f>
        <v>59.4238</v>
      </c>
      <c r="J524" s="17">
        <f>59.4217 * CHOOSE(CONTROL!$C$9, $D$9, 100%, $F$9) + CHOOSE(CONTROL!$C$27, 0.0021, 0)</f>
        <v>59.4238</v>
      </c>
      <c r="K524" s="17">
        <f>59.4217 * CHOOSE(CONTROL!$C$9, $D$9, 100%, $F$9) + CHOOSE(CONTROL!$C$27, 0.0021, 0)</f>
        <v>59.4238</v>
      </c>
      <c r="L524" s="17"/>
    </row>
    <row r="525" spans="1:12" ht="15.75" x14ac:dyDescent="0.25">
      <c r="A525" s="13">
        <v>56918</v>
      </c>
      <c r="B525" s="17">
        <f>61.306 * CHOOSE(CONTROL!$C$9, $D$9, 100%, $F$9) + CHOOSE(CONTROL!$C$27, 0.0021, 0)</f>
        <v>61.308099999999996</v>
      </c>
      <c r="C525" s="17">
        <f>60.8738 * CHOOSE(CONTROL!$C$9, $D$9, 100%, $F$9) + CHOOSE(CONTROL!$C$27, 0.0021, 0)</f>
        <v>60.875900000000001</v>
      </c>
      <c r="D525" s="17">
        <f>60.8738 * CHOOSE(CONTROL!$C$9, $D$9, 100%, $F$9) + CHOOSE(CONTROL!$C$27, 0.0021, 0)</f>
        <v>60.875900000000001</v>
      </c>
      <c r="E525" s="17">
        <f>60.7371 * CHOOSE(CONTROL!$C$9, $D$9, 100%, $F$9) + CHOOSE(CONTROL!$C$27, 0.0021, 0)</f>
        <v>60.739199999999997</v>
      </c>
      <c r="F525" s="17">
        <f>60.7371 * CHOOSE(CONTROL!$C$9, $D$9, 100%, $F$9) + CHOOSE(CONTROL!$C$27, 0.0021, 0)</f>
        <v>60.739199999999997</v>
      </c>
      <c r="G525" s="17">
        <f>61.0085 * CHOOSE(CONTROL!$C$9, $D$9, 100%, $F$9) + CHOOSE(CONTROL!$C$27, 0.0021, 0)</f>
        <v>61.010599999999997</v>
      </c>
      <c r="H525" s="17">
        <f>60.8738 * CHOOSE(CONTROL!$C$9, $D$9, 100%, $F$9) + CHOOSE(CONTROL!$C$27, 0.0021, 0)</f>
        <v>60.875900000000001</v>
      </c>
      <c r="I525" s="17">
        <f>60.8738 * CHOOSE(CONTROL!$C$9, $D$9, 100%, $F$9) + CHOOSE(CONTROL!$C$27, 0.0021, 0)</f>
        <v>60.875900000000001</v>
      </c>
      <c r="J525" s="17">
        <f>60.8738 * CHOOSE(CONTROL!$C$9, $D$9, 100%, $F$9) + CHOOSE(CONTROL!$C$27, 0.0021, 0)</f>
        <v>60.875900000000001</v>
      </c>
      <c r="K525" s="17">
        <f>60.8738 * CHOOSE(CONTROL!$C$9, $D$9, 100%, $F$9) + CHOOSE(CONTROL!$C$27, 0.0021, 0)</f>
        <v>60.875900000000001</v>
      </c>
      <c r="L525" s="17"/>
    </row>
    <row r="526" spans="1:12" ht="15.75" x14ac:dyDescent="0.25">
      <c r="A526" s="13">
        <v>56948</v>
      </c>
      <c r="B526" s="17">
        <f>61.4424 * CHOOSE(CONTROL!$C$9, $D$9, 100%, $F$9) + CHOOSE(CONTROL!$C$27, 0.0021, 0)</f>
        <v>61.444499999999998</v>
      </c>
      <c r="C526" s="17">
        <f>61.0101 * CHOOSE(CONTROL!$C$9, $D$9, 100%, $F$9) + CHOOSE(CONTROL!$C$27, 0.0021, 0)</f>
        <v>61.0122</v>
      </c>
      <c r="D526" s="17">
        <f>61.0101 * CHOOSE(CONTROL!$C$9, $D$9, 100%, $F$9) + CHOOSE(CONTROL!$C$27, 0.0021, 0)</f>
        <v>61.0122</v>
      </c>
      <c r="E526" s="17">
        <f>60.8735 * CHOOSE(CONTROL!$C$9, $D$9, 100%, $F$9) + CHOOSE(CONTROL!$C$27, 0.0021, 0)</f>
        <v>60.875599999999999</v>
      </c>
      <c r="F526" s="17">
        <f>60.8735 * CHOOSE(CONTROL!$C$9, $D$9, 100%, $F$9) + CHOOSE(CONTROL!$C$27, 0.0021, 0)</f>
        <v>60.875599999999999</v>
      </c>
      <c r="G526" s="17">
        <f>61.1448 * CHOOSE(CONTROL!$C$9, $D$9, 100%, $F$9) + CHOOSE(CONTROL!$C$27, 0.0021, 0)</f>
        <v>61.146899999999995</v>
      </c>
      <c r="H526" s="17">
        <f>61.0101 * CHOOSE(CONTROL!$C$9, $D$9, 100%, $F$9) + CHOOSE(CONTROL!$C$27, 0.0021, 0)</f>
        <v>61.0122</v>
      </c>
      <c r="I526" s="17">
        <f>61.0101 * CHOOSE(CONTROL!$C$9, $D$9, 100%, $F$9) + CHOOSE(CONTROL!$C$27, 0.0021, 0)</f>
        <v>61.0122</v>
      </c>
      <c r="J526" s="17">
        <f>61.0101 * CHOOSE(CONTROL!$C$9, $D$9, 100%, $F$9) + CHOOSE(CONTROL!$C$27, 0.0021, 0)</f>
        <v>61.0122</v>
      </c>
      <c r="K526" s="17">
        <f>61.0101 * CHOOSE(CONTROL!$C$9, $D$9, 100%, $F$9) + CHOOSE(CONTROL!$C$27, 0.0021, 0)</f>
        <v>61.0122</v>
      </c>
      <c r="L526" s="17"/>
    </row>
    <row r="527" spans="1:12" ht="15.75" x14ac:dyDescent="0.25">
      <c r="A527" s="13">
        <v>56979</v>
      </c>
      <c r="B527" s="17">
        <f>60.2826 * CHOOSE(CONTROL!$C$9, $D$9, 100%, $F$9) + CHOOSE(CONTROL!$C$27, 0.0021, 0)</f>
        <v>60.284700000000001</v>
      </c>
      <c r="C527" s="17">
        <f>59.8503 * CHOOSE(CONTROL!$C$9, $D$9, 100%, $F$9) + CHOOSE(CONTROL!$C$27, 0.0021, 0)</f>
        <v>59.852399999999996</v>
      </c>
      <c r="D527" s="17">
        <f>59.8503 * CHOOSE(CONTROL!$C$9, $D$9, 100%, $F$9) + CHOOSE(CONTROL!$C$27, 0.0021, 0)</f>
        <v>59.852399999999996</v>
      </c>
      <c r="E527" s="17">
        <f>59.7137 * CHOOSE(CONTROL!$C$9, $D$9, 100%, $F$9) + CHOOSE(CONTROL!$C$27, 0.0021, 0)</f>
        <v>59.715800000000002</v>
      </c>
      <c r="F527" s="17">
        <f>59.7137 * CHOOSE(CONTROL!$C$9, $D$9, 100%, $F$9) + CHOOSE(CONTROL!$C$27, 0.0021, 0)</f>
        <v>59.715800000000002</v>
      </c>
      <c r="G527" s="17">
        <f>59.985 * CHOOSE(CONTROL!$C$9, $D$9, 100%, $F$9) + CHOOSE(CONTROL!$C$27, 0.0021, 0)</f>
        <v>59.987099999999998</v>
      </c>
      <c r="H527" s="17">
        <f>59.8503 * CHOOSE(CONTROL!$C$9, $D$9, 100%, $F$9) + CHOOSE(CONTROL!$C$27, 0.0021, 0)</f>
        <v>59.852399999999996</v>
      </c>
      <c r="I527" s="17">
        <f>59.8503 * CHOOSE(CONTROL!$C$9, $D$9, 100%, $F$9) + CHOOSE(CONTROL!$C$27, 0.0021, 0)</f>
        <v>59.852399999999996</v>
      </c>
      <c r="J527" s="17">
        <f>59.8503 * CHOOSE(CONTROL!$C$9, $D$9, 100%, $F$9) + CHOOSE(CONTROL!$C$27, 0.0021, 0)</f>
        <v>59.852399999999996</v>
      </c>
      <c r="K527" s="17">
        <f>59.8503 * CHOOSE(CONTROL!$C$9, $D$9, 100%, $F$9) + CHOOSE(CONTROL!$C$27, 0.0021, 0)</f>
        <v>59.852399999999996</v>
      </c>
      <c r="L527" s="17"/>
    </row>
    <row r="528" spans="1:12" ht="15.75" x14ac:dyDescent="0.25">
      <c r="A528" s="13">
        <v>57010</v>
      </c>
      <c r="B528" s="17">
        <f>59.5495 * CHOOSE(CONTROL!$C$9, $D$9, 100%, $F$9) + CHOOSE(CONTROL!$C$27, 0.0021, 0)</f>
        <v>59.551600000000001</v>
      </c>
      <c r="C528" s="17">
        <f>59.1173 * CHOOSE(CONTROL!$C$9, $D$9, 100%, $F$9) + CHOOSE(CONTROL!$C$27, 0.0021, 0)</f>
        <v>59.119399999999999</v>
      </c>
      <c r="D528" s="17">
        <f>59.1173 * CHOOSE(CONTROL!$C$9, $D$9, 100%, $F$9) + CHOOSE(CONTROL!$C$27, 0.0021, 0)</f>
        <v>59.119399999999999</v>
      </c>
      <c r="E528" s="17">
        <f>58.9806 * CHOOSE(CONTROL!$C$9, $D$9, 100%, $F$9) + CHOOSE(CONTROL!$C$27, 0.0021, 0)</f>
        <v>58.982700000000001</v>
      </c>
      <c r="F528" s="17">
        <f>58.9806 * CHOOSE(CONTROL!$C$9, $D$9, 100%, $F$9) + CHOOSE(CONTROL!$C$27, 0.0021, 0)</f>
        <v>58.982700000000001</v>
      </c>
      <c r="G528" s="17">
        <f>59.252 * CHOOSE(CONTROL!$C$9, $D$9, 100%, $F$9) + CHOOSE(CONTROL!$C$27, 0.0021, 0)</f>
        <v>59.254100000000001</v>
      </c>
      <c r="H528" s="17">
        <f>59.1173 * CHOOSE(CONTROL!$C$9, $D$9, 100%, $F$9) + CHOOSE(CONTROL!$C$27, 0.0021, 0)</f>
        <v>59.119399999999999</v>
      </c>
      <c r="I528" s="17">
        <f>59.1173 * CHOOSE(CONTROL!$C$9, $D$9, 100%, $F$9) + CHOOSE(CONTROL!$C$27, 0.0021, 0)</f>
        <v>59.119399999999999</v>
      </c>
      <c r="J528" s="17">
        <f>59.1173 * CHOOSE(CONTROL!$C$9, $D$9, 100%, $F$9) + CHOOSE(CONTROL!$C$27, 0.0021, 0)</f>
        <v>59.119399999999999</v>
      </c>
      <c r="K528" s="17">
        <f>59.1173 * CHOOSE(CONTROL!$C$9, $D$9, 100%, $F$9) + CHOOSE(CONTROL!$C$27, 0.0021, 0)</f>
        <v>59.119399999999999</v>
      </c>
      <c r="L528" s="17"/>
    </row>
    <row r="529" spans="1:12" ht="15.75" x14ac:dyDescent="0.25">
      <c r="A529" s="13">
        <v>57038</v>
      </c>
      <c r="B529" s="17">
        <f>57.93 * CHOOSE(CONTROL!$C$9, $D$9, 100%, $F$9) + CHOOSE(CONTROL!$C$27, 0.0021, 0)</f>
        <v>57.932099999999998</v>
      </c>
      <c r="C529" s="17">
        <f>57.4977 * CHOOSE(CONTROL!$C$9, $D$9, 100%, $F$9) + CHOOSE(CONTROL!$C$27, 0.0021, 0)</f>
        <v>57.4998</v>
      </c>
      <c r="D529" s="17">
        <f>57.4977 * CHOOSE(CONTROL!$C$9, $D$9, 100%, $F$9) + CHOOSE(CONTROL!$C$27, 0.0021, 0)</f>
        <v>57.4998</v>
      </c>
      <c r="E529" s="17">
        <f>57.3611 * CHOOSE(CONTROL!$C$9, $D$9, 100%, $F$9) + CHOOSE(CONTROL!$C$27, 0.0021, 0)</f>
        <v>57.363199999999999</v>
      </c>
      <c r="F529" s="17">
        <f>57.3611 * CHOOSE(CONTROL!$C$9, $D$9, 100%, $F$9) + CHOOSE(CONTROL!$C$27, 0.0021, 0)</f>
        <v>57.363199999999999</v>
      </c>
      <c r="G529" s="17">
        <f>57.6325 * CHOOSE(CONTROL!$C$9, $D$9, 100%, $F$9) + CHOOSE(CONTROL!$C$27, 0.0021, 0)</f>
        <v>57.634599999999999</v>
      </c>
      <c r="H529" s="17">
        <f>57.4977 * CHOOSE(CONTROL!$C$9, $D$9, 100%, $F$9) + CHOOSE(CONTROL!$C$27, 0.0021, 0)</f>
        <v>57.4998</v>
      </c>
      <c r="I529" s="17">
        <f>57.4977 * CHOOSE(CONTROL!$C$9, $D$9, 100%, $F$9) + CHOOSE(CONTROL!$C$27, 0.0021, 0)</f>
        <v>57.4998</v>
      </c>
      <c r="J529" s="17">
        <f>57.4977 * CHOOSE(CONTROL!$C$9, $D$9, 100%, $F$9) + CHOOSE(CONTROL!$C$27, 0.0021, 0)</f>
        <v>57.4998</v>
      </c>
      <c r="K529" s="17">
        <f>57.4977 * CHOOSE(CONTROL!$C$9, $D$9, 100%, $F$9) + CHOOSE(CONTROL!$C$27, 0.0021, 0)</f>
        <v>57.4998</v>
      </c>
      <c r="L529" s="17"/>
    </row>
    <row r="530" spans="1:12" ht="15.75" x14ac:dyDescent="0.25">
      <c r="A530" s="13">
        <v>57070</v>
      </c>
      <c r="B530" s="17">
        <f>57.2614 * CHOOSE(CONTROL!$C$9, $D$9, 100%, $F$9) + CHOOSE(CONTROL!$C$27, 0.0021, 0)</f>
        <v>57.263500000000001</v>
      </c>
      <c r="C530" s="17">
        <f>56.8292 * CHOOSE(CONTROL!$C$9, $D$9, 100%, $F$9) + CHOOSE(CONTROL!$C$27, 0.0021, 0)</f>
        <v>56.831299999999999</v>
      </c>
      <c r="D530" s="17">
        <f>56.8292 * CHOOSE(CONTROL!$C$9, $D$9, 100%, $F$9) + CHOOSE(CONTROL!$C$27, 0.0021, 0)</f>
        <v>56.831299999999999</v>
      </c>
      <c r="E530" s="17">
        <f>56.6925 * CHOOSE(CONTROL!$C$9, $D$9, 100%, $F$9) + CHOOSE(CONTROL!$C$27, 0.0021, 0)</f>
        <v>56.694600000000001</v>
      </c>
      <c r="F530" s="17">
        <f>56.6925 * CHOOSE(CONTROL!$C$9, $D$9, 100%, $F$9) + CHOOSE(CONTROL!$C$27, 0.0021, 0)</f>
        <v>56.694600000000001</v>
      </c>
      <c r="G530" s="17">
        <f>56.9639 * CHOOSE(CONTROL!$C$9, $D$9, 100%, $F$9) + CHOOSE(CONTROL!$C$27, 0.0021, 0)</f>
        <v>56.966000000000001</v>
      </c>
      <c r="H530" s="17">
        <f>56.8292 * CHOOSE(CONTROL!$C$9, $D$9, 100%, $F$9) + CHOOSE(CONTROL!$C$27, 0.0021, 0)</f>
        <v>56.831299999999999</v>
      </c>
      <c r="I530" s="17">
        <f>56.8292 * CHOOSE(CONTROL!$C$9, $D$9, 100%, $F$9) + CHOOSE(CONTROL!$C$27, 0.0021, 0)</f>
        <v>56.831299999999999</v>
      </c>
      <c r="J530" s="17">
        <f>56.8292 * CHOOSE(CONTROL!$C$9, $D$9, 100%, $F$9) + CHOOSE(CONTROL!$C$27, 0.0021, 0)</f>
        <v>56.831299999999999</v>
      </c>
      <c r="K530" s="17">
        <f>56.8292 * CHOOSE(CONTROL!$C$9, $D$9, 100%, $F$9) + CHOOSE(CONTROL!$C$27, 0.0021, 0)</f>
        <v>56.831299999999999</v>
      </c>
      <c r="L530" s="17"/>
    </row>
    <row r="531" spans="1:12" ht="15.75" x14ac:dyDescent="0.25">
      <c r="A531" s="13">
        <v>57100</v>
      </c>
      <c r="B531" s="17">
        <f>56.4632 * CHOOSE(CONTROL!$C$9, $D$9, 100%, $F$9) + CHOOSE(CONTROL!$C$27, 0.0021, 0)</f>
        <v>56.465299999999999</v>
      </c>
      <c r="C531" s="17">
        <f>56.0309 * CHOOSE(CONTROL!$C$9, $D$9, 100%, $F$9) + CHOOSE(CONTROL!$C$27, 0.0021, 0)</f>
        <v>56.033000000000001</v>
      </c>
      <c r="D531" s="17">
        <f>56.0309 * CHOOSE(CONTROL!$C$9, $D$9, 100%, $F$9) + CHOOSE(CONTROL!$C$27, 0.0021, 0)</f>
        <v>56.033000000000001</v>
      </c>
      <c r="E531" s="17">
        <f>55.8943 * CHOOSE(CONTROL!$C$9, $D$9, 100%, $F$9) + CHOOSE(CONTROL!$C$27, 0.0021, 0)</f>
        <v>55.8964</v>
      </c>
      <c r="F531" s="17">
        <f>55.8943 * CHOOSE(CONTROL!$C$9, $D$9, 100%, $F$9) + CHOOSE(CONTROL!$C$27, 0.0021, 0)</f>
        <v>55.8964</v>
      </c>
      <c r="G531" s="17">
        <f>56.1657 * CHOOSE(CONTROL!$C$9, $D$9, 100%, $F$9) + CHOOSE(CONTROL!$C$27, 0.0021, 0)</f>
        <v>56.1678</v>
      </c>
      <c r="H531" s="17">
        <f>56.0309 * CHOOSE(CONTROL!$C$9, $D$9, 100%, $F$9) + CHOOSE(CONTROL!$C$27, 0.0021, 0)</f>
        <v>56.033000000000001</v>
      </c>
      <c r="I531" s="17">
        <f>56.0309 * CHOOSE(CONTROL!$C$9, $D$9, 100%, $F$9) + CHOOSE(CONTROL!$C$27, 0.0021, 0)</f>
        <v>56.033000000000001</v>
      </c>
      <c r="J531" s="17">
        <f>56.0309 * CHOOSE(CONTROL!$C$9, $D$9, 100%, $F$9) + CHOOSE(CONTROL!$C$27, 0.0021, 0)</f>
        <v>56.033000000000001</v>
      </c>
      <c r="K531" s="17">
        <f>56.0309 * CHOOSE(CONTROL!$C$9, $D$9, 100%, $F$9) + CHOOSE(CONTROL!$C$27, 0.0021, 0)</f>
        <v>56.033000000000001</v>
      </c>
      <c r="L531" s="17"/>
    </row>
    <row r="532" spans="1:12" ht="15.75" x14ac:dyDescent="0.25">
      <c r="A532" s="13">
        <v>57131</v>
      </c>
      <c r="B532" s="17">
        <f>57.6008 * CHOOSE(CONTROL!$C$9, $D$9, 100%, $F$9) + CHOOSE(CONTROL!$C$27, 0.0021, 0)</f>
        <v>57.602899999999998</v>
      </c>
      <c r="C532" s="17">
        <f>57.1685 * CHOOSE(CONTROL!$C$9, $D$9, 100%, $F$9) + CHOOSE(CONTROL!$C$27, 0.0021, 0)</f>
        <v>57.1706</v>
      </c>
      <c r="D532" s="17">
        <f>57.1685 * CHOOSE(CONTROL!$C$9, $D$9, 100%, $F$9) + CHOOSE(CONTROL!$C$27, 0.0021, 0)</f>
        <v>57.1706</v>
      </c>
      <c r="E532" s="17">
        <f>57.0319 * CHOOSE(CONTROL!$C$9, $D$9, 100%, $F$9) + CHOOSE(CONTROL!$C$27, 0.0021, 0)</f>
        <v>57.033999999999999</v>
      </c>
      <c r="F532" s="17">
        <f>57.0319 * CHOOSE(CONTROL!$C$9, $D$9, 100%, $F$9) + CHOOSE(CONTROL!$C$27, 0.0021, 0)</f>
        <v>57.033999999999999</v>
      </c>
      <c r="G532" s="17">
        <f>57.3033 * CHOOSE(CONTROL!$C$9, $D$9, 100%, $F$9) + CHOOSE(CONTROL!$C$27, 0.0021, 0)</f>
        <v>57.305399999999999</v>
      </c>
      <c r="H532" s="17">
        <f>57.1685 * CHOOSE(CONTROL!$C$9, $D$9, 100%, $F$9) + CHOOSE(CONTROL!$C$27, 0.0021, 0)</f>
        <v>57.1706</v>
      </c>
      <c r="I532" s="17">
        <f>57.1685 * CHOOSE(CONTROL!$C$9, $D$9, 100%, $F$9) + CHOOSE(CONTROL!$C$27, 0.0021, 0)</f>
        <v>57.1706</v>
      </c>
      <c r="J532" s="17">
        <f>57.1685 * CHOOSE(CONTROL!$C$9, $D$9, 100%, $F$9) + CHOOSE(CONTROL!$C$27, 0.0021, 0)</f>
        <v>57.1706</v>
      </c>
      <c r="K532" s="17">
        <f>57.1685 * CHOOSE(CONTROL!$C$9, $D$9, 100%, $F$9) + CHOOSE(CONTROL!$C$27, 0.0021, 0)</f>
        <v>57.1706</v>
      </c>
      <c r="L532" s="17"/>
    </row>
    <row r="533" spans="1:12" ht="15.75" x14ac:dyDescent="0.25">
      <c r="A533" s="13">
        <v>57161</v>
      </c>
      <c r="B533" s="17">
        <f>58.2822 * CHOOSE(CONTROL!$C$9, $D$9, 100%, $F$9) + CHOOSE(CONTROL!$C$27, 0.0021, 0)</f>
        <v>58.284300000000002</v>
      </c>
      <c r="C533" s="17">
        <f>57.8499 * CHOOSE(CONTROL!$C$9, $D$9, 100%, $F$9) + CHOOSE(CONTROL!$C$27, 0.0021, 0)</f>
        <v>57.851999999999997</v>
      </c>
      <c r="D533" s="17">
        <f>57.8499 * CHOOSE(CONTROL!$C$9, $D$9, 100%, $F$9) + CHOOSE(CONTROL!$C$27, 0.0021, 0)</f>
        <v>57.851999999999997</v>
      </c>
      <c r="E533" s="17">
        <f>57.7133 * CHOOSE(CONTROL!$C$9, $D$9, 100%, $F$9) + CHOOSE(CONTROL!$C$27, 0.0021, 0)</f>
        <v>57.715399999999995</v>
      </c>
      <c r="F533" s="17">
        <f>57.7133 * CHOOSE(CONTROL!$C$9, $D$9, 100%, $F$9) + CHOOSE(CONTROL!$C$27, 0.0021, 0)</f>
        <v>57.715399999999995</v>
      </c>
      <c r="G533" s="17">
        <f>57.9846 * CHOOSE(CONTROL!$C$9, $D$9, 100%, $F$9) + CHOOSE(CONTROL!$C$27, 0.0021, 0)</f>
        <v>57.986699999999999</v>
      </c>
      <c r="H533" s="17">
        <f>57.8499 * CHOOSE(CONTROL!$C$9, $D$9, 100%, $F$9) + CHOOSE(CONTROL!$C$27, 0.0021, 0)</f>
        <v>57.851999999999997</v>
      </c>
      <c r="I533" s="17">
        <f>57.8499 * CHOOSE(CONTROL!$C$9, $D$9, 100%, $F$9) + CHOOSE(CONTROL!$C$27, 0.0021, 0)</f>
        <v>57.851999999999997</v>
      </c>
      <c r="J533" s="17">
        <f>57.8499 * CHOOSE(CONTROL!$C$9, $D$9, 100%, $F$9) + CHOOSE(CONTROL!$C$27, 0.0021, 0)</f>
        <v>57.851999999999997</v>
      </c>
      <c r="K533" s="17">
        <f>57.8499 * CHOOSE(CONTROL!$C$9, $D$9, 100%, $F$9) + CHOOSE(CONTROL!$C$27, 0.0021, 0)</f>
        <v>57.851999999999997</v>
      </c>
      <c r="L533" s="17"/>
    </row>
    <row r="534" spans="1:12" ht="15.75" x14ac:dyDescent="0.25">
      <c r="A534" s="13">
        <v>57192</v>
      </c>
      <c r="B534" s="17">
        <f>59.4062 * CHOOSE(CONTROL!$C$9, $D$9, 100%, $F$9) + CHOOSE(CONTROL!$C$27, 0.0021, 0)</f>
        <v>59.408299999999997</v>
      </c>
      <c r="C534" s="17">
        <f>58.974 * CHOOSE(CONTROL!$C$9, $D$9, 100%, $F$9) + CHOOSE(CONTROL!$C$27, 0.0021, 0)</f>
        <v>58.976099999999995</v>
      </c>
      <c r="D534" s="17">
        <f>58.974 * CHOOSE(CONTROL!$C$9, $D$9, 100%, $F$9) + CHOOSE(CONTROL!$C$27, 0.0021, 0)</f>
        <v>58.976099999999995</v>
      </c>
      <c r="E534" s="17">
        <f>58.8373 * CHOOSE(CONTROL!$C$9, $D$9, 100%, $F$9) + CHOOSE(CONTROL!$C$27, 0.0021, 0)</f>
        <v>58.839399999999998</v>
      </c>
      <c r="F534" s="17">
        <f>58.8373 * CHOOSE(CONTROL!$C$9, $D$9, 100%, $F$9) + CHOOSE(CONTROL!$C$27, 0.0021, 0)</f>
        <v>58.839399999999998</v>
      </c>
      <c r="G534" s="17">
        <f>59.1087 * CHOOSE(CONTROL!$C$9, $D$9, 100%, $F$9) + CHOOSE(CONTROL!$C$27, 0.0021, 0)</f>
        <v>59.110799999999998</v>
      </c>
      <c r="H534" s="17">
        <f>58.974 * CHOOSE(CONTROL!$C$9, $D$9, 100%, $F$9) + CHOOSE(CONTROL!$C$27, 0.0021, 0)</f>
        <v>58.976099999999995</v>
      </c>
      <c r="I534" s="17">
        <f>58.974 * CHOOSE(CONTROL!$C$9, $D$9, 100%, $F$9) + CHOOSE(CONTROL!$C$27, 0.0021, 0)</f>
        <v>58.976099999999995</v>
      </c>
      <c r="J534" s="17">
        <f>58.974 * CHOOSE(CONTROL!$C$9, $D$9, 100%, $F$9) + CHOOSE(CONTROL!$C$27, 0.0021, 0)</f>
        <v>58.976099999999995</v>
      </c>
      <c r="K534" s="17">
        <f>58.974 * CHOOSE(CONTROL!$C$9, $D$9, 100%, $F$9) + CHOOSE(CONTROL!$C$27, 0.0021, 0)</f>
        <v>58.976099999999995</v>
      </c>
      <c r="L534" s="17"/>
    </row>
    <row r="535" spans="1:12" ht="15.75" x14ac:dyDescent="0.25">
      <c r="A535" s="13">
        <v>57223</v>
      </c>
      <c r="B535" s="17">
        <f>59.7493 * CHOOSE(CONTROL!$C$9, $D$9, 100%, $F$9) + CHOOSE(CONTROL!$C$27, 0.0021, 0)</f>
        <v>59.751399999999997</v>
      </c>
      <c r="C535" s="17">
        <f>59.3171 * CHOOSE(CONTROL!$C$9, $D$9, 100%, $F$9) + CHOOSE(CONTROL!$C$27, 0.0021, 0)</f>
        <v>59.319200000000002</v>
      </c>
      <c r="D535" s="17">
        <f>59.3171 * CHOOSE(CONTROL!$C$9, $D$9, 100%, $F$9) + CHOOSE(CONTROL!$C$27, 0.0021, 0)</f>
        <v>59.319200000000002</v>
      </c>
      <c r="E535" s="17">
        <f>59.1804 * CHOOSE(CONTROL!$C$9, $D$9, 100%, $F$9) + CHOOSE(CONTROL!$C$27, 0.0021, 0)</f>
        <v>59.182499999999997</v>
      </c>
      <c r="F535" s="17">
        <f>59.1804 * CHOOSE(CONTROL!$C$9, $D$9, 100%, $F$9) + CHOOSE(CONTROL!$C$27, 0.0021, 0)</f>
        <v>59.182499999999997</v>
      </c>
      <c r="G535" s="17">
        <f>59.4518 * CHOOSE(CONTROL!$C$9, $D$9, 100%, $F$9) + CHOOSE(CONTROL!$C$27, 0.0021, 0)</f>
        <v>59.453899999999997</v>
      </c>
      <c r="H535" s="17">
        <f>59.3171 * CHOOSE(CONTROL!$C$9, $D$9, 100%, $F$9) + CHOOSE(CONTROL!$C$27, 0.0021, 0)</f>
        <v>59.319200000000002</v>
      </c>
      <c r="I535" s="17">
        <f>59.3171 * CHOOSE(CONTROL!$C$9, $D$9, 100%, $F$9) + CHOOSE(CONTROL!$C$27, 0.0021, 0)</f>
        <v>59.319200000000002</v>
      </c>
      <c r="J535" s="17">
        <f>59.3171 * CHOOSE(CONTROL!$C$9, $D$9, 100%, $F$9) + CHOOSE(CONTROL!$C$27, 0.0021, 0)</f>
        <v>59.319200000000002</v>
      </c>
      <c r="K535" s="17">
        <f>59.3171 * CHOOSE(CONTROL!$C$9, $D$9, 100%, $F$9) + CHOOSE(CONTROL!$C$27, 0.0021, 0)</f>
        <v>59.319200000000002</v>
      </c>
      <c r="L535" s="17"/>
    </row>
    <row r="536" spans="1:12" ht="15.75" x14ac:dyDescent="0.25">
      <c r="A536" s="13">
        <v>57253</v>
      </c>
      <c r="B536" s="17">
        <f>60.9177 * CHOOSE(CONTROL!$C$9, $D$9, 100%, $F$9) + CHOOSE(CONTROL!$C$27, 0.0021, 0)</f>
        <v>60.919800000000002</v>
      </c>
      <c r="C536" s="17">
        <f>60.4854 * CHOOSE(CONTROL!$C$9, $D$9, 100%, $F$9) + CHOOSE(CONTROL!$C$27, 0.0021, 0)</f>
        <v>60.487499999999997</v>
      </c>
      <c r="D536" s="17">
        <f>60.4854 * CHOOSE(CONTROL!$C$9, $D$9, 100%, $F$9) + CHOOSE(CONTROL!$C$27, 0.0021, 0)</f>
        <v>60.487499999999997</v>
      </c>
      <c r="E536" s="17">
        <f>60.3488 * CHOOSE(CONTROL!$C$9, $D$9, 100%, $F$9) + CHOOSE(CONTROL!$C$27, 0.0021, 0)</f>
        <v>60.350899999999996</v>
      </c>
      <c r="F536" s="17">
        <f>60.3488 * CHOOSE(CONTROL!$C$9, $D$9, 100%, $F$9) + CHOOSE(CONTROL!$C$27, 0.0021, 0)</f>
        <v>60.350899999999996</v>
      </c>
      <c r="G536" s="17">
        <f>60.6202 * CHOOSE(CONTROL!$C$9, $D$9, 100%, $F$9) + CHOOSE(CONTROL!$C$27, 0.0021, 0)</f>
        <v>60.622299999999996</v>
      </c>
      <c r="H536" s="17">
        <f>60.4854 * CHOOSE(CONTROL!$C$9, $D$9, 100%, $F$9) + CHOOSE(CONTROL!$C$27, 0.0021, 0)</f>
        <v>60.487499999999997</v>
      </c>
      <c r="I536" s="17">
        <f>60.4854 * CHOOSE(CONTROL!$C$9, $D$9, 100%, $F$9) + CHOOSE(CONTROL!$C$27, 0.0021, 0)</f>
        <v>60.487499999999997</v>
      </c>
      <c r="J536" s="17">
        <f>60.4854 * CHOOSE(CONTROL!$C$9, $D$9, 100%, $F$9) + CHOOSE(CONTROL!$C$27, 0.0021, 0)</f>
        <v>60.487499999999997</v>
      </c>
      <c r="K536" s="17">
        <f>60.4854 * CHOOSE(CONTROL!$C$9, $D$9, 100%, $F$9) + CHOOSE(CONTROL!$C$27, 0.0021, 0)</f>
        <v>60.487499999999997</v>
      </c>
      <c r="L536" s="17"/>
    </row>
    <row r="537" spans="1:12" ht="15.75" x14ac:dyDescent="0.25">
      <c r="A537" s="13">
        <v>57284</v>
      </c>
      <c r="B537" s="17">
        <f>62.3967 * CHOOSE(CONTROL!$C$9, $D$9, 100%, $F$9) + CHOOSE(CONTROL!$C$27, 0.0021, 0)</f>
        <v>62.398800000000001</v>
      </c>
      <c r="C537" s="17">
        <f>61.9644 * CHOOSE(CONTROL!$C$9, $D$9, 100%, $F$9) + CHOOSE(CONTROL!$C$27, 0.0021, 0)</f>
        <v>61.966499999999996</v>
      </c>
      <c r="D537" s="17">
        <f>61.9644 * CHOOSE(CONTROL!$C$9, $D$9, 100%, $F$9) + CHOOSE(CONTROL!$C$27, 0.0021, 0)</f>
        <v>61.966499999999996</v>
      </c>
      <c r="E537" s="17">
        <f>61.8278 * CHOOSE(CONTROL!$C$9, $D$9, 100%, $F$9) + CHOOSE(CONTROL!$C$27, 0.0021, 0)</f>
        <v>61.829900000000002</v>
      </c>
      <c r="F537" s="17">
        <f>61.8278 * CHOOSE(CONTROL!$C$9, $D$9, 100%, $F$9) + CHOOSE(CONTROL!$C$27, 0.0021, 0)</f>
        <v>61.829900000000002</v>
      </c>
      <c r="G537" s="17">
        <f>62.0991 * CHOOSE(CONTROL!$C$9, $D$9, 100%, $F$9) + CHOOSE(CONTROL!$C$27, 0.0021, 0)</f>
        <v>62.101199999999999</v>
      </c>
      <c r="H537" s="17">
        <f>61.9644 * CHOOSE(CONTROL!$C$9, $D$9, 100%, $F$9) + CHOOSE(CONTROL!$C$27, 0.0021, 0)</f>
        <v>61.966499999999996</v>
      </c>
      <c r="I537" s="17">
        <f>61.9644 * CHOOSE(CONTROL!$C$9, $D$9, 100%, $F$9) + CHOOSE(CONTROL!$C$27, 0.0021, 0)</f>
        <v>61.966499999999996</v>
      </c>
      <c r="J537" s="17">
        <f>61.9644 * CHOOSE(CONTROL!$C$9, $D$9, 100%, $F$9) + CHOOSE(CONTROL!$C$27, 0.0021, 0)</f>
        <v>61.966499999999996</v>
      </c>
      <c r="K537" s="17">
        <f>61.9644 * CHOOSE(CONTROL!$C$9, $D$9, 100%, $F$9) + CHOOSE(CONTROL!$C$27, 0.0021, 0)</f>
        <v>61.966499999999996</v>
      </c>
      <c r="L537" s="17"/>
    </row>
    <row r="538" spans="1:12" ht="15.75" x14ac:dyDescent="0.25">
      <c r="A538" s="13">
        <v>57314</v>
      </c>
      <c r="B538" s="17">
        <f>62.5355 * CHOOSE(CONTROL!$C$9, $D$9, 100%, $F$9) + CHOOSE(CONTROL!$C$27, 0.0021, 0)</f>
        <v>62.537599999999998</v>
      </c>
      <c r="C538" s="17">
        <f>62.1033 * CHOOSE(CONTROL!$C$9, $D$9, 100%, $F$9) + CHOOSE(CONTROL!$C$27, 0.0021, 0)</f>
        <v>62.105399999999996</v>
      </c>
      <c r="D538" s="17">
        <f>62.1033 * CHOOSE(CONTROL!$C$9, $D$9, 100%, $F$9) + CHOOSE(CONTROL!$C$27, 0.0021, 0)</f>
        <v>62.105399999999996</v>
      </c>
      <c r="E538" s="17">
        <f>61.9666 * CHOOSE(CONTROL!$C$9, $D$9, 100%, $F$9) + CHOOSE(CONTROL!$C$27, 0.0021, 0)</f>
        <v>61.968699999999998</v>
      </c>
      <c r="F538" s="17">
        <f>61.9666 * CHOOSE(CONTROL!$C$9, $D$9, 100%, $F$9) + CHOOSE(CONTROL!$C$27, 0.0021, 0)</f>
        <v>61.968699999999998</v>
      </c>
      <c r="G538" s="17">
        <f>62.238 * CHOOSE(CONTROL!$C$9, $D$9, 100%, $F$9) + CHOOSE(CONTROL!$C$27, 0.0021, 0)</f>
        <v>62.240099999999998</v>
      </c>
      <c r="H538" s="17">
        <f>62.1033 * CHOOSE(CONTROL!$C$9, $D$9, 100%, $F$9) + CHOOSE(CONTROL!$C$27, 0.0021, 0)</f>
        <v>62.105399999999996</v>
      </c>
      <c r="I538" s="17">
        <f>62.1033 * CHOOSE(CONTROL!$C$9, $D$9, 100%, $F$9) + CHOOSE(CONTROL!$C$27, 0.0021, 0)</f>
        <v>62.105399999999996</v>
      </c>
      <c r="J538" s="17">
        <f>62.1033 * CHOOSE(CONTROL!$C$9, $D$9, 100%, $F$9) + CHOOSE(CONTROL!$C$27, 0.0021, 0)</f>
        <v>62.105399999999996</v>
      </c>
      <c r="K538" s="17">
        <f>62.1033 * CHOOSE(CONTROL!$C$9, $D$9, 100%, $F$9) + CHOOSE(CONTROL!$C$27, 0.0021, 0)</f>
        <v>62.105399999999996</v>
      </c>
      <c r="L538" s="17"/>
    </row>
    <row r="539" spans="1:12" ht="15.75" x14ac:dyDescent="0.25">
      <c r="A539" s="13">
        <v>57345</v>
      </c>
      <c r="B539" s="17">
        <f>61.3543 * CHOOSE(CONTROL!$C$9, $D$9, 100%, $F$9) + CHOOSE(CONTROL!$C$27, 0.0021, 0)</f>
        <v>61.356400000000001</v>
      </c>
      <c r="C539" s="17">
        <f>60.922 * CHOOSE(CONTROL!$C$9, $D$9, 100%, $F$9) + CHOOSE(CONTROL!$C$27, 0.0021, 0)</f>
        <v>60.924099999999996</v>
      </c>
      <c r="D539" s="17">
        <f>60.922 * CHOOSE(CONTROL!$C$9, $D$9, 100%, $F$9) + CHOOSE(CONTROL!$C$27, 0.0021, 0)</f>
        <v>60.924099999999996</v>
      </c>
      <c r="E539" s="17">
        <f>60.7854 * CHOOSE(CONTROL!$C$9, $D$9, 100%, $F$9) + CHOOSE(CONTROL!$C$27, 0.0021, 0)</f>
        <v>60.787500000000001</v>
      </c>
      <c r="F539" s="17">
        <f>60.7854 * CHOOSE(CONTROL!$C$9, $D$9, 100%, $F$9) + CHOOSE(CONTROL!$C$27, 0.0021, 0)</f>
        <v>60.787500000000001</v>
      </c>
      <c r="G539" s="17">
        <f>61.0567 * CHOOSE(CONTROL!$C$9, $D$9, 100%, $F$9) + CHOOSE(CONTROL!$C$27, 0.0021, 0)</f>
        <v>61.058799999999998</v>
      </c>
      <c r="H539" s="17">
        <f>60.922 * CHOOSE(CONTROL!$C$9, $D$9, 100%, $F$9) + CHOOSE(CONTROL!$C$27, 0.0021, 0)</f>
        <v>60.924099999999996</v>
      </c>
      <c r="I539" s="17">
        <f>60.922 * CHOOSE(CONTROL!$C$9, $D$9, 100%, $F$9) + CHOOSE(CONTROL!$C$27, 0.0021, 0)</f>
        <v>60.924099999999996</v>
      </c>
      <c r="J539" s="17">
        <f>60.922 * CHOOSE(CONTROL!$C$9, $D$9, 100%, $F$9) + CHOOSE(CONTROL!$C$27, 0.0021, 0)</f>
        <v>60.924099999999996</v>
      </c>
      <c r="K539" s="17">
        <f>60.922 * CHOOSE(CONTROL!$C$9, $D$9, 100%, $F$9) + CHOOSE(CONTROL!$C$27, 0.0021, 0)</f>
        <v>60.924099999999996</v>
      </c>
      <c r="L539" s="17"/>
    </row>
    <row r="540" spans="1:12" ht="15.75" x14ac:dyDescent="0.25">
      <c r="A540" s="13">
        <v>57376</v>
      </c>
      <c r="B540" s="17">
        <f>60.6077 * CHOOSE(CONTROL!$C$9, $D$9, 100%, $F$9) + CHOOSE(CONTROL!$C$27, 0.0021, 0)</f>
        <v>60.6098</v>
      </c>
      <c r="C540" s="17">
        <f>60.1754 * CHOOSE(CONTROL!$C$9, $D$9, 100%, $F$9) + CHOOSE(CONTROL!$C$27, 0.0021, 0)</f>
        <v>60.177500000000002</v>
      </c>
      <c r="D540" s="17">
        <f>60.1754 * CHOOSE(CONTROL!$C$9, $D$9, 100%, $F$9) + CHOOSE(CONTROL!$C$27, 0.0021, 0)</f>
        <v>60.177500000000002</v>
      </c>
      <c r="E540" s="17">
        <f>60.0388 * CHOOSE(CONTROL!$C$9, $D$9, 100%, $F$9) + CHOOSE(CONTROL!$C$27, 0.0021, 0)</f>
        <v>60.040900000000001</v>
      </c>
      <c r="F540" s="17">
        <f>60.0388 * CHOOSE(CONTROL!$C$9, $D$9, 100%, $F$9) + CHOOSE(CONTROL!$C$27, 0.0021, 0)</f>
        <v>60.040900000000001</v>
      </c>
      <c r="G540" s="17">
        <f>60.3102 * CHOOSE(CONTROL!$C$9, $D$9, 100%, $F$9) + CHOOSE(CONTROL!$C$27, 0.0021, 0)</f>
        <v>60.3123</v>
      </c>
      <c r="H540" s="17">
        <f>60.1754 * CHOOSE(CONTROL!$C$9, $D$9, 100%, $F$9) + CHOOSE(CONTROL!$C$27, 0.0021, 0)</f>
        <v>60.177500000000002</v>
      </c>
      <c r="I540" s="17">
        <f>60.1754 * CHOOSE(CONTROL!$C$9, $D$9, 100%, $F$9) + CHOOSE(CONTROL!$C$27, 0.0021, 0)</f>
        <v>60.177500000000002</v>
      </c>
      <c r="J540" s="17">
        <f>60.1754 * CHOOSE(CONTROL!$C$9, $D$9, 100%, $F$9) + CHOOSE(CONTROL!$C$27, 0.0021, 0)</f>
        <v>60.177500000000002</v>
      </c>
      <c r="K540" s="17">
        <f>60.1754 * CHOOSE(CONTROL!$C$9, $D$9, 100%, $F$9) + CHOOSE(CONTROL!$C$27, 0.0021, 0)</f>
        <v>60.177500000000002</v>
      </c>
      <c r="L540" s="17"/>
    </row>
    <row r="541" spans="1:12" ht="15.75" x14ac:dyDescent="0.25">
      <c r="A541" s="13">
        <v>57404</v>
      </c>
      <c r="B541" s="17">
        <f>58.9582 * CHOOSE(CONTROL!$C$9, $D$9, 100%, $F$9) + CHOOSE(CONTROL!$C$27, 0.0021, 0)</f>
        <v>58.960299999999997</v>
      </c>
      <c r="C541" s="17">
        <f>58.526 * CHOOSE(CONTROL!$C$9, $D$9, 100%, $F$9) + CHOOSE(CONTROL!$C$27, 0.0021, 0)</f>
        <v>58.528100000000002</v>
      </c>
      <c r="D541" s="17">
        <f>58.526 * CHOOSE(CONTROL!$C$9, $D$9, 100%, $F$9) + CHOOSE(CONTROL!$C$27, 0.0021, 0)</f>
        <v>58.528100000000002</v>
      </c>
      <c r="E541" s="17">
        <f>58.3893 * CHOOSE(CONTROL!$C$9, $D$9, 100%, $F$9) + CHOOSE(CONTROL!$C$27, 0.0021, 0)</f>
        <v>58.391399999999997</v>
      </c>
      <c r="F541" s="17">
        <f>58.3893 * CHOOSE(CONTROL!$C$9, $D$9, 100%, $F$9) + CHOOSE(CONTROL!$C$27, 0.0021, 0)</f>
        <v>58.391399999999997</v>
      </c>
      <c r="G541" s="17">
        <f>58.6607 * CHOOSE(CONTROL!$C$9, $D$9, 100%, $F$9) + CHOOSE(CONTROL!$C$27, 0.0021, 0)</f>
        <v>58.662799999999997</v>
      </c>
      <c r="H541" s="17">
        <f>58.526 * CHOOSE(CONTROL!$C$9, $D$9, 100%, $F$9) + CHOOSE(CONTROL!$C$27, 0.0021, 0)</f>
        <v>58.528100000000002</v>
      </c>
      <c r="I541" s="17">
        <f>58.526 * CHOOSE(CONTROL!$C$9, $D$9, 100%, $F$9) + CHOOSE(CONTROL!$C$27, 0.0021, 0)</f>
        <v>58.528100000000002</v>
      </c>
      <c r="J541" s="17">
        <f>58.526 * CHOOSE(CONTROL!$C$9, $D$9, 100%, $F$9) + CHOOSE(CONTROL!$C$27, 0.0021, 0)</f>
        <v>58.528100000000002</v>
      </c>
      <c r="K541" s="17">
        <f>58.526 * CHOOSE(CONTROL!$C$9, $D$9, 100%, $F$9) + CHOOSE(CONTROL!$C$27, 0.0021, 0)</f>
        <v>58.528100000000002</v>
      </c>
      <c r="L541" s="17"/>
    </row>
    <row r="542" spans="1:12" ht="15.75" x14ac:dyDescent="0.25">
      <c r="A542" s="13">
        <v>57435</v>
      </c>
      <c r="B542" s="17">
        <f>58.2773 * CHOOSE(CONTROL!$C$9, $D$9, 100%, $F$9) + CHOOSE(CONTROL!$C$27, 0.0021, 0)</f>
        <v>58.279399999999995</v>
      </c>
      <c r="C542" s="17">
        <f>57.8451 * CHOOSE(CONTROL!$C$9, $D$9, 100%, $F$9) + CHOOSE(CONTROL!$C$27, 0.0021, 0)</f>
        <v>57.847200000000001</v>
      </c>
      <c r="D542" s="17">
        <f>57.8451 * CHOOSE(CONTROL!$C$9, $D$9, 100%, $F$9) + CHOOSE(CONTROL!$C$27, 0.0021, 0)</f>
        <v>57.847200000000001</v>
      </c>
      <c r="E542" s="17">
        <f>57.7084 * CHOOSE(CONTROL!$C$9, $D$9, 100%, $F$9) + CHOOSE(CONTROL!$C$27, 0.0021, 0)</f>
        <v>57.710499999999996</v>
      </c>
      <c r="F542" s="17">
        <f>57.7084 * CHOOSE(CONTROL!$C$9, $D$9, 100%, $F$9) + CHOOSE(CONTROL!$C$27, 0.0021, 0)</f>
        <v>57.710499999999996</v>
      </c>
      <c r="G542" s="17">
        <f>57.9798 * CHOOSE(CONTROL!$C$9, $D$9, 100%, $F$9) + CHOOSE(CONTROL!$C$27, 0.0021, 0)</f>
        <v>57.981899999999996</v>
      </c>
      <c r="H542" s="17">
        <f>57.8451 * CHOOSE(CONTROL!$C$9, $D$9, 100%, $F$9) + CHOOSE(CONTROL!$C$27, 0.0021, 0)</f>
        <v>57.847200000000001</v>
      </c>
      <c r="I542" s="17">
        <f>57.8451 * CHOOSE(CONTROL!$C$9, $D$9, 100%, $F$9) + CHOOSE(CONTROL!$C$27, 0.0021, 0)</f>
        <v>57.847200000000001</v>
      </c>
      <c r="J542" s="17">
        <f>57.8451 * CHOOSE(CONTROL!$C$9, $D$9, 100%, $F$9) + CHOOSE(CONTROL!$C$27, 0.0021, 0)</f>
        <v>57.847200000000001</v>
      </c>
      <c r="K542" s="17">
        <f>57.8451 * CHOOSE(CONTROL!$C$9, $D$9, 100%, $F$9) + CHOOSE(CONTROL!$C$27, 0.0021, 0)</f>
        <v>57.847200000000001</v>
      </c>
      <c r="L542" s="17"/>
    </row>
    <row r="543" spans="1:12" ht="15.75" x14ac:dyDescent="0.25">
      <c r="A543" s="13">
        <v>57465</v>
      </c>
      <c r="B543" s="17">
        <f>57.4643 * CHOOSE(CONTROL!$C$9, $D$9, 100%, $F$9) + CHOOSE(CONTROL!$C$27, 0.0021, 0)</f>
        <v>57.4664</v>
      </c>
      <c r="C543" s="17">
        <f>57.0321 * CHOOSE(CONTROL!$C$9, $D$9, 100%, $F$9) + CHOOSE(CONTROL!$C$27, 0.0021, 0)</f>
        <v>57.034199999999998</v>
      </c>
      <c r="D543" s="17">
        <f>57.0321 * CHOOSE(CONTROL!$C$9, $D$9, 100%, $F$9) + CHOOSE(CONTROL!$C$27, 0.0021, 0)</f>
        <v>57.034199999999998</v>
      </c>
      <c r="E543" s="17">
        <f>56.8954 * CHOOSE(CONTROL!$C$9, $D$9, 100%, $F$9) + CHOOSE(CONTROL!$C$27, 0.0021, 0)</f>
        <v>56.897500000000001</v>
      </c>
      <c r="F543" s="17">
        <f>56.8954 * CHOOSE(CONTROL!$C$9, $D$9, 100%, $F$9) + CHOOSE(CONTROL!$C$27, 0.0021, 0)</f>
        <v>56.897500000000001</v>
      </c>
      <c r="G543" s="17">
        <f>57.1668 * CHOOSE(CONTROL!$C$9, $D$9, 100%, $F$9) + CHOOSE(CONTROL!$C$27, 0.0021, 0)</f>
        <v>57.168900000000001</v>
      </c>
      <c r="H543" s="17">
        <f>57.0321 * CHOOSE(CONTROL!$C$9, $D$9, 100%, $F$9) + CHOOSE(CONTROL!$C$27, 0.0021, 0)</f>
        <v>57.034199999999998</v>
      </c>
      <c r="I543" s="17">
        <f>57.0321 * CHOOSE(CONTROL!$C$9, $D$9, 100%, $F$9) + CHOOSE(CONTROL!$C$27, 0.0021, 0)</f>
        <v>57.034199999999998</v>
      </c>
      <c r="J543" s="17">
        <f>57.0321 * CHOOSE(CONTROL!$C$9, $D$9, 100%, $F$9) + CHOOSE(CONTROL!$C$27, 0.0021, 0)</f>
        <v>57.034199999999998</v>
      </c>
      <c r="K543" s="17">
        <f>57.0321 * CHOOSE(CONTROL!$C$9, $D$9, 100%, $F$9) + CHOOSE(CONTROL!$C$27, 0.0021, 0)</f>
        <v>57.034199999999998</v>
      </c>
      <c r="L543" s="17"/>
    </row>
    <row r="544" spans="1:12" ht="15.75" x14ac:dyDescent="0.25">
      <c r="A544" s="13">
        <v>57496</v>
      </c>
      <c r="B544" s="17">
        <f>58.6229 * CHOOSE(CONTROL!$C$9, $D$9, 100%, $F$9) + CHOOSE(CONTROL!$C$27, 0.0021, 0)</f>
        <v>58.625</v>
      </c>
      <c r="C544" s="17">
        <f>58.1907 * CHOOSE(CONTROL!$C$9, $D$9, 100%, $F$9) + CHOOSE(CONTROL!$C$27, 0.0021, 0)</f>
        <v>58.192799999999998</v>
      </c>
      <c r="D544" s="17">
        <f>58.1907 * CHOOSE(CONTROL!$C$9, $D$9, 100%, $F$9) + CHOOSE(CONTROL!$C$27, 0.0021, 0)</f>
        <v>58.192799999999998</v>
      </c>
      <c r="E544" s="17">
        <f>58.054 * CHOOSE(CONTROL!$C$9, $D$9, 100%, $F$9) + CHOOSE(CONTROL!$C$27, 0.0021, 0)</f>
        <v>58.056100000000001</v>
      </c>
      <c r="F544" s="17">
        <f>58.054 * CHOOSE(CONTROL!$C$9, $D$9, 100%, $F$9) + CHOOSE(CONTROL!$C$27, 0.0021, 0)</f>
        <v>58.056100000000001</v>
      </c>
      <c r="G544" s="17">
        <f>58.3254 * CHOOSE(CONTROL!$C$9, $D$9, 100%, $F$9) + CHOOSE(CONTROL!$C$27, 0.0021, 0)</f>
        <v>58.327500000000001</v>
      </c>
      <c r="H544" s="17">
        <f>58.1907 * CHOOSE(CONTROL!$C$9, $D$9, 100%, $F$9) + CHOOSE(CONTROL!$C$27, 0.0021, 0)</f>
        <v>58.192799999999998</v>
      </c>
      <c r="I544" s="17">
        <f>58.1907 * CHOOSE(CONTROL!$C$9, $D$9, 100%, $F$9) + CHOOSE(CONTROL!$C$27, 0.0021, 0)</f>
        <v>58.192799999999998</v>
      </c>
      <c r="J544" s="17">
        <f>58.1907 * CHOOSE(CONTROL!$C$9, $D$9, 100%, $F$9) + CHOOSE(CONTROL!$C$27, 0.0021, 0)</f>
        <v>58.192799999999998</v>
      </c>
      <c r="K544" s="17">
        <f>58.1907 * CHOOSE(CONTROL!$C$9, $D$9, 100%, $F$9) + CHOOSE(CONTROL!$C$27, 0.0021, 0)</f>
        <v>58.192799999999998</v>
      </c>
      <c r="L544" s="17"/>
    </row>
    <row r="545" spans="1:12" ht="15.75" x14ac:dyDescent="0.25">
      <c r="A545" s="13">
        <v>57526</v>
      </c>
      <c r="B545" s="17">
        <f>59.3169 * CHOOSE(CONTROL!$C$9, $D$9, 100%, $F$9) + CHOOSE(CONTROL!$C$27, 0.0021, 0)</f>
        <v>59.318999999999996</v>
      </c>
      <c r="C545" s="17">
        <f>58.8847 * CHOOSE(CONTROL!$C$9, $D$9, 100%, $F$9) + CHOOSE(CONTROL!$C$27, 0.0021, 0)</f>
        <v>58.886800000000001</v>
      </c>
      <c r="D545" s="17">
        <f>58.8847 * CHOOSE(CONTROL!$C$9, $D$9, 100%, $F$9) + CHOOSE(CONTROL!$C$27, 0.0021, 0)</f>
        <v>58.886800000000001</v>
      </c>
      <c r="E545" s="17">
        <f>58.748 * CHOOSE(CONTROL!$C$9, $D$9, 100%, $F$9) + CHOOSE(CONTROL!$C$27, 0.0021, 0)</f>
        <v>58.750099999999996</v>
      </c>
      <c r="F545" s="17">
        <f>58.748 * CHOOSE(CONTROL!$C$9, $D$9, 100%, $F$9) + CHOOSE(CONTROL!$C$27, 0.0021, 0)</f>
        <v>58.750099999999996</v>
      </c>
      <c r="G545" s="17">
        <f>59.0194 * CHOOSE(CONTROL!$C$9, $D$9, 100%, $F$9) + CHOOSE(CONTROL!$C$27, 0.0021, 0)</f>
        <v>59.021499999999996</v>
      </c>
      <c r="H545" s="17">
        <f>58.8847 * CHOOSE(CONTROL!$C$9, $D$9, 100%, $F$9) + CHOOSE(CONTROL!$C$27, 0.0021, 0)</f>
        <v>58.886800000000001</v>
      </c>
      <c r="I545" s="17">
        <f>58.8847 * CHOOSE(CONTROL!$C$9, $D$9, 100%, $F$9) + CHOOSE(CONTROL!$C$27, 0.0021, 0)</f>
        <v>58.886800000000001</v>
      </c>
      <c r="J545" s="17">
        <f>58.8847 * CHOOSE(CONTROL!$C$9, $D$9, 100%, $F$9) + CHOOSE(CONTROL!$C$27, 0.0021, 0)</f>
        <v>58.886800000000001</v>
      </c>
      <c r="K545" s="17">
        <f>58.8847 * CHOOSE(CONTROL!$C$9, $D$9, 100%, $F$9) + CHOOSE(CONTROL!$C$27, 0.0021, 0)</f>
        <v>58.886800000000001</v>
      </c>
      <c r="L545" s="17"/>
    </row>
    <row r="546" spans="1:12" ht="15.75" x14ac:dyDescent="0.25">
      <c r="A546" s="13">
        <v>57557</v>
      </c>
      <c r="B546" s="17">
        <f>60.4617 * CHOOSE(CONTROL!$C$9, $D$9, 100%, $F$9) + CHOOSE(CONTROL!$C$27, 0.0021, 0)</f>
        <v>60.463799999999999</v>
      </c>
      <c r="C546" s="17">
        <f>60.0295 * CHOOSE(CONTROL!$C$9, $D$9, 100%, $F$9) + CHOOSE(CONTROL!$C$27, 0.0021, 0)</f>
        <v>60.031599999999997</v>
      </c>
      <c r="D546" s="17">
        <f>60.0295 * CHOOSE(CONTROL!$C$9, $D$9, 100%, $F$9) + CHOOSE(CONTROL!$C$27, 0.0021, 0)</f>
        <v>60.031599999999997</v>
      </c>
      <c r="E546" s="17">
        <f>59.8928 * CHOOSE(CONTROL!$C$9, $D$9, 100%, $F$9) + CHOOSE(CONTROL!$C$27, 0.0021, 0)</f>
        <v>59.8949</v>
      </c>
      <c r="F546" s="17">
        <f>59.8928 * CHOOSE(CONTROL!$C$9, $D$9, 100%, $F$9) + CHOOSE(CONTROL!$C$27, 0.0021, 0)</f>
        <v>59.8949</v>
      </c>
      <c r="G546" s="17">
        <f>60.1642 * CHOOSE(CONTROL!$C$9, $D$9, 100%, $F$9) + CHOOSE(CONTROL!$C$27, 0.0021, 0)</f>
        <v>60.1663</v>
      </c>
      <c r="H546" s="17">
        <f>60.0295 * CHOOSE(CONTROL!$C$9, $D$9, 100%, $F$9) + CHOOSE(CONTROL!$C$27, 0.0021, 0)</f>
        <v>60.031599999999997</v>
      </c>
      <c r="I546" s="17">
        <f>60.0295 * CHOOSE(CONTROL!$C$9, $D$9, 100%, $F$9) + CHOOSE(CONTROL!$C$27, 0.0021, 0)</f>
        <v>60.031599999999997</v>
      </c>
      <c r="J546" s="17">
        <f>60.0295 * CHOOSE(CONTROL!$C$9, $D$9, 100%, $F$9) + CHOOSE(CONTROL!$C$27, 0.0021, 0)</f>
        <v>60.031599999999997</v>
      </c>
      <c r="K546" s="17">
        <f>60.0295 * CHOOSE(CONTROL!$C$9, $D$9, 100%, $F$9) + CHOOSE(CONTROL!$C$27, 0.0021, 0)</f>
        <v>60.031599999999997</v>
      </c>
      <c r="L546" s="17"/>
    </row>
    <row r="547" spans="1:12" ht="15.75" x14ac:dyDescent="0.25">
      <c r="A547" s="13">
        <v>57588</v>
      </c>
      <c r="B547" s="17">
        <f>60.8111 * CHOOSE(CONTROL!$C$9, $D$9, 100%, $F$9) + CHOOSE(CONTROL!$C$27, 0.0021, 0)</f>
        <v>60.813200000000002</v>
      </c>
      <c r="C547" s="17">
        <f>60.3789 * CHOOSE(CONTROL!$C$9, $D$9, 100%, $F$9) + CHOOSE(CONTROL!$C$27, 0.0021, 0)</f>
        <v>60.381</v>
      </c>
      <c r="D547" s="17">
        <f>60.3789 * CHOOSE(CONTROL!$C$9, $D$9, 100%, $F$9) + CHOOSE(CONTROL!$C$27, 0.0021, 0)</f>
        <v>60.381</v>
      </c>
      <c r="E547" s="17">
        <f>60.2422 * CHOOSE(CONTROL!$C$9, $D$9, 100%, $F$9) + CHOOSE(CONTROL!$C$27, 0.0021, 0)</f>
        <v>60.244299999999996</v>
      </c>
      <c r="F547" s="17">
        <f>60.2422 * CHOOSE(CONTROL!$C$9, $D$9, 100%, $F$9) + CHOOSE(CONTROL!$C$27, 0.0021, 0)</f>
        <v>60.244299999999996</v>
      </c>
      <c r="G547" s="17">
        <f>60.5136 * CHOOSE(CONTROL!$C$9, $D$9, 100%, $F$9) + CHOOSE(CONTROL!$C$27, 0.0021, 0)</f>
        <v>60.515699999999995</v>
      </c>
      <c r="H547" s="17">
        <f>60.3789 * CHOOSE(CONTROL!$C$9, $D$9, 100%, $F$9) + CHOOSE(CONTROL!$C$27, 0.0021, 0)</f>
        <v>60.381</v>
      </c>
      <c r="I547" s="17">
        <f>60.3789 * CHOOSE(CONTROL!$C$9, $D$9, 100%, $F$9) + CHOOSE(CONTROL!$C$27, 0.0021, 0)</f>
        <v>60.381</v>
      </c>
      <c r="J547" s="17">
        <f>60.3789 * CHOOSE(CONTROL!$C$9, $D$9, 100%, $F$9) + CHOOSE(CONTROL!$C$27, 0.0021, 0)</f>
        <v>60.381</v>
      </c>
      <c r="K547" s="17">
        <f>60.3789 * CHOOSE(CONTROL!$C$9, $D$9, 100%, $F$9) + CHOOSE(CONTROL!$C$27, 0.0021, 0)</f>
        <v>60.381</v>
      </c>
      <c r="L547" s="17"/>
    </row>
    <row r="548" spans="1:12" ht="15.75" x14ac:dyDescent="0.25">
      <c r="A548" s="13">
        <v>57618</v>
      </c>
      <c r="B548" s="17">
        <f>62.0011 * CHOOSE(CONTROL!$C$9, $D$9, 100%, $F$9) + CHOOSE(CONTROL!$C$27, 0.0021, 0)</f>
        <v>62.0032</v>
      </c>
      <c r="C548" s="17">
        <f>61.5689 * CHOOSE(CONTROL!$C$9, $D$9, 100%, $F$9) + CHOOSE(CONTROL!$C$27, 0.0021, 0)</f>
        <v>61.570999999999998</v>
      </c>
      <c r="D548" s="17">
        <f>61.5689 * CHOOSE(CONTROL!$C$9, $D$9, 100%, $F$9) + CHOOSE(CONTROL!$C$27, 0.0021, 0)</f>
        <v>61.570999999999998</v>
      </c>
      <c r="E548" s="17">
        <f>61.4322 * CHOOSE(CONTROL!$C$9, $D$9, 100%, $F$9) + CHOOSE(CONTROL!$C$27, 0.0021, 0)</f>
        <v>61.4343</v>
      </c>
      <c r="F548" s="17">
        <f>61.4322 * CHOOSE(CONTROL!$C$9, $D$9, 100%, $F$9) + CHOOSE(CONTROL!$C$27, 0.0021, 0)</f>
        <v>61.4343</v>
      </c>
      <c r="G548" s="17">
        <f>61.7036 * CHOOSE(CONTROL!$C$9, $D$9, 100%, $F$9) + CHOOSE(CONTROL!$C$27, 0.0021, 0)</f>
        <v>61.7057</v>
      </c>
      <c r="H548" s="17">
        <f>61.5689 * CHOOSE(CONTROL!$C$9, $D$9, 100%, $F$9) + CHOOSE(CONTROL!$C$27, 0.0021, 0)</f>
        <v>61.570999999999998</v>
      </c>
      <c r="I548" s="17">
        <f>61.5689 * CHOOSE(CONTROL!$C$9, $D$9, 100%, $F$9) + CHOOSE(CONTROL!$C$27, 0.0021, 0)</f>
        <v>61.570999999999998</v>
      </c>
      <c r="J548" s="17">
        <f>61.5689 * CHOOSE(CONTROL!$C$9, $D$9, 100%, $F$9) + CHOOSE(CONTROL!$C$27, 0.0021, 0)</f>
        <v>61.570999999999998</v>
      </c>
      <c r="K548" s="17">
        <f>61.5689 * CHOOSE(CONTROL!$C$9, $D$9, 100%, $F$9) + CHOOSE(CONTROL!$C$27, 0.0021, 0)</f>
        <v>61.570999999999998</v>
      </c>
      <c r="L548" s="17"/>
    </row>
    <row r="549" spans="1:12" ht="15.75" x14ac:dyDescent="0.25">
      <c r="A549" s="13">
        <v>57649</v>
      </c>
      <c r="B549" s="17">
        <f>63.5074 * CHOOSE(CONTROL!$C$9, $D$9, 100%, $F$9) + CHOOSE(CONTROL!$C$27, 0.0021, 0)</f>
        <v>63.509499999999996</v>
      </c>
      <c r="C549" s="17">
        <f>63.0752 * CHOOSE(CONTROL!$C$9, $D$9, 100%, $F$9) + CHOOSE(CONTROL!$C$27, 0.0021, 0)</f>
        <v>63.077300000000001</v>
      </c>
      <c r="D549" s="17">
        <f>63.0752 * CHOOSE(CONTROL!$C$9, $D$9, 100%, $F$9) + CHOOSE(CONTROL!$C$27, 0.0021, 0)</f>
        <v>63.077300000000001</v>
      </c>
      <c r="E549" s="17">
        <f>62.9385 * CHOOSE(CONTROL!$C$9, $D$9, 100%, $F$9) + CHOOSE(CONTROL!$C$27, 0.0021, 0)</f>
        <v>62.940599999999996</v>
      </c>
      <c r="F549" s="17">
        <f>62.9385 * CHOOSE(CONTROL!$C$9, $D$9, 100%, $F$9) + CHOOSE(CONTROL!$C$27, 0.0021, 0)</f>
        <v>62.940599999999996</v>
      </c>
      <c r="G549" s="17">
        <f>63.2099 * CHOOSE(CONTROL!$C$9, $D$9, 100%, $F$9) + CHOOSE(CONTROL!$C$27, 0.0021, 0)</f>
        <v>63.211999999999996</v>
      </c>
      <c r="H549" s="17">
        <f>63.0752 * CHOOSE(CONTROL!$C$9, $D$9, 100%, $F$9) + CHOOSE(CONTROL!$C$27, 0.0021, 0)</f>
        <v>63.077300000000001</v>
      </c>
      <c r="I549" s="17">
        <f>63.0752 * CHOOSE(CONTROL!$C$9, $D$9, 100%, $F$9) + CHOOSE(CONTROL!$C$27, 0.0021, 0)</f>
        <v>63.077300000000001</v>
      </c>
      <c r="J549" s="17">
        <f>63.0752 * CHOOSE(CONTROL!$C$9, $D$9, 100%, $F$9) + CHOOSE(CONTROL!$C$27, 0.0021, 0)</f>
        <v>63.077300000000001</v>
      </c>
      <c r="K549" s="17">
        <f>63.0752 * CHOOSE(CONTROL!$C$9, $D$9, 100%, $F$9) + CHOOSE(CONTROL!$C$27, 0.0021, 0)</f>
        <v>63.077300000000001</v>
      </c>
      <c r="L549" s="17"/>
    </row>
    <row r="550" spans="1:12" ht="15.75" x14ac:dyDescent="0.25">
      <c r="A550" s="13">
        <v>57679</v>
      </c>
      <c r="B550" s="17">
        <f>63.6488 * CHOOSE(CONTROL!$C$9, $D$9, 100%, $F$9) + CHOOSE(CONTROL!$C$27, 0.0021, 0)</f>
        <v>63.6509</v>
      </c>
      <c r="C550" s="17">
        <f>63.2166 * CHOOSE(CONTROL!$C$9, $D$9, 100%, $F$9) + CHOOSE(CONTROL!$C$27, 0.0021, 0)</f>
        <v>63.218699999999998</v>
      </c>
      <c r="D550" s="17">
        <f>63.2166 * CHOOSE(CONTROL!$C$9, $D$9, 100%, $F$9) + CHOOSE(CONTROL!$C$27, 0.0021, 0)</f>
        <v>63.218699999999998</v>
      </c>
      <c r="E550" s="17">
        <f>63.0799 * CHOOSE(CONTROL!$C$9, $D$9, 100%, $F$9) + CHOOSE(CONTROL!$C$27, 0.0021, 0)</f>
        <v>63.082000000000001</v>
      </c>
      <c r="F550" s="17">
        <f>63.0799 * CHOOSE(CONTROL!$C$9, $D$9, 100%, $F$9) + CHOOSE(CONTROL!$C$27, 0.0021, 0)</f>
        <v>63.082000000000001</v>
      </c>
      <c r="G550" s="17">
        <f>63.3513 * CHOOSE(CONTROL!$C$9, $D$9, 100%, $F$9) + CHOOSE(CONTROL!$C$27, 0.0021, 0)</f>
        <v>63.353400000000001</v>
      </c>
      <c r="H550" s="17">
        <f>63.2166 * CHOOSE(CONTROL!$C$9, $D$9, 100%, $F$9) + CHOOSE(CONTROL!$C$27, 0.0021, 0)</f>
        <v>63.218699999999998</v>
      </c>
      <c r="I550" s="17">
        <f>63.2166 * CHOOSE(CONTROL!$C$9, $D$9, 100%, $F$9) + CHOOSE(CONTROL!$C$27, 0.0021, 0)</f>
        <v>63.218699999999998</v>
      </c>
      <c r="J550" s="17">
        <f>63.2166 * CHOOSE(CONTROL!$C$9, $D$9, 100%, $F$9) + CHOOSE(CONTROL!$C$27, 0.0021, 0)</f>
        <v>63.218699999999998</v>
      </c>
      <c r="K550" s="17">
        <f>63.2166 * CHOOSE(CONTROL!$C$9, $D$9, 100%, $F$9) + CHOOSE(CONTROL!$C$27, 0.0021, 0)</f>
        <v>63.218699999999998</v>
      </c>
      <c r="L550" s="17"/>
    </row>
    <row r="551" spans="1:12" ht="15.75" x14ac:dyDescent="0.25">
      <c r="A551" s="13">
        <v>57710</v>
      </c>
      <c r="B551" s="17">
        <f>62.4458 * CHOOSE(CONTROL!$C$9, $D$9, 100%, $F$9) + CHOOSE(CONTROL!$C$27, 0.0021, 0)</f>
        <v>62.447899999999997</v>
      </c>
      <c r="C551" s="17">
        <f>62.0135 * CHOOSE(CONTROL!$C$9, $D$9, 100%, $F$9) + CHOOSE(CONTROL!$C$27, 0.0021, 0)</f>
        <v>62.015599999999999</v>
      </c>
      <c r="D551" s="17">
        <f>62.0135 * CHOOSE(CONTROL!$C$9, $D$9, 100%, $F$9) + CHOOSE(CONTROL!$C$27, 0.0021, 0)</f>
        <v>62.015599999999999</v>
      </c>
      <c r="E551" s="17">
        <f>61.8769 * CHOOSE(CONTROL!$C$9, $D$9, 100%, $F$9) + CHOOSE(CONTROL!$C$27, 0.0021, 0)</f>
        <v>61.878999999999998</v>
      </c>
      <c r="F551" s="17">
        <f>61.8769 * CHOOSE(CONTROL!$C$9, $D$9, 100%, $F$9) + CHOOSE(CONTROL!$C$27, 0.0021, 0)</f>
        <v>61.878999999999998</v>
      </c>
      <c r="G551" s="17">
        <f>62.1483 * CHOOSE(CONTROL!$C$9, $D$9, 100%, $F$9) + CHOOSE(CONTROL!$C$27, 0.0021, 0)</f>
        <v>62.150399999999998</v>
      </c>
      <c r="H551" s="17">
        <f>62.0135 * CHOOSE(CONTROL!$C$9, $D$9, 100%, $F$9) + CHOOSE(CONTROL!$C$27, 0.0021, 0)</f>
        <v>62.015599999999999</v>
      </c>
      <c r="I551" s="17">
        <f>62.0135 * CHOOSE(CONTROL!$C$9, $D$9, 100%, $F$9) + CHOOSE(CONTROL!$C$27, 0.0021, 0)</f>
        <v>62.015599999999999</v>
      </c>
      <c r="J551" s="17">
        <f>62.0135 * CHOOSE(CONTROL!$C$9, $D$9, 100%, $F$9) + CHOOSE(CONTROL!$C$27, 0.0021, 0)</f>
        <v>62.015599999999999</v>
      </c>
      <c r="K551" s="17">
        <f>62.0135 * CHOOSE(CONTROL!$C$9, $D$9, 100%, $F$9) + CHOOSE(CONTROL!$C$27, 0.0021, 0)</f>
        <v>62.015599999999999</v>
      </c>
      <c r="L551" s="17"/>
    </row>
    <row r="552" spans="1:12" ht="15.75" x14ac:dyDescent="0.25">
      <c r="A552" s="13">
        <v>57741</v>
      </c>
      <c r="B552" s="17">
        <f>61.6854 * CHOOSE(CONTROL!$C$9, $D$9, 100%, $F$9) + CHOOSE(CONTROL!$C$27, 0.0021, 0)</f>
        <v>61.6875</v>
      </c>
      <c r="C552" s="17">
        <f>61.2531 * CHOOSE(CONTROL!$C$9, $D$9, 100%, $F$9) + CHOOSE(CONTROL!$C$27, 0.0021, 0)</f>
        <v>61.255200000000002</v>
      </c>
      <c r="D552" s="17">
        <f>61.2531 * CHOOSE(CONTROL!$C$9, $D$9, 100%, $F$9) + CHOOSE(CONTROL!$C$27, 0.0021, 0)</f>
        <v>61.255200000000002</v>
      </c>
      <c r="E552" s="17">
        <f>61.1165 * CHOOSE(CONTROL!$C$9, $D$9, 100%, $F$9) + CHOOSE(CONTROL!$C$27, 0.0021, 0)</f>
        <v>61.118600000000001</v>
      </c>
      <c r="F552" s="17">
        <f>61.1165 * CHOOSE(CONTROL!$C$9, $D$9, 100%, $F$9) + CHOOSE(CONTROL!$C$27, 0.0021, 0)</f>
        <v>61.118600000000001</v>
      </c>
      <c r="G552" s="17">
        <f>61.3879 * CHOOSE(CONTROL!$C$9, $D$9, 100%, $F$9) + CHOOSE(CONTROL!$C$27, 0.0021, 0)</f>
        <v>61.39</v>
      </c>
      <c r="H552" s="17">
        <f>61.2531 * CHOOSE(CONTROL!$C$9, $D$9, 100%, $F$9) + CHOOSE(CONTROL!$C$27, 0.0021, 0)</f>
        <v>61.255200000000002</v>
      </c>
      <c r="I552" s="17">
        <f>61.2531 * CHOOSE(CONTROL!$C$9, $D$9, 100%, $F$9) + CHOOSE(CONTROL!$C$27, 0.0021, 0)</f>
        <v>61.255200000000002</v>
      </c>
      <c r="J552" s="17">
        <f>61.2531 * CHOOSE(CONTROL!$C$9, $D$9, 100%, $F$9) + CHOOSE(CONTROL!$C$27, 0.0021, 0)</f>
        <v>61.255200000000002</v>
      </c>
      <c r="K552" s="17">
        <f>61.2531 * CHOOSE(CONTROL!$C$9, $D$9, 100%, $F$9) + CHOOSE(CONTROL!$C$27, 0.0021, 0)</f>
        <v>61.255200000000002</v>
      </c>
      <c r="L552" s="17"/>
    </row>
    <row r="553" spans="1:12" ht="15.75" x14ac:dyDescent="0.25">
      <c r="A553" s="13">
        <v>57769</v>
      </c>
      <c r="B553" s="17">
        <f>60.0054 * CHOOSE(CONTROL!$C$9, $D$9, 100%, $F$9) + CHOOSE(CONTROL!$C$27, 0.0021, 0)</f>
        <v>60.0075</v>
      </c>
      <c r="C553" s="17">
        <f>59.5732 * CHOOSE(CONTROL!$C$9, $D$9, 100%, $F$9) + CHOOSE(CONTROL!$C$27, 0.0021, 0)</f>
        <v>59.575299999999999</v>
      </c>
      <c r="D553" s="17">
        <f>59.5732 * CHOOSE(CONTROL!$C$9, $D$9, 100%, $F$9) + CHOOSE(CONTROL!$C$27, 0.0021, 0)</f>
        <v>59.575299999999999</v>
      </c>
      <c r="E553" s="17">
        <f>59.4365 * CHOOSE(CONTROL!$C$9, $D$9, 100%, $F$9) + CHOOSE(CONTROL!$C$27, 0.0021, 0)</f>
        <v>59.438600000000001</v>
      </c>
      <c r="F553" s="17">
        <f>59.4365 * CHOOSE(CONTROL!$C$9, $D$9, 100%, $F$9) + CHOOSE(CONTROL!$C$27, 0.0021, 0)</f>
        <v>59.438600000000001</v>
      </c>
      <c r="G553" s="17">
        <f>59.7079 * CHOOSE(CONTROL!$C$9, $D$9, 100%, $F$9) + CHOOSE(CONTROL!$C$27, 0.0021, 0)</f>
        <v>59.71</v>
      </c>
      <c r="H553" s="17">
        <f>59.5732 * CHOOSE(CONTROL!$C$9, $D$9, 100%, $F$9) + CHOOSE(CONTROL!$C$27, 0.0021, 0)</f>
        <v>59.575299999999999</v>
      </c>
      <c r="I553" s="17">
        <f>59.5732 * CHOOSE(CONTROL!$C$9, $D$9, 100%, $F$9) + CHOOSE(CONTROL!$C$27, 0.0021, 0)</f>
        <v>59.575299999999999</v>
      </c>
      <c r="J553" s="17">
        <f>59.5732 * CHOOSE(CONTROL!$C$9, $D$9, 100%, $F$9) + CHOOSE(CONTROL!$C$27, 0.0021, 0)</f>
        <v>59.575299999999999</v>
      </c>
      <c r="K553" s="17">
        <f>59.5732 * CHOOSE(CONTROL!$C$9, $D$9, 100%, $F$9) + CHOOSE(CONTROL!$C$27, 0.0021, 0)</f>
        <v>59.575299999999999</v>
      </c>
      <c r="L553" s="17"/>
    </row>
    <row r="554" spans="1:12" ht="15.75" x14ac:dyDescent="0.25">
      <c r="A554" s="13">
        <v>57800</v>
      </c>
      <c r="B554" s="17">
        <f>59.312 * CHOOSE(CONTROL!$C$9, $D$9, 100%, $F$9) + CHOOSE(CONTROL!$C$27, 0.0021, 0)</f>
        <v>59.314099999999996</v>
      </c>
      <c r="C554" s="17">
        <f>58.8797 * CHOOSE(CONTROL!$C$9, $D$9, 100%, $F$9) + CHOOSE(CONTROL!$C$27, 0.0021, 0)</f>
        <v>58.881799999999998</v>
      </c>
      <c r="D554" s="17">
        <f>58.8797 * CHOOSE(CONTROL!$C$9, $D$9, 100%, $F$9) + CHOOSE(CONTROL!$C$27, 0.0021, 0)</f>
        <v>58.881799999999998</v>
      </c>
      <c r="E554" s="17">
        <f>58.743 * CHOOSE(CONTROL!$C$9, $D$9, 100%, $F$9) + CHOOSE(CONTROL!$C$27, 0.0021, 0)</f>
        <v>58.745100000000001</v>
      </c>
      <c r="F554" s="17">
        <f>58.743 * CHOOSE(CONTROL!$C$9, $D$9, 100%, $F$9) + CHOOSE(CONTROL!$C$27, 0.0021, 0)</f>
        <v>58.745100000000001</v>
      </c>
      <c r="G554" s="17">
        <f>59.0144 * CHOOSE(CONTROL!$C$9, $D$9, 100%, $F$9) + CHOOSE(CONTROL!$C$27, 0.0021, 0)</f>
        <v>59.016500000000001</v>
      </c>
      <c r="H554" s="17">
        <f>58.8797 * CHOOSE(CONTROL!$C$9, $D$9, 100%, $F$9) + CHOOSE(CONTROL!$C$27, 0.0021, 0)</f>
        <v>58.881799999999998</v>
      </c>
      <c r="I554" s="17">
        <f>58.8797 * CHOOSE(CONTROL!$C$9, $D$9, 100%, $F$9) + CHOOSE(CONTROL!$C$27, 0.0021, 0)</f>
        <v>58.881799999999998</v>
      </c>
      <c r="J554" s="17">
        <f>58.8797 * CHOOSE(CONTROL!$C$9, $D$9, 100%, $F$9) + CHOOSE(CONTROL!$C$27, 0.0021, 0)</f>
        <v>58.881799999999998</v>
      </c>
      <c r="K554" s="17">
        <f>58.8797 * CHOOSE(CONTROL!$C$9, $D$9, 100%, $F$9) + CHOOSE(CONTROL!$C$27, 0.0021, 0)</f>
        <v>58.881799999999998</v>
      </c>
      <c r="L554" s="17"/>
    </row>
    <row r="555" spans="1:12" ht="15.75" x14ac:dyDescent="0.25">
      <c r="A555" s="13">
        <v>57830</v>
      </c>
      <c r="B555" s="17">
        <f>58.4839 * CHOOSE(CONTROL!$C$9, $D$9, 100%, $F$9) + CHOOSE(CONTROL!$C$27, 0.0021, 0)</f>
        <v>58.485999999999997</v>
      </c>
      <c r="C555" s="17">
        <f>58.0517 * CHOOSE(CONTROL!$C$9, $D$9, 100%, $F$9) + CHOOSE(CONTROL!$C$27, 0.0021, 0)</f>
        <v>58.053799999999995</v>
      </c>
      <c r="D555" s="17">
        <f>58.0517 * CHOOSE(CONTROL!$C$9, $D$9, 100%, $F$9) + CHOOSE(CONTROL!$C$27, 0.0021, 0)</f>
        <v>58.053799999999995</v>
      </c>
      <c r="E555" s="17">
        <f>57.915 * CHOOSE(CONTROL!$C$9, $D$9, 100%, $F$9) + CHOOSE(CONTROL!$C$27, 0.0021, 0)</f>
        <v>57.917099999999998</v>
      </c>
      <c r="F555" s="17">
        <f>57.915 * CHOOSE(CONTROL!$C$9, $D$9, 100%, $F$9) + CHOOSE(CONTROL!$C$27, 0.0021, 0)</f>
        <v>57.917099999999998</v>
      </c>
      <c r="G555" s="17">
        <f>58.1864 * CHOOSE(CONTROL!$C$9, $D$9, 100%, $F$9) + CHOOSE(CONTROL!$C$27, 0.0021, 0)</f>
        <v>58.188499999999998</v>
      </c>
      <c r="H555" s="17">
        <f>58.0517 * CHOOSE(CONTROL!$C$9, $D$9, 100%, $F$9) + CHOOSE(CONTROL!$C$27, 0.0021, 0)</f>
        <v>58.053799999999995</v>
      </c>
      <c r="I555" s="17">
        <f>58.0517 * CHOOSE(CONTROL!$C$9, $D$9, 100%, $F$9) + CHOOSE(CONTROL!$C$27, 0.0021, 0)</f>
        <v>58.053799999999995</v>
      </c>
      <c r="J555" s="17">
        <f>58.0517 * CHOOSE(CONTROL!$C$9, $D$9, 100%, $F$9) + CHOOSE(CONTROL!$C$27, 0.0021, 0)</f>
        <v>58.053799999999995</v>
      </c>
      <c r="K555" s="17">
        <f>58.0517 * CHOOSE(CONTROL!$C$9, $D$9, 100%, $F$9) + CHOOSE(CONTROL!$C$27, 0.0021, 0)</f>
        <v>58.053799999999995</v>
      </c>
      <c r="L555" s="17"/>
    </row>
    <row r="556" spans="1:12" ht="15.75" x14ac:dyDescent="0.25">
      <c r="A556" s="13">
        <v>57861</v>
      </c>
      <c r="B556" s="17">
        <f>59.664 * CHOOSE(CONTROL!$C$9, $D$9, 100%, $F$9) + CHOOSE(CONTROL!$C$27, 0.0021, 0)</f>
        <v>59.6661</v>
      </c>
      <c r="C556" s="17">
        <f>59.2317 * CHOOSE(CONTROL!$C$9, $D$9, 100%, $F$9) + CHOOSE(CONTROL!$C$27, 0.0021, 0)</f>
        <v>59.233799999999995</v>
      </c>
      <c r="D556" s="17">
        <f>59.2317 * CHOOSE(CONTROL!$C$9, $D$9, 100%, $F$9) + CHOOSE(CONTROL!$C$27, 0.0021, 0)</f>
        <v>59.233799999999995</v>
      </c>
      <c r="E556" s="17">
        <f>59.0951 * CHOOSE(CONTROL!$C$9, $D$9, 100%, $F$9) + CHOOSE(CONTROL!$C$27, 0.0021, 0)</f>
        <v>59.097200000000001</v>
      </c>
      <c r="F556" s="17">
        <f>59.0951 * CHOOSE(CONTROL!$C$9, $D$9, 100%, $F$9) + CHOOSE(CONTROL!$C$27, 0.0021, 0)</f>
        <v>59.097200000000001</v>
      </c>
      <c r="G556" s="17">
        <f>59.3664 * CHOOSE(CONTROL!$C$9, $D$9, 100%, $F$9) + CHOOSE(CONTROL!$C$27, 0.0021, 0)</f>
        <v>59.368499999999997</v>
      </c>
      <c r="H556" s="17">
        <f>59.2317 * CHOOSE(CONTROL!$C$9, $D$9, 100%, $F$9) + CHOOSE(CONTROL!$C$27, 0.0021, 0)</f>
        <v>59.233799999999995</v>
      </c>
      <c r="I556" s="17">
        <f>59.2317 * CHOOSE(CONTROL!$C$9, $D$9, 100%, $F$9) + CHOOSE(CONTROL!$C$27, 0.0021, 0)</f>
        <v>59.233799999999995</v>
      </c>
      <c r="J556" s="17">
        <f>59.2317 * CHOOSE(CONTROL!$C$9, $D$9, 100%, $F$9) + CHOOSE(CONTROL!$C$27, 0.0021, 0)</f>
        <v>59.233799999999995</v>
      </c>
      <c r="K556" s="17">
        <f>59.2317 * CHOOSE(CONTROL!$C$9, $D$9, 100%, $F$9) + CHOOSE(CONTROL!$C$27, 0.0021, 0)</f>
        <v>59.233799999999995</v>
      </c>
      <c r="L556" s="17"/>
    </row>
    <row r="557" spans="1:12" ht="15.75" x14ac:dyDescent="0.25">
      <c r="A557" s="13">
        <v>57891</v>
      </c>
      <c r="B557" s="17">
        <f>60.3708 * CHOOSE(CONTROL!$C$9, $D$9, 100%, $F$9) + CHOOSE(CONTROL!$C$27, 0.0021, 0)</f>
        <v>60.372900000000001</v>
      </c>
      <c r="C557" s="17">
        <f>59.9385 * CHOOSE(CONTROL!$C$9, $D$9, 100%, $F$9) + CHOOSE(CONTROL!$C$27, 0.0021, 0)</f>
        <v>59.940599999999996</v>
      </c>
      <c r="D557" s="17">
        <f>59.9385 * CHOOSE(CONTROL!$C$9, $D$9, 100%, $F$9) + CHOOSE(CONTROL!$C$27, 0.0021, 0)</f>
        <v>59.940599999999996</v>
      </c>
      <c r="E557" s="17">
        <f>59.8019 * CHOOSE(CONTROL!$C$9, $D$9, 100%, $F$9) + CHOOSE(CONTROL!$C$27, 0.0021, 0)</f>
        <v>59.804000000000002</v>
      </c>
      <c r="F557" s="17">
        <f>59.8019 * CHOOSE(CONTROL!$C$9, $D$9, 100%, $F$9) + CHOOSE(CONTROL!$C$27, 0.0021, 0)</f>
        <v>59.804000000000002</v>
      </c>
      <c r="G557" s="17">
        <f>60.0732 * CHOOSE(CONTROL!$C$9, $D$9, 100%, $F$9) + CHOOSE(CONTROL!$C$27, 0.0021, 0)</f>
        <v>60.075299999999999</v>
      </c>
      <c r="H557" s="17">
        <f>59.9385 * CHOOSE(CONTROL!$C$9, $D$9, 100%, $F$9) + CHOOSE(CONTROL!$C$27, 0.0021, 0)</f>
        <v>59.940599999999996</v>
      </c>
      <c r="I557" s="17">
        <f>59.9385 * CHOOSE(CONTROL!$C$9, $D$9, 100%, $F$9) + CHOOSE(CONTROL!$C$27, 0.0021, 0)</f>
        <v>59.940599999999996</v>
      </c>
      <c r="J557" s="17">
        <f>59.9385 * CHOOSE(CONTROL!$C$9, $D$9, 100%, $F$9) + CHOOSE(CONTROL!$C$27, 0.0021, 0)</f>
        <v>59.940599999999996</v>
      </c>
      <c r="K557" s="17">
        <f>59.9385 * CHOOSE(CONTROL!$C$9, $D$9, 100%, $F$9) + CHOOSE(CONTROL!$C$27, 0.0021, 0)</f>
        <v>59.940599999999996</v>
      </c>
      <c r="L557" s="17"/>
    </row>
    <row r="558" spans="1:12" ht="15.75" x14ac:dyDescent="0.25">
      <c r="A558" s="13">
        <v>57922</v>
      </c>
      <c r="B558" s="17">
        <f>61.5367 * CHOOSE(CONTROL!$C$9, $D$9, 100%, $F$9) + CHOOSE(CONTROL!$C$27, 0.0021, 0)</f>
        <v>61.538800000000002</v>
      </c>
      <c r="C558" s="17">
        <f>61.1045 * CHOOSE(CONTROL!$C$9, $D$9, 100%, $F$9) + CHOOSE(CONTROL!$C$27, 0.0021, 0)</f>
        <v>61.1066</v>
      </c>
      <c r="D558" s="17">
        <f>61.1045 * CHOOSE(CONTROL!$C$9, $D$9, 100%, $F$9) + CHOOSE(CONTROL!$C$27, 0.0021, 0)</f>
        <v>61.1066</v>
      </c>
      <c r="E558" s="17">
        <f>60.9678 * CHOOSE(CONTROL!$C$9, $D$9, 100%, $F$9) + CHOOSE(CONTROL!$C$27, 0.0021, 0)</f>
        <v>60.969899999999996</v>
      </c>
      <c r="F558" s="17">
        <f>60.9678 * CHOOSE(CONTROL!$C$9, $D$9, 100%, $F$9) + CHOOSE(CONTROL!$C$27, 0.0021, 0)</f>
        <v>60.969899999999996</v>
      </c>
      <c r="G558" s="17">
        <f>61.2392 * CHOOSE(CONTROL!$C$9, $D$9, 100%, $F$9) + CHOOSE(CONTROL!$C$27, 0.0021, 0)</f>
        <v>61.241299999999995</v>
      </c>
      <c r="H558" s="17">
        <f>61.1045 * CHOOSE(CONTROL!$C$9, $D$9, 100%, $F$9) + CHOOSE(CONTROL!$C$27, 0.0021, 0)</f>
        <v>61.1066</v>
      </c>
      <c r="I558" s="17">
        <f>61.1045 * CHOOSE(CONTROL!$C$9, $D$9, 100%, $F$9) + CHOOSE(CONTROL!$C$27, 0.0021, 0)</f>
        <v>61.1066</v>
      </c>
      <c r="J558" s="17">
        <f>61.1045 * CHOOSE(CONTROL!$C$9, $D$9, 100%, $F$9) + CHOOSE(CONTROL!$C$27, 0.0021, 0)</f>
        <v>61.1066</v>
      </c>
      <c r="K558" s="17">
        <f>61.1045 * CHOOSE(CONTROL!$C$9, $D$9, 100%, $F$9) + CHOOSE(CONTROL!$C$27, 0.0021, 0)</f>
        <v>61.1066</v>
      </c>
      <c r="L558" s="17"/>
    </row>
    <row r="559" spans="1:12" ht="15.75" x14ac:dyDescent="0.25">
      <c r="A559" s="13">
        <v>57953</v>
      </c>
      <c r="B559" s="17">
        <f>61.8926 * CHOOSE(CONTROL!$C$9, $D$9, 100%, $F$9) + CHOOSE(CONTROL!$C$27, 0.0021, 0)</f>
        <v>61.8947</v>
      </c>
      <c r="C559" s="17">
        <f>61.4604 * CHOOSE(CONTROL!$C$9, $D$9, 100%, $F$9) + CHOOSE(CONTROL!$C$27, 0.0021, 0)</f>
        <v>61.462499999999999</v>
      </c>
      <c r="D559" s="17">
        <f>61.4604 * CHOOSE(CONTROL!$C$9, $D$9, 100%, $F$9) + CHOOSE(CONTROL!$C$27, 0.0021, 0)</f>
        <v>61.462499999999999</v>
      </c>
      <c r="E559" s="17">
        <f>61.3237 * CHOOSE(CONTROL!$C$9, $D$9, 100%, $F$9) + CHOOSE(CONTROL!$C$27, 0.0021, 0)</f>
        <v>61.325800000000001</v>
      </c>
      <c r="F559" s="17">
        <f>61.3237 * CHOOSE(CONTROL!$C$9, $D$9, 100%, $F$9) + CHOOSE(CONTROL!$C$27, 0.0021, 0)</f>
        <v>61.325800000000001</v>
      </c>
      <c r="G559" s="17">
        <f>61.5951 * CHOOSE(CONTROL!$C$9, $D$9, 100%, $F$9) + CHOOSE(CONTROL!$C$27, 0.0021, 0)</f>
        <v>61.597200000000001</v>
      </c>
      <c r="H559" s="17">
        <f>61.4604 * CHOOSE(CONTROL!$C$9, $D$9, 100%, $F$9) + CHOOSE(CONTROL!$C$27, 0.0021, 0)</f>
        <v>61.462499999999999</v>
      </c>
      <c r="I559" s="17">
        <f>61.4604 * CHOOSE(CONTROL!$C$9, $D$9, 100%, $F$9) + CHOOSE(CONTROL!$C$27, 0.0021, 0)</f>
        <v>61.462499999999999</v>
      </c>
      <c r="J559" s="17">
        <f>61.4604 * CHOOSE(CONTROL!$C$9, $D$9, 100%, $F$9) + CHOOSE(CONTROL!$C$27, 0.0021, 0)</f>
        <v>61.462499999999999</v>
      </c>
      <c r="K559" s="17">
        <f>61.4604 * CHOOSE(CONTROL!$C$9, $D$9, 100%, $F$9) + CHOOSE(CONTROL!$C$27, 0.0021, 0)</f>
        <v>61.462499999999999</v>
      </c>
      <c r="L559" s="17"/>
    </row>
    <row r="560" spans="1:12" ht="15.75" x14ac:dyDescent="0.25">
      <c r="A560" s="13">
        <v>57983</v>
      </c>
      <c r="B560" s="17">
        <f>63.1046 * CHOOSE(CONTROL!$C$9, $D$9, 100%, $F$9) + CHOOSE(CONTROL!$C$27, 0.0021, 0)</f>
        <v>63.106699999999996</v>
      </c>
      <c r="C560" s="17">
        <f>62.6723 * CHOOSE(CONTROL!$C$9, $D$9, 100%, $F$9) + CHOOSE(CONTROL!$C$27, 0.0021, 0)</f>
        <v>62.674399999999999</v>
      </c>
      <c r="D560" s="17">
        <f>62.6723 * CHOOSE(CONTROL!$C$9, $D$9, 100%, $F$9) + CHOOSE(CONTROL!$C$27, 0.0021, 0)</f>
        <v>62.674399999999999</v>
      </c>
      <c r="E560" s="17">
        <f>62.5357 * CHOOSE(CONTROL!$C$9, $D$9, 100%, $F$9) + CHOOSE(CONTROL!$C$27, 0.0021, 0)</f>
        <v>62.537799999999997</v>
      </c>
      <c r="F560" s="17">
        <f>62.5357 * CHOOSE(CONTROL!$C$9, $D$9, 100%, $F$9) + CHOOSE(CONTROL!$C$27, 0.0021, 0)</f>
        <v>62.537799999999997</v>
      </c>
      <c r="G560" s="17">
        <f>62.8071 * CHOOSE(CONTROL!$C$9, $D$9, 100%, $F$9) + CHOOSE(CONTROL!$C$27, 0.0021, 0)</f>
        <v>62.809199999999997</v>
      </c>
      <c r="H560" s="17">
        <f>62.6723 * CHOOSE(CONTROL!$C$9, $D$9, 100%, $F$9) + CHOOSE(CONTROL!$C$27, 0.0021, 0)</f>
        <v>62.674399999999999</v>
      </c>
      <c r="I560" s="17">
        <f>62.6723 * CHOOSE(CONTROL!$C$9, $D$9, 100%, $F$9) + CHOOSE(CONTROL!$C$27, 0.0021, 0)</f>
        <v>62.674399999999999</v>
      </c>
      <c r="J560" s="17">
        <f>62.6723 * CHOOSE(CONTROL!$C$9, $D$9, 100%, $F$9) + CHOOSE(CONTROL!$C$27, 0.0021, 0)</f>
        <v>62.674399999999999</v>
      </c>
      <c r="K560" s="17">
        <f>62.6723 * CHOOSE(CONTROL!$C$9, $D$9, 100%, $F$9) + CHOOSE(CONTROL!$C$27, 0.0021, 0)</f>
        <v>62.674399999999999</v>
      </c>
      <c r="L560" s="17"/>
    </row>
    <row r="561" spans="1:12" ht="15.75" x14ac:dyDescent="0.25">
      <c r="A561" s="13">
        <v>58014</v>
      </c>
      <c r="B561" s="17">
        <f>64.6387 * CHOOSE(CONTROL!$C$9, $D$9, 100%, $F$9) + CHOOSE(CONTROL!$C$27, 0.0021, 0)</f>
        <v>64.640799999999999</v>
      </c>
      <c r="C561" s="17">
        <f>64.2065 * CHOOSE(CONTROL!$C$9, $D$9, 100%, $F$9) + CHOOSE(CONTROL!$C$27, 0.0021, 0)</f>
        <v>64.208600000000004</v>
      </c>
      <c r="D561" s="17">
        <f>64.2065 * CHOOSE(CONTROL!$C$9, $D$9, 100%, $F$9) + CHOOSE(CONTROL!$C$27, 0.0021, 0)</f>
        <v>64.208600000000004</v>
      </c>
      <c r="E561" s="17">
        <f>64.0698 * CHOOSE(CONTROL!$C$9, $D$9, 100%, $F$9) + CHOOSE(CONTROL!$C$27, 0.0021, 0)</f>
        <v>64.071899999999999</v>
      </c>
      <c r="F561" s="17">
        <f>64.0698 * CHOOSE(CONTROL!$C$9, $D$9, 100%, $F$9) + CHOOSE(CONTROL!$C$27, 0.0021, 0)</f>
        <v>64.071899999999999</v>
      </c>
      <c r="G561" s="17">
        <f>64.3412 * CHOOSE(CONTROL!$C$9, $D$9, 100%, $F$9) + CHOOSE(CONTROL!$C$27, 0.0021, 0)</f>
        <v>64.343299999999999</v>
      </c>
      <c r="H561" s="17">
        <f>64.2065 * CHOOSE(CONTROL!$C$9, $D$9, 100%, $F$9) + CHOOSE(CONTROL!$C$27, 0.0021, 0)</f>
        <v>64.208600000000004</v>
      </c>
      <c r="I561" s="17">
        <f>64.2065 * CHOOSE(CONTROL!$C$9, $D$9, 100%, $F$9) + CHOOSE(CONTROL!$C$27, 0.0021, 0)</f>
        <v>64.208600000000004</v>
      </c>
      <c r="J561" s="17">
        <f>64.2065 * CHOOSE(CONTROL!$C$9, $D$9, 100%, $F$9) + CHOOSE(CONTROL!$C$27, 0.0021, 0)</f>
        <v>64.208600000000004</v>
      </c>
      <c r="K561" s="17">
        <f>64.2065 * CHOOSE(CONTROL!$C$9, $D$9, 100%, $F$9) + CHOOSE(CONTROL!$C$27, 0.0021, 0)</f>
        <v>64.208600000000004</v>
      </c>
      <c r="L561" s="17"/>
    </row>
    <row r="562" spans="1:12" ht="15.75" x14ac:dyDescent="0.25">
      <c r="A562" s="13">
        <v>58044</v>
      </c>
      <c r="B562" s="17">
        <f>64.7828 * CHOOSE(CONTROL!$C$9, $D$9, 100%, $F$9) + CHOOSE(CONTROL!$C$27, 0.0021, 0)</f>
        <v>64.784899999999993</v>
      </c>
      <c r="C562" s="17">
        <f>64.3505 * CHOOSE(CONTROL!$C$9, $D$9, 100%, $F$9) + CHOOSE(CONTROL!$C$27, 0.0021, 0)</f>
        <v>64.352599999999995</v>
      </c>
      <c r="D562" s="17">
        <f>64.3505 * CHOOSE(CONTROL!$C$9, $D$9, 100%, $F$9) + CHOOSE(CONTROL!$C$27, 0.0021, 0)</f>
        <v>64.352599999999995</v>
      </c>
      <c r="E562" s="17">
        <f>64.2138 * CHOOSE(CONTROL!$C$9, $D$9, 100%, $F$9) + CHOOSE(CONTROL!$C$27, 0.0021, 0)</f>
        <v>64.215900000000005</v>
      </c>
      <c r="F562" s="17">
        <f>64.2138 * CHOOSE(CONTROL!$C$9, $D$9, 100%, $F$9) + CHOOSE(CONTROL!$C$27, 0.0021, 0)</f>
        <v>64.215900000000005</v>
      </c>
      <c r="G562" s="17">
        <f>64.4852 * CHOOSE(CONTROL!$C$9, $D$9, 100%, $F$9) + CHOOSE(CONTROL!$C$27, 0.0021, 0)</f>
        <v>64.487300000000005</v>
      </c>
      <c r="H562" s="17">
        <f>64.3505 * CHOOSE(CONTROL!$C$9, $D$9, 100%, $F$9) + CHOOSE(CONTROL!$C$27, 0.0021, 0)</f>
        <v>64.352599999999995</v>
      </c>
      <c r="I562" s="17">
        <f>64.3505 * CHOOSE(CONTROL!$C$9, $D$9, 100%, $F$9) + CHOOSE(CONTROL!$C$27, 0.0021, 0)</f>
        <v>64.352599999999995</v>
      </c>
      <c r="J562" s="17">
        <f>64.3505 * CHOOSE(CONTROL!$C$9, $D$9, 100%, $F$9) + CHOOSE(CONTROL!$C$27, 0.0021, 0)</f>
        <v>64.352599999999995</v>
      </c>
      <c r="K562" s="17">
        <f>64.3505 * CHOOSE(CONTROL!$C$9, $D$9, 100%, $F$9) + CHOOSE(CONTROL!$C$27, 0.0021, 0)</f>
        <v>64.352599999999995</v>
      </c>
      <c r="L562" s="17"/>
    </row>
    <row r="563" spans="1:12" ht="15.75" x14ac:dyDescent="0.25">
      <c r="A563" s="13">
        <v>58075</v>
      </c>
      <c r="B563" s="17">
        <f>63.5575 * CHOOSE(CONTROL!$C$9, $D$9, 100%, $F$9) + CHOOSE(CONTROL!$C$27, 0.0021, 0)</f>
        <v>63.559599999999996</v>
      </c>
      <c r="C563" s="17">
        <f>63.1252 * CHOOSE(CONTROL!$C$9, $D$9, 100%, $F$9) + CHOOSE(CONTROL!$C$27, 0.0021, 0)</f>
        <v>63.127299999999998</v>
      </c>
      <c r="D563" s="17">
        <f>63.1252 * CHOOSE(CONTROL!$C$9, $D$9, 100%, $F$9) + CHOOSE(CONTROL!$C$27, 0.0021, 0)</f>
        <v>63.127299999999998</v>
      </c>
      <c r="E563" s="17">
        <f>62.9886 * CHOOSE(CONTROL!$C$9, $D$9, 100%, $F$9) + CHOOSE(CONTROL!$C$27, 0.0021, 0)</f>
        <v>62.990699999999997</v>
      </c>
      <c r="F563" s="17">
        <f>62.9886 * CHOOSE(CONTROL!$C$9, $D$9, 100%, $F$9) + CHOOSE(CONTROL!$C$27, 0.0021, 0)</f>
        <v>62.990699999999997</v>
      </c>
      <c r="G563" s="17">
        <f>63.2599 * CHOOSE(CONTROL!$C$9, $D$9, 100%, $F$9) + CHOOSE(CONTROL!$C$27, 0.0021, 0)</f>
        <v>63.262</v>
      </c>
      <c r="H563" s="17">
        <f>63.1252 * CHOOSE(CONTROL!$C$9, $D$9, 100%, $F$9) + CHOOSE(CONTROL!$C$27, 0.0021, 0)</f>
        <v>63.127299999999998</v>
      </c>
      <c r="I563" s="17">
        <f>63.1252 * CHOOSE(CONTROL!$C$9, $D$9, 100%, $F$9) + CHOOSE(CONTROL!$C$27, 0.0021, 0)</f>
        <v>63.127299999999998</v>
      </c>
      <c r="J563" s="17">
        <f>63.1252 * CHOOSE(CONTROL!$C$9, $D$9, 100%, $F$9) + CHOOSE(CONTROL!$C$27, 0.0021, 0)</f>
        <v>63.127299999999998</v>
      </c>
      <c r="K563" s="17">
        <f>63.1252 * CHOOSE(CONTROL!$C$9, $D$9, 100%, $F$9) + CHOOSE(CONTROL!$C$27, 0.0021, 0)</f>
        <v>63.127299999999998</v>
      </c>
      <c r="L563" s="17"/>
    </row>
    <row r="564" spans="1:12" ht="15.75" x14ac:dyDescent="0.25">
      <c r="A564" s="13">
        <v>58106</v>
      </c>
      <c r="B564" s="17">
        <f>62.783 * CHOOSE(CONTROL!$C$9, $D$9, 100%, $F$9) + CHOOSE(CONTROL!$C$27, 0.0021, 0)</f>
        <v>62.7851</v>
      </c>
      <c r="C564" s="17">
        <f>62.3508 * CHOOSE(CONTROL!$C$9, $D$9, 100%, $F$9) + CHOOSE(CONTROL!$C$27, 0.0021, 0)</f>
        <v>62.352899999999998</v>
      </c>
      <c r="D564" s="17">
        <f>62.3508 * CHOOSE(CONTROL!$C$9, $D$9, 100%, $F$9) + CHOOSE(CONTROL!$C$27, 0.0021, 0)</f>
        <v>62.352899999999998</v>
      </c>
      <c r="E564" s="17">
        <f>62.2141 * CHOOSE(CONTROL!$C$9, $D$9, 100%, $F$9) + CHOOSE(CONTROL!$C$27, 0.0021, 0)</f>
        <v>62.216200000000001</v>
      </c>
      <c r="F564" s="17">
        <f>62.2141 * CHOOSE(CONTROL!$C$9, $D$9, 100%, $F$9) + CHOOSE(CONTROL!$C$27, 0.0021, 0)</f>
        <v>62.216200000000001</v>
      </c>
      <c r="G564" s="17">
        <f>62.4855 * CHOOSE(CONTROL!$C$9, $D$9, 100%, $F$9) + CHOOSE(CONTROL!$C$27, 0.0021, 0)</f>
        <v>62.4876</v>
      </c>
      <c r="H564" s="17">
        <f>62.3508 * CHOOSE(CONTROL!$C$9, $D$9, 100%, $F$9) + CHOOSE(CONTROL!$C$27, 0.0021, 0)</f>
        <v>62.352899999999998</v>
      </c>
      <c r="I564" s="17">
        <f>62.3508 * CHOOSE(CONTROL!$C$9, $D$9, 100%, $F$9) + CHOOSE(CONTROL!$C$27, 0.0021, 0)</f>
        <v>62.352899999999998</v>
      </c>
      <c r="J564" s="17">
        <f>62.3508 * CHOOSE(CONTROL!$C$9, $D$9, 100%, $F$9) + CHOOSE(CONTROL!$C$27, 0.0021, 0)</f>
        <v>62.352899999999998</v>
      </c>
      <c r="K564" s="17">
        <f>62.3508 * CHOOSE(CONTROL!$C$9, $D$9, 100%, $F$9) + CHOOSE(CONTROL!$C$27, 0.0021, 0)</f>
        <v>62.352899999999998</v>
      </c>
      <c r="L564" s="17"/>
    </row>
    <row r="565" spans="1:12" ht="15.75" x14ac:dyDescent="0.25">
      <c r="A565" s="13">
        <v>58134</v>
      </c>
      <c r="B565" s="17">
        <f>61.072 * CHOOSE(CONTROL!$C$9, $D$9, 100%, $F$9) + CHOOSE(CONTROL!$C$27, 0.0021, 0)</f>
        <v>61.074100000000001</v>
      </c>
      <c r="C565" s="17">
        <f>60.6398 * CHOOSE(CONTROL!$C$9, $D$9, 100%, $F$9) + CHOOSE(CONTROL!$C$27, 0.0021, 0)</f>
        <v>60.6419</v>
      </c>
      <c r="D565" s="17">
        <f>60.6398 * CHOOSE(CONTROL!$C$9, $D$9, 100%, $F$9) + CHOOSE(CONTROL!$C$27, 0.0021, 0)</f>
        <v>60.6419</v>
      </c>
      <c r="E565" s="17">
        <f>60.5031 * CHOOSE(CONTROL!$C$9, $D$9, 100%, $F$9) + CHOOSE(CONTROL!$C$27, 0.0021, 0)</f>
        <v>60.505200000000002</v>
      </c>
      <c r="F565" s="17">
        <f>60.5031 * CHOOSE(CONTROL!$C$9, $D$9, 100%, $F$9) + CHOOSE(CONTROL!$C$27, 0.0021, 0)</f>
        <v>60.505200000000002</v>
      </c>
      <c r="G565" s="17">
        <f>60.7745 * CHOOSE(CONTROL!$C$9, $D$9, 100%, $F$9) + CHOOSE(CONTROL!$C$27, 0.0021, 0)</f>
        <v>60.776600000000002</v>
      </c>
      <c r="H565" s="17">
        <f>60.6398 * CHOOSE(CONTROL!$C$9, $D$9, 100%, $F$9) + CHOOSE(CONTROL!$C$27, 0.0021, 0)</f>
        <v>60.6419</v>
      </c>
      <c r="I565" s="17">
        <f>60.6398 * CHOOSE(CONTROL!$C$9, $D$9, 100%, $F$9) + CHOOSE(CONTROL!$C$27, 0.0021, 0)</f>
        <v>60.6419</v>
      </c>
      <c r="J565" s="17">
        <f>60.6398 * CHOOSE(CONTROL!$C$9, $D$9, 100%, $F$9) + CHOOSE(CONTROL!$C$27, 0.0021, 0)</f>
        <v>60.6419</v>
      </c>
      <c r="K565" s="17">
        <f>60.6398 * CHOOSE(CONTROL!$C$9, $D$9, 100%, $F$9) + CHOOSE(CONTROL!$C$27, 0.0021, 0)</f>
        <v>60.6419</v>
      </c>
      <c r="L565" s="17"/>
    </row>
    <row r="566" spans="1:12" ht="15.75" x14ac:dyDescent="0.25">
      <c r="A566" s="13">
        <v>58165</v>
      </c>
      <c r="B566" s="17">
        <f>60.3657 * CHOOSE(CONTROL!$C$9, $D$9, 100%, $F$9) + CHOOSE(CONTROL!$C$27, 0.0021, 0)</f>
        <v>60.367799999999995</v>
      </c>
      <c r="C566" s="17">
        <f>59.9335 * CHOOSE(CONTROL!$C$9, $D$9, 100%, $F$9) + CHOOSE(CONTROL!$C$27, 0.0021, 0)</f>
        <v>59.935600000000001</v>
      </c>
      <c r="D566" s="17">
        <f>59.9335 * CHOOSE(CONTROL!$C$9, $D$9, 100%, $F$9) + CHOOSE(CONTROL!$C$27, 0.0021, 0)</f>
        <v>59.935600000000001</v>
      </c>
      <c r="E566" s="17">
        <f>59.7968 * CHOOSE(CONTROL!$C$9, $D$9, 100%, $F$9) + CHOOSE(CONTROL!$C$27, 0.0021, 0)</f>
        <v>59.798899999999996</v>
      </c>
      <c r="F566" s="17">
        <f>59.7968 * CHOOSE(CONTROL!$C$9, $D$9, 100%, $F$9) + CHOOSE(CONTROL!$C$27, 0.0021, 0)</f>
        <v>59.798899999999996</v>
      </c>
      <c r="G566" s="17">
        <f>60.0682 * CHOOSE(CONTROL!$C$9, $D$9, 100%, $F$9) + CHOOSE(CONTROL!$C$27, 0.0021, 0)</f>
        <v>60.070299999999996</v>
      </c>
      <c r="H566" s="17">
        <f>59.9335 * CHOOSE(CONTROL!$C$9, $D$9, 100%, $F$9) + CHOOSE(CONTROL!$C$27, 0.0021, 0)</f>
        <v>59.935600000000001</v>
      </c>
      <c r="I566" s="17">
        <f>59.9335 * CHOOSE(CONTROL!$C$9, $D$9, 100%, $F$9) + CHOOSE(CONTROL!$C$27, 0.0021, 0)</f>
        <v>59.935600000000001</v>
      </c>
      <c r="J566" s="17">
        <f>59.9335 * CHOOSE(CONTROL!$C$9, $D$9, 100%, $F$9) + CHOOSE(CONTROL!$C$27, 0.0021, 0)</f>
        <v>59.935600000000001</v>
      </c>
      <c r="K566" s="17">
        <f>59.9335 * CHOOSE(CONTROL!$C$9, $D$9, 100%, $F$9) + CHOOSE(CONTROL!$C$27, 0.0021, 0)</f>
        <v>59.935600000000001</v>
      </c>
      <c r="L566" s="17"/>
    </row>
    <row r="567" spans="1:12" ht="15.75" x14ac:dyDescent="0.25">
      <c r="A567" s="13">
        <v>58195</v>
      </c>
      <c r="B567" s="17">
        <f>59.5224 * CHOOSE(CONTROL!$C$9, $D$9, 100%, $F$9) + CHOOSE(CONTROL!$C$27, 0.0021, 0)</f>
        <v>59.524499999999996</v>
      </c>
      <c r="C567" s="17">
        <f>59.0901 * CHOOSE(CONTROL!$C$9, $D$9, 100%, $F$9) + CHOOSE(CONTROL!$C$27, 0.0021, 0)</f>
        <v>59.092199999999998</v>
      </c>
      <c r="D567" s="17">
        <f>59.0901 * CHOOSE(CONTROL!$C$9, $D$9, 100%, $F$9) + CHOOSE(CONTROL!$C$27, 0.0021, 0)</f>
        <v>59.092199999999998</v>
      </c>
      <c r="E567" s="17">
        <f>58.9535 * CHOOSE(CONTROL!$C$9, $D$9, 100%, $F$9) + CHOOSE(CONTROL!$C$27, 0.0021, 0)</f>
        <v>58.955599999999997</v>
      </c>
      <c r="F567" s="17">
        <f>58.9535 * CHOOSE(CONTROL!$C$9, $D$9, 100%, $F$9) + CHOOSE(CONTROL!$C$27, 0.0021, 0)</f>
        <v>58.955599999999997</v>
      </c>
      <c r="G567" s="17">
        <f>59.2249 * CHOOSE(CONTROL!$C$9, $D$9, 100%, $F$9) + CHOOSE(CONTROL!$C$27, 0.0021, 0)</f>
        <v>59.226999999999997</v>
      </c>
      <c r="H567" s="17">
        <f>59.0901 * CHOOSE(CONTROL!$C$9, $D$9, 100%, $F$9) + CHOOSE(CONTROL!$C$27, 0.0021, 0)</f>
        <v>59.092199999999998</v>
      </c>
      <c r="I567" s="17">
        <f>59.0901 * CHOOSE(CONTROL!$C$9, $D$9, 100%, $F$9) + CHOOSE(CONTROL!$C$27, 0.0021, 0)</f>
        <v>59.092199999999998</v>
      </c>
      <c r="J567" s="17">
        <f>59.0901 * CHOOSE(CONTROL!$C$9, $D$9, 100%, $F$9) + CHOOSE(CONTROL!$C$27, 0.0021, 0)</f>
        <v>59.092199999999998</v>
      </c>
      <c r="K567" s="17">
        <f>59.0901 * CHOOSE(CONTROL!$C$9, $D$9, 100%, $F$9) + CHOOSE(CONTROL!$C$27, 0.0021, 0)</f>
        <v>59.092199999999998</v>
      </c>
      <c r="L567" s="17"/>
    </row>
    <row r="568" spans="1:12" ht="15.75" x14ac:dyDescent="0.25">
      <c r="A568" s="13">
        <v>58226</v>
      </c>
      <c r="B568" s="17">
        <f>60.7242 * CHOOSE(CONTROL!$C$9, $D$9, 100%, $F$9) + CHOOSE(CONTROL!$C$27, 0.0021, 0)</f>
        <v>60.726300000000002</v>
      </c>
      <c r="C568" s="17">
        <f>60.292 * CHOOSE(CONTROL!$C$9, $D$9, 100%, $F$9) + CHOOSE(CONTROL!$C$27, 0.0021, 0)</f>
        <v>60.2941</v>
      </c>
      <c r="D568" s="17">
        <f>60.292 * CHOOSE(CONTROL!$C$9, $D$9, 100%, $F$9) + CHOOSE(CONTROL!$C$27, 0.0021, 0)</f>
        <v>60.2941</v>
      </c>
      <c r="E568" s="17">
        <f>60.1553 * CHOOSE(CONTROL!$C$9, $D$9, 100%, $F$9) + CHOOSE(CONTROL!$C$27, 0.0021, 0)</f>
        <v>60.157399999999996</v>
      </c>
      <c r="F568" s="17">
        <f>60.1553 * CHOOSE(CONTROL!$C$9, $D$9, 100%, $F$9) + CHOOSE(CONTROL!$C$27, 0.0021, 0)</f>
        <v>60.157399999999996</v>
      </c>
      <c r="G568" s="17">
        <f>60.4267 * CHOOSE(CONTROL!$C$9, $D$9, 100%, $F$9) + CHOOSE(CONTROL!$C$27, 0.0021, 0)</f>
        <v>60.428799999999995</v>
      </c>
      <c r="H568" s="17">
        <f>60.292 * CHOOSE(CONTROL!$C$9, $D$9, 100%, $F$9) + CHOOSE(CONTROL!$C$27, 0.0021, 0)</f>
        <v>60.2941</v>
      </c>
      <c r="I568" s="17">
        <f>60.292 * CHOOSE(CONTROL!$C$9, $D$9, 100%, $F$9) + CHOOSE(CONTROL!$C$27, 0.0021, 0)</f>
        <v>60.2941</v>
      </c>
      <c r="J568" s="17">
        <f>60.292 * CHOOSE(CONTROL!$C$9, $D$9, 100%, $F$9) + CHOOSE(CONTROL!$C$27, 0.0021, 0)</f>
        <v>60.2941</v>
      </c>
      <c r="K568" s="17">
        <f>60.292 * CHOOSE(CONTROL!$C$9, $D$9, 100%, $F$9) + CHOOSE(CONTROL!$C$27, 0.0021, 0)</f>
        <v>60.2941</v>
      </c>
      <c r="L568" s="17"/>
    </row>
    <row r="569" spans="1:12" ht="15.75" x14ac:dyDescent="0.25">
      <c r="A569" s="13">
        <v>58256</v>
      </c>
      <c r="B569" s="17">
        <f>61.4441 * CHOOSE(CONTROL!$C$9, $D$9, 100%, $F$9) + CHOOSE(CONTROL!$C$27, 0.0021, 0)</f>
        <v>61.446199999999997</v>
      </c>
      <c r="C569" s="17">
        <f>61.0119 * CHOOSE(CONTROL!$C$9, $D$9, 100%, $F$9) + CHOOSE(CONTROL!$C$27, 0.0021, 0)</f>
        <v>61.013999999999996</v>
      </c>
      <c r="D569" s="17">
        <f>61.0119 * CHOOSE(CONTROL!$C$9, $D$9, 100%, $F$9) + CHOOSE(CONTROL!$C$27, 0.0021, 0)</f>
        <v>61.013999999999996</v>
      </c>
      <c r="E569" s="17">
        <f>60.8752 * CHOOSE(CONTROL!$C$9, $D$9, 100%, $F$9) + CHOOSE(CONTROL!$C$27, 0.0021, 0)</f>
        <v>60.877299999999998</v>
      </c>
      <c r="F569" s="17">
        <f>60.8752 * CHOOSE(CONTROL!$C$9, $D$9, 100%, $F$9) + CHOOSE(CONTROL!$C$27, 0.0021, 0)</f>
        <v>60.877299999999998</v>
      </c>
      <c r="G569" s="17">
        <f>61.1466 * CHOOSE(CONTROL!$C$9, $D$9, 100%, $F$9) + CHOOSE(CONTROL!$C$27, 0.0021, 0)</f>
        <v>61.148699999999998</v>
      </c>
      <c r="H569" s="17">
        <f>61.0119 * CHOOSE(CONTROL!$C$9, $D$9, 100%, $F$9) + CHOOSE(CONTROL!$C$27, 0.0021, 0)</f>
        <v>61.013999999999996</v>
      </c>
      <c r="I569" s="17">
        <f>61.0119 * CHOOSE(CONTROL!$C$9, $D$9, 100%, $F$9) + CHOOSE(CONTROL!$C$27, 0.0021, 0)</f>
        <v>61.013999999999996</v>
      </c>
      <c r="J569" s="17">
        <f>61.0119 * CHOOSE(CONTROL!$C$9, $D$9, 100%, $F$9) + CHOOSE(CONTROL!$C$27, 0.0021, 0)</f>
        <v>61.013999999999996</v>
      </c>
      <c r="K569" s="17">
        <f>61.0119 * CHOOSE(CONTROL!$C$9, $D$9, 100%, $F$9) + CHOOSE(CONTROL!$C$27, 0.0021, 0)</f>
        <v>61.013999999999996</v>
      </c>
      <c r="L569" s="17"/>
    </row>
    <row r="570" spans="1:12" ht="15.75" x14ac:dyDescent="0.25">
      <c r="A570" s="13">
        <v>58287</v>
      </c>
      <c r="B570" s="17">
        <f>62.6316 * CHOOSE(CONTROL!$C$9, $D$9, 100%, $F$9) + CHOOSE(CONTROL!$C$27, 0.0021, 0)</f>
        <v>62.633699999999997</v>
      </c>
      <c r="C570" s="17">
        <f>62.1994 * CHOOSE(CONTROL!$C$9, $D$9, 100%, $F$9) + CHOOSE(CONTROL!$C$27, 0.0021, 0)</f>
        <v>62.201499999999996</v>
      </c>
      <c r="D570" s="17">
        <f>62.1994 * CHOOSE(CONTROL!$C$9, $D$9, 100%, $F$9) + CHOOSE(CONTROL!$C$27, 0.0021, 0)</f>
        <v>62.201499999999996</v>
      </c>
      <c r="E570" s="17">
        <f>62.0627 * CHOOSE(CONTROL!$C$9, $D$9, 100%, $F$9) + CHOOSE(CONTROL!$C$27, 0.0021, 0)</f>
        <v>62.064799999999998</v>
      </c>
      <c r="F570" s="17">
        <f>62.0627 * CHOOSE(CONTROL!$C$9, $D$9, 100%, $F$9) + CHOOSE(CONTROL!$C$27, 0.0021, 0)</f>
        <v>62.064799999999998</v>
      </c>
      <c r="G570" s="17">
        <f>62.3341 * CHOOSE(CONTROL!$C$9, $D$9, 100%, $F$9) + CHOOSE(CONTROL!$C$27, 0.0021, 0)</f>
        <v>62.336199999999998</v>
      </c>
      <c r="H570" s="17">
        <f>62.1994 * CHOOSE(CONTROL!$C$9, $D$9, 100%, $F$9) + CHOOSE(CONTROL!$C$27, 0.0021, 0)</f>
        <v>62.201499999999996</v>
      </c>
      <c r="I570" s="17">
        <f>62.1994 * CHOOSE(CONTROL!$C$9, $D$9, 100%, $F$9) + CHOOSE(CONTROL!$C$27, 0.0021, 0)</f>
        <v>62.201499999999996</v>
      </c>
      <c r="J570" s="17">
        <f>62.1994 * CHOOSE(CONTROL!$C$9, $D$9, 100%, $F$9) + CHOOSE(CONTROL!$C$27, 0.0021, 0)</f>
        <v>62.201499999999996</v>
      </c>
      <c r="K570" s="17">
        <f>62.1994 * CHOOSE(CONTROL!$C$9, $D$9, 100%, $F$9) + CHOOSE(CONTROL!$C$27, 0.0021, 0)</f>
        <v>62.201499999999996</v>
      </c>
      <c r="L570" s="17"/>
    </row>
    <row r="571" spans="1:12" ht="15.75" x14ac:dyDescent="0.25">
      <c r="A571" s="13">
        <v>58318</v>
      </c>
      <c r="B571" s="17">
        <f>62.9941 * CHOOSE(CONTROL!$C$9, $D$9, 100%, $F$9) + CHOOSE(CONTROL!$C$27, 0.0021, 0)</f>
        <v>62.996200000000002</v>
      </c>
      <c r="C571" s="17">
        <f>62.5618 * CHOOSE(CONTROL!$C$9, $D$9, 100%, $F$9) + CHOOSE(CONTROL!$C$27, 0.0021, 0)</f>
        <v>62.563899999999997</v>
      </c>
      <c r="D571" s="17">
        <f>62.5618 * CHOOSE(CONTROL!$C$9, $D$9, 100%, $F$9) + CHOOSE(CONTROL!$C$27, 0.0021, 0)</f>
        <v>62.563899999999997</v>
      </c>
      <c r="E571" s="17">
        <f>62.4252 * CHOOSE(CONTROL!$C$9, $D$9, 100%, $F$9) + CHOOSE(CONTROL!$C$27, 0.0021, 0)</f>
        <v>62.427299999999995</v>
      </c>
      <c r="F571" s="17">
        <f>62.4252 * CHOOSE(CONTROL!$C$9, $D$9, 100%, $F$9) + CHOOSE(CONTROL!$C$27, 0.0021, 0)</f>
        <v>62.427299999999995</v>
      </c>
      <c r="G571" s="17">
        <f>62.6965 * CHOOSE(CONTROL!$C$9, $D$9, 100%, $F$9) + CHOOSE(CONTROL!$C$27, 0.0021, 0)</f>
        <v>62.698599999999999</v>
      </c>
      <c r="H571" s="17">
        <f>62.5618 * CHOOSE(CONTROL!$C$9, $D$9, 100%, $F$9) + CHOOSE(CONTROL!$C$27, 0.0021, 0)</f>
        <v>62.563899999999997</v>
      </c>
      <c r="I571" s="17">
        <f>62.5618 * CHOOSE(CONTROL!$C$9, $D$9, 100%, $F$9) + CHOOSE(CONTROL!$C$27, 0.0021, 0)</f>
        <v>62.563899999999997</v>
      </c>
      <c r="J571" s="17">
        <f>62.5618 * CHOOSE(CONTROL!$C$9, $D$9, 100%, $F$9) + CHOOSE(CONTROL!$C$27, 0.0021, 0)</f>
        <v>62.563899999999997</v>
      </c>
      <c r="K571" s="17">
        <f>62.5618 * CHOOSE(CONTROL!$C$9, $D$9, 100%, $F$9) + CHOOSE(CONTROL!$C$27, 0.0021, 0)</f>
        <v>62.563899999999997</v>
      </c>
      <c r="L571" s="17"/>
    </row>
    <row r="572" spans="1:12" ht="15.75" x14ac:dyDescent="0.25">
      <c r="A572" s="13">
        <v>58348</v>
      </c>
      <c r="B572" s="17">
        <f>64.2284 * CHOOSE(CONTROL!$C$9, $D$9, 100%, $F$9) + CHOOSE(CONTROL!$C$27, 0.0021, 0)</f>
        <v>64.230499999999992</v>
      </c>
      <c r="C572" s="17">
        <f>63.7962 * CHOOSE(CONTROL!$C$9, $D$9, 100%, $F$9) + CHOOSE(CONTROL!$C$27, 0.0021, 0)</f>
        <v>63.798299999999998</v>
      </c>
      <c r="D572" s="17">
        <f>63.7962 * CHOOSE(CONTROL!$C$9, $D$9, 100%, $F$9) + CHOOSE(CONTROL!$C$27, 0.0021, 0)</f>
        <v>63.798299999999998</v>
      </c>
      <c r="E572" s="17">
        <f>63.6595 * CHOOSE(CONTROL!$C$9, $D$9, 100%, $F$9) + CHOOSE(CONTROL!$C$27, 0.0021, 0)</f>
        <v>63.6616</v>
      </c>
      <c r="F572" s="17">
        <f>63.6595 * CHOOSE(CONTROL!$C$9, $D$9, 100%, $F$9) + CHOOSE(CONTROL!$C$27, 0.0021, 0)</f>
        <v>63.6616</v>
      </c>
      <c r="G572" s="17">
        <f>63.9309 * CHOOSE(CONTROL!$C$9, $D$9, 100%, $F$9) + CHOOSE(CONTROL!$C$27, 0.0021, 0)</f>
        <v>63.933</v>
      </c>
      <c r="H572" s="17">
        <f>63.7962 * CHOOSE(CONTROL!$C$9, $D$9, 100%, $F$9) + CHOOSE(CONTROL!$C$27, 0.0021, 0)</f>
        <v>63.798299999999998</v>
      </c>
      <c r="I572" s="17">
        <f>63.7962 * CHOOSE(CONTROL!$C$9, $D$9, 100%, $F$9) + CHOOSE(CONTROL!$C$27, 0.0021, 0)</f>
        <v>63.798299999999998</v>
      </c>
      <c r="J572" s="17">
        <f>63.7962 * CHOOSE(CONTROL!$C$9, $D$9, 100%, $F$9) + CHOOSE(CONTROL!$C$27, 0.0021, 0)</f>
        <v>63.798299999999998</v>
      </c>
      <c r="K572" s="17">
        <f>63.7962 * CHOOSE(CONTROL!$C$9, $D$9, 100%, $F$9) + CHOOSE(CONTROL!$C$27, 0.0021, 0)</f>
        <v>63.798299999999998</v>
      </c>
      <c r="L572" s="17"/>
    </row>
    <row r="573" spans="1:12" ht="15.75" x14ac:dyDescent="0.25">
      <c r="A573" s="13">
        <v>58379</v>
      </c>
      <c r="B573" s="17">
        <f>65.7909 * CHOOSE(CONTROL!$C$9, $D$9, 100%, $F$9) + CHOOSE(CONTROL!$C$27, 0.0021, 0)</f>
        <v>65.792999999999992</v>
      </c>
      <c r="C573" s="17">
        <f>65.3587 * CHOOSE(CONTROL!$C$9, $D$9, 100%, $F$9) + CHOOSE(CONTROL!$C$27, 0.0021, 0)</f>
        <v>65.360799999999998</v>
      </c>
      <c r="D573" s="17">
        <f>65.3587 * CHOOSE(CONTROL!$C$9, $D$9, 100%, $F$9) + CHOOSE(CONTROL!$C$27, 0.0021, 0)</f>
        <v>65.360799999999998</v>
      </c>
      <c r="E573" s="17">
        <f>65.222 * CHOOSE(CONTROL!$C$9, $D$9, 100%, $F$9) + CHOOSE(CONTROL!$C$27, 0.0021, 0)</f>
        <v>65.224099999999993</v>
      </c>
      <c r="F573" s="17">
        <f>65.222 * CHOOSE(CONTROL!$C$9, $D$9, 100%, $F$9) + CHOOSE(CONTROL!$C$27, 0.0021, 0)</f>
        <v>65.224099999999993</v>
      </c>
      <c r="G573" s="17">
        <f>65.4934 * CHOOSE(CONTROL!$C$9, $D$9, 100%, $F$9) + CHOOSE(CONTROL!$C$27, 0.0021, 0)</f>
        <v>65.495499999999993</v>
      </c>
      <c r="H573" s="17">
        <f>65.3587 * CHOOSE(CONTROL!$C$9, $D$9, 100%, $F$9) + CHOOSE(CONTROL!$C$27, 0.0021, 0)</f>
        <v>65.360799999999998</v>
      </c>
      <c r="I573" s="17">
        <f>65.3587 * CHOOSE(CONTROL!$C$9, $D$9, 100%, $F$9) + CHOOSE(CONTROL!$C$27, 0.0021, 0)</f>
        <v>65.360799999999998</v>
      </c>
      <c r="J573" s="17">
        <f>65.3587 * CHOOSE(CONTROL!$C$9, $D$9, 100%, $F$9) + CHOOSE(CONTROL!$C$27, 0.0021, 0)</f>
        <v>65.360799999999998</v>
      </c>
      <c r="K573" s="17">
        <f>65.3587 * CHOOSE(CONTROL!$C$9, $D$9, 100%, $F$9) + CHOOSE(CONTROL!$C$27, 0.0021, 0)</f>
        <v>65.360799999999998</v>
      </c>
      <c r="L573" s="17"/>
    </row>
    <row r="574" spans="1:12" ht="15.75" x14ac:dyDescent="0.25">
      <c r="A574" s="13">
        <v>58409</v>
      </c>
      <c r="B574" s="17">
        <f>65.9376 * CHOOSE(CONTROL!$C$9, $D$9, 100%, $F$9) + CHOOSE(CONTROL!$C$27, 0.0021, 0)</f>
        <v>65.939700000000002</v>
      </c>
      <c r="C574" s="17">
        <f>65.5054 * CHOOSE(CONTROL!$C$9, $D$9, 100%, $F$9) + CHOOSE(CONTROL!$C$27, 0.0021, 0)</f>
        <v>65.507499999999993</v>
      </c>
      <c r="D574" s="17">
        <f>65.5054 * CHOOSE(CONTROL!$C$9, $D$9, 100%, $F$9) + CHOOSE(CONTROL!$C$27, 0.0021, 0)</f>
        <v>65.507499999999993</v>
      </c>
      <c r="E574" s="17">
        <f>65.3687 * CHOOSE(CONTROL!$C$9, $D$9, 100%, $F$9) + CHOOSE(CONTROL!$C$27, 0.0021, 0)</f>
        <v>65.370800000000003</v>
      </c>
      <c r="F574" s="17">
        <f>65.3687 * CHOOSE(CONTROL!$C$9, $D$9, 100%, $F$9) + CHOOSE(CONTROL!$C$27, 0.0021, 0)</f>
        <v>65.370800000000003</v>
      </c>
      <c r="G574" s="17">
        <f>65.6401 * CHOOSE(CONTROL!$C$9, $D$9, 100%, $F$9) + CHOOSE(CONTROL!$C$27, 0.0021, 0)</f>
        <v>65.642200000000003</v>
      </c>
      <c r="H574" s="17">
        <f>65.5054 * CHOOSE(CONTROL!$C$9, $D$9, 100%, $F$9) + CHOOSE(CONTROL!$C$27, 0.0021, 0)</f>
        <v>65.507499999999993</v>
      </c>
      <c r="I574" s="17">
        <f>65.5054 * CHOOSE(CONTROL!$C$9, $D$9, 100%, $F$9) + CHOOSE(CONTROL!$C$27, 0.0021, 0)</f>
        <v>65.507499999999993</v>
      </c>
      <c r="J574" s="17">
        <f>65.5054 * CHOOSE(CONTROL!$C$9, $D$9, 100%, $F$9) + CHOOSE(CONTROL!$C$27, 0.0021, 0)</f>
        <v>65.507499999999993</v>
      </c>
      <c r="K574" s="17">
        <f>65.5054 * CHOOSE(CONTROL!$C$9, $D$9, 100%, $F$9) + CHOOSE(CONTROL!$C$27, 0.0021, 0)</f>
        <v>65.507499999999993</v>
      </c>
      <c r="L574" s="17"/>
    </row>
    <row r="575" spans="1:12" ht="15.75" x14ac:dyDescent="0.25">
      <c r="A575" s="13">
        <v>58440</v>
      </c>
      <c r="B575" s="17">
        <f>64.6897 * CHOOSE(CONTROL!$C$9, $D$9, 100%, $F$9) + CHOOSE(CONTROL!$C$27, 0.0021, 0)</f>
        <v>64.691800000000001</v>
      </c>
      <c r="C575" s="17">
        <f>64.2574 * CHOOSE(CONTROL!$C$9, $D$9, 100%, $F$9) + CHOOSE(CONTROL!$C$27, 0.0021, 0)</f>
        <v>64.259500000000003</v>
      </c>
      <c r="D575" s="17">
        <f>64.2574 * CHOOSE(CONTROL!$C$9, $D$9, 100%, $F$9) + CHOOSE(CONTROL!$C$27, 0.0021, 0)</f>
        <v>64.259500000000003</v>
      </c>
      <c r="E575" s="17">
        <f>64.1208 * CHOOSE(CONTROL!$C$9, $D$9, 100%, $F$9) + CHOOSE(CONTROL!$C$27, 0.0021, 0)</f>
        <v>64.122900000000001</v>
      </c>
      <c r="F575" s="17">
        <f>64.1208 * CHOOSE(CONTROL!$C$9, $D$9, 100%, $F$9) + CHOOSE(CONTROL!$C$27, 0.0021, 0)</f>
        <v>64.122900000000001</v>
      </c>
      <c r="G575" s="17">
        <f>64.3922 * CHOOSE(CONTROL!$C$9, $D$9, 100%, $F$9) + CHOOSE(CONTROL!$C$27, 0.0021, 0)</f>
        <v>64.394300000000001</v>
      </c>
      <c r="H575" s="17">
        <f>64.2574 * CHOOSE(CONTROL!$C$9, $D$9, 100%, $F$9) + CHOOSE(CONTROL!$C$27, 0.0021, 0)</f>
        <v>64.259500000000003</v>
      </c>
      <c r="I575" s="17">
        <f>64.2574 * CHOOSE(CONTROL!$C$9, $D$9, 100%, $F$9) + CHOOSE(CONTROL!$C$27, 0.0021, 0)</f>
        <v>64.259500000000003</v>
      </c>
      <c r="J575" s="17">
        <f>64.2574 * CHOOSE(CONTROL!$C$9, $D$9, 100%, $F$9) + CHOOSE(CONTROL!$C$27, 0.0021, 0)</f>
        <v>64.259500000000003</v>
      </c>
      <c r="K575" s="17">
        <f>64.2574 * CHOOSE(CONTROL!$C$9, $D$9, 100%, $F$9) + CHOOSE(CONTROL!$C$27, 0.0021, 0)</f>
        <v>64.259500000000003</v>
      </c>
      <c r="L575" s="17"/>
    </row>
    <row r="576" spans="1:12" ht="15.75" x14ac:dyDescent="0.25">
      <c r="A576" s="13">
        <v>58471</v>
      </c>
      <c r="B576" s="17">
        <f>63.9009 * CHOOSE(CONTROL!$C$9, $D$9, 100%, $F$9) + CHOOSE(CONTROL!$C$27, 0.0021, 0)</f>
        <v>63.902999999999999</v>
      </c>
      <c r="C576" s="17">
        <f>63.4687 * CHOOSE(CONTROL!$C$9, $D$9, 100%, $F$9) + CHOOSE(CONTROL!$C$27, 0.0021, 0)</f>
        <v>63.470799999999997</v>
      </c>
      <c r="D576" s="17">
        <f>63.4687 * CHOOSE(CONTROL!$C$9, $D$9, 100%, $F$9) + CHOOSE(CONTROL!$C$27, 0.0021, 0)</f>
        <v>63.470799999999997</v>
      </c>
      <c r="E576" s="17">
        <f>63.332 * CHOOSE(CONTROL!$C$9, $D$9, 100%, $F$9) + CHOOSE(CONTROL!$C$27, 0.0021, 0)</f>
        <v>63.334099999999999</v>
      </c>
      <c r="F576" s="17">
        <f>63.332 * CHOOSE(CONTROL!$C$9, $D$9, 100%, $F$9) + CHOOSE(CONTROL!$C$27, 0.0021, 0)</f>
        <v>63.334099999999999</v>
      </c>
      <c r="G576" s="17">
        <f>63.6034 * CHOOSE(CONTROL!$C$9, $D$9, 100%, $F$9) + CHOOSE(CONTROL!$C$27, 0.0021, 0)</f>
        <v>63.605499999999999</v>
      </c>
      <c r="H576" s="17">
        <f>63.4687 * CHOOSE(CONTROL!$C$9, $D$9, 100%, $F$9) + CHOOSE(CONTROL!$C$27, 0.0021, 0)</f>
        <v>63.470799999999997</v>
      </c>
      <c r="I576" s="17">
        <f>63.4687 * CHOOSE(CONTROL!$C$9, $D$9, 100%, $F$9) + CHOOSE(CONTROL!$C$27, 0.0021, 0)</f>
        <v>63.470799999999997</v>
      </c>
      <c r="J576" s="17">
        <f>63.4687 * CHOOSE(CONTROL!$C$9, $D$9, 100%, $F$9) + CHOOSE(CONTROL!$C$27, 0.0021, 0)</f>
        <v>63.470799999999997</v>
      </c>
      <c r="K576" s="17">
        <f>63.4687 * CHOOSE(CONTROL!$C$9, $D$9, 100%, $F$9) + CHOOSE(CONTROL!$C$27, 0.0021, 0)</f>
        <v>63.470799999999997</v>
      </c>
      <c r="L576" s="17"/>
    </row>
    <row r="577" spans="1:12" ht="15.75" x14ac:dyDescent="0.25">
      <c r="A577" s="13">
        <v>58499</v>
      </c>
      <c r="B577" s="17">
        <f>62.1583 * CHOOSE(CONTROL!$C$9, $D$9, 100%, $F$9) + CHOOSE(CONTROL!$C$27, 0.0021, 0)</f>
        <v>62.160399999999996</v>
      </c>
      <c r="C577" s="17">
        <f>61.7261 * CHOOSE(CONTROL!$C$9, $D$9, 100%, $F$9) + CHOOSE(CONTROL!$C$27, 0.0021, 0)</f>
        <v>61.728200000000001</v>
      </c>
      <c r="D577" s="17">
        <f>61.7261 * CHOOSE(CONTROL!$C$9, $D$9, 100%, $F$9) + CHOOSE(CONTROL!$C$27, 0.0021, 0)</f>
        <v>61.728200000000001</v>
      </c>
      <c r="E577" s="17">
        <f>61.5894 * CHOOSE(CONTROL!$C$9, $D$9, 100%, $F$9) + CHOOSE(CONTROL!$C$27, 0.0021, 0)</f>
        <v>61.591499999999996</v>
      </c>
      <c r="F577" s="17">
        <f>61.5894 * CHOOSE(CONTROL!$C$9, $D$9, 100%, $F$9) + CHOOSE(CONTROL!$C$27, 0.0021, 0)</f>
        <v>61.591499999999996</v>
      </c>
      <c r="G577" s="17">
        <f>61.8608 * CHOOSE(CONTROL!$C$9, $D$9, 100%, $F$9) + CHOOSE(CONTROL!$C$27, 0.0021, 0)</f>
        <v>61.862899999999996</v>
      </c>
      <c r="H577" s="17">
        <f>61.7261 * CHOOSE(CONTROL!$C$9, $D$9, 100%, $F$9) + CHOOSE(CONTROL!$C$27, 0.0021, 0)</f>
        <v>61.728200000000001</v>
      </c>
      <c r="I577" s="17">
        <f>61.7261 * CHOOSE(CONTROL!$C$9, $D$9, 100%, $F$9) + CHOOSE(CONTROL!$C$27, 0.0021, 0)</f>
        <v>61.728200000000001</v>
      </c>
      <c r="J577" s="17">
        <f>61.7261 * CHOOSE(CONTROL!$C$9, $D$9, 100%, $F$9) + CHOOSE(CONTROL!$C$27, 0.0021, 0)</f>
        <v>61.728200000000001</v>
      </c>
      <c r="K577" s="17">
        <f>61.7261 * CHOOSE(CONTROL!$C$9, $D$9, 100%, $F$9) + CHOOSE(CONTROL!$C$27, 0.0021, 0)</f>
        <v>61.728200000000001</v>
      </c>
      <c r="L577" s="17"/>
    </row>
    <row r="578" spans="1:12" ht="15.75" x14ac:dyDescent="0.25">
      <c r="A578" s="13">
        <v>58531</v>
      </c>
      <c r="B578" s="17">
        <f>61.439 * CHOOSE(CONTROL!$C$9, $D$9, 100%, $F$9) + CHOOSE(CONTROL!$C$27, 0.0021, 0)</f>
        <v>61.441099999999999</v>
      </c>
      <c r="C578" s="17">
        <f>61.0067 * CHOOSE(CONTROL!$C$9, $D$9, 100%, $F$9) + CHOOSE(CONTROL!$C$27, 0.0021, 0)</f>
        <v>61.008800000000001</v>
      </c>
      <c r="D578" s="17">
        <f>61.0067 * CHOOSE(CONTROL!$C$9, $D$9, 100%, $F$9) + CHOOSE(CONTROL!$C$27, 0.0021, 0)</f>
        <v>61.008800000000001</v>
      </c>
      <c r="E578" s="17">
        <f>60.8701 * CHOOSE(CONTROL!$C$9, $D$9, 100%, $F$9) + CHOOSE(CONTROL!$C$27, 0.0021, 0)</f>
        <v>60.872199999999999</v>
      </c>
      <c r="F578" s="17">
        <f>60.8701 * CHOOSE(CONTROL!$C$9, $D$9, 100%, $F$9) + CHOOSE(CONTROL!$C$27, 0.0021, 0)</f>
        <v>60.872199999999999</v>
      </c>
      <c r="G578" s="17">
        <f>61.1414 * CHOOSE(CONTROL!$C$9, $D$9, 100%, $F$9) + CHOOSE(CONTROL!$C$27, 0.0021, 0)</f>
        <v>61.143499999999996</v>
      </c>
      <c r="H578" s="17">
        <f>61.0067 * CHOOSE(CONTROL!$C$9, $D$9, 100%, $F$9) + CHOOSE(CONTROL!$C$27, 0.0021, 0)</f>
        <v>61.008800000000001</v>
      </c>
      <c r="I578" s="17">
        <f>61.0067 * CHOOSE(CONTROL!$C$9, $D$9, 100%, $F$9) + CHOOSE(CONTROL!$C$27, 0.0021, 0)</f>
        <v>61.008800000000001</v>
      </c>
      <c r="J578" s="17">
        <f>61.0067 * CHOOSE(CONTROL!$C$9, $D$9, 100%, $F$9) + CHOOSE(CONTROL!$C$27, 0.0021, 0)</f>
        <v>61.008800000000001</v>
      </c>
      <c r="K578" s="17">
        <f>61.0067 * CHOOSE(CONTROL!$C$9, $D$9, 100%, $F$9) + CHOOSE(CONTROL!$C$27, 0.0021, 0)</f>
        <v>61.008800000000001</v>
      </c>
      <c r="L578" s="17"/>
    </row>
    <row r="579" spans="1:12" ht="15.75" x14ac:dyDescent="0.25">
      <c r="A579" s="13">
        <v>58561</v>
      </c>
      <c r="B579" s="17">
        <f>60.58 * CHOOSE(CONTROL!$C$9, $D$9, 100%, $F$9) + CHOOSE(CONTROL!$C$27, 0.0021, 0)</f>
        <v>60.582099999999997</v>
      </c>
      <c r="C579" s="17">
        <f>60.1478 * CHOOSE(CONTROL!$C$9, $D$9, 100%, $F$9) + CHOOSE(CONTROL!$C$27, 0.0021, 0)</f>
        <v>60.149899999999995</v>
      </c>
      <c r="D579" s="17">
        <f>60.1478 * CHOOSE(CONTROL!$C$9, $D$9, 100%, $F$9) + CHOOSE(CONTROL!$C$27, 0.0021, 0)</f>
        <v>60.149899999999995</v>
      </c>
      <c r="E579" s="17">
        <f>60.0111 * CHOOSE(CONTROL!$C$9, $D$9, 100%, $F$9) + CHOOSE(CONTROL!$C$27, 0.0021, 0)</f>
        <v>60.013199999999998</v>
      </c>
      <c r="F579" s="17">
        <f>60.0111 * CHOOSE(CONTROL!$C$9, $D$9, 100%, $F$9) + CHOOSE(CONTROL!$C$27, 0.0021, 0)</f>
        <v>60.013199999999998</v>
      </c>
      <c r="G579" s="17">
        <f>60.2825 * CHOOSE(CONTROL!$C$9, $D$9, 100%, $F$9) + CHOOSE(CONTROL!$C$27, 0.0021, 0)</f>
        <v>60.284599999999998</v>
      </c>
      <c r="H579" s="17">
        <f>60.1478 * CHOOSE(CONTROL!$C$9, $D$9, 100%, $F$9) + CHOOSE(CONTROL!$C$27, 0.0021, 0)</f>
        <v>60.149899999999995</v>
      </c>
      <c r="I579" s="17">
        <f>60.1478 * CHOOSE(CONTROL!$C$9, $D$9, 100%, $F$9) + CHOOSE(CONTROL!$C$27, 0.0021, 0)</f>
        <v>60.149899999999995</v>
      </c>
      <c r="J579" s="17">
        <f>60.1478 * CHOOSE(CONTROL!$C$9, $D$9, 100%, $F$9) + CHOOSE(CONTROL!$C$27, 0.0021, 0)</f>
        <v>60.149899999999995</v>
      </c>
      <c r="K579" s="17">
        <f>60.1478 * CHOOSE(CONTROL!$C$9, $D$9, 100%, $F$9) + CHOOSE(CONTROL!$C$27, 0.0021, 0)</f>
        <v>60.149899999999995</v>
      </c>
      <c r="L579" s="17"/>
    </row>
    <row r="580" spans="1:12" ht="15.75" x14ac:dyDescent="0.25">
      <c r="A580" s="13">
        <v>58592</v>
      </c>
      <c r="B580" s="17">
        <f>61.8041 * CHOOSE(CONTROL!$C$9, $D$9, 100%, $F$9) + CHOOSE(CONTROL!$C$27, 0.0021, 0)</f>
        <v>61.806199999999997</v>
      </c>
      <c r="C580" s="17">
        <f>61.3719 * CHOOSE(CONTROL!$C$9, $D$9, 100%, $F$9) + CHOOSE(CONTROL!$C$27, 0.0021, 0)</f>
        <v>61.373999999999995</v>
      </c>
      <c r="D580" s="17">
        <f>61.3719 * CHOOSE(CONTROL!$C$9, $D$9, 100%, $F$9) + CHOOSE(CONTROL!$C$27, 0.0021, 0)</f>
        <v>61.373999999999995</v>
      </c>
      <c r="E580" s="17">
        <f>61.2352 * CHOOSE(CONTROL!$C$9, $D$9, 100%, $F$9) + CHOOSE(CONTROL!$C$27, 0.0021, 0)</f>
        <v>61.237299999999998</v>
      </c>
      <c r="F580" s="17">
        <f>61.2352 * CHOOSE(CONTROL!$C$9, $D$9, 100%, $F$9) + CHOOSE(CONTROL!$C$27, 0.0021, 0)</f>
        <v>61.237299999999998</v>
      </c>
      <c r="G580" s="17">
        <f>61.5066 * CHOOSE(CONTROL!$C$9, $D$9, 100%, $F$9) + CHOOSE(CONTROL!$C$27, 0.0021, 0)</f>
        <v>61.508699999999997</v>
      </c>
      <c r="H580" s="17">
        <f>61.3719 * CHOOSE(CONTROL!$C$9, $D$9, 100%, $F$9) + CHOOSE(CONTROL!$C$27, 0.0021, 0)</f>
        <v>61.373999999999995</v>
      </c>
      <c r="I580" s="17">
        <f>61.3719 * CHOOSE(CONTROL!$C$9, $D$9, 100%, $F$9) + CHOOSE(CONTROL!$C$27, 0.0021, 0)</f>
        <v>61.373999999999995</v>
      </c>
      <c r="J580" s="17">
        <f>61.3719 * CHOOSE(CONTROL!$C$9, $D$9, 100%, $F$9) + CHOOSE(CONTROL!$C$27, 0.0021, 0)</f>
        <v>61.373999999999995</v>
      </c>
      <c r="K580" s="17">
        <f>61.3719 * CHOOSE(CONTROL!$C$9, $D$9, 100%, $F$9) + CHOOSE(CONTROL!$C$27, 0.0021, 0)</f>
        <v>61.373999999999995</v>
      </c>
      <c r="L580" s="17"/>
    </row>
    <row r="581" spans="1:12" ht="15.75" x14ac:dyDescent="0.25">
      <c r="A581" s="13">
        <v>58622</v>
      </c>
      <c r="B581" s="17">
        <f>62.5373 * CHOOSE(CONTROL!$C$9, $D$9, 100%, $F$9) + CHOOSE(CONTROL!$C$27, 0.0021, 0)</f>
        <v>62.539400000000001</v>
      </c>
      <c r="C581" s="17">
        <f>62.105 * CHOOSE(CONTROL!$C$9, $D$9, 100%, $F$9) + CHOOSE(CONTROL!$C$27, 0.0021, 0)</f>
        <v>62.107099999999996</v>
      </c>
      <c r="D581" s="17">
        <f>62.105 * CHOOSE(CONTROL!$C$9, $D$9, 100%, $F$9) + CHOOSE(CONTROL!$C$27, 0.0021, 0)</f>
        <v>62.107099999999996</v>
      </c>
      <c r="E581" s="17">
        <f>61.9684 * CHOOSE(CONTROL!$C$9, $D$9, 100%, $F$9) + CHOOSE(CONTROL!$C$27, 0.0021, 0)</f>
        <v>61.970500000000001</v>
      </c>
      <c r="F581" s="17">
        <f>61.9684 * CHOOSE(CONTROL!$C$9, $D$9, 100%, $F$9) + CHOOSE(CONTROL!$C$27, 0.0021, 0)</f>
        <v>61.970500000000001</v>
      </c>
      <c r="G581" s="17">
        <f>62.2397 * CHOOSE(CONTROL!$C$9, $D$9, 100%, $F$9) + CHOOSE(CONTROL!$C$27, 0.0021, 0)</f>
        <v>62.241799999999998</v>
      </c>
      <c r="H581" s="17">
        <f>62.105 * CHOOSE(CONTROL!$C$9, $D$9, 100%, $F$9) + CHOOSE(CONTROL!$C$27, 0.0021, 0)</f>
        <v>62.107099999999996</v>
      </c>
      <c r="I581" s="17">
        <f>62.105 * CHOOSE(CONTROL!$C$9, $D$9, 100%, $F$9) + CHOOSE(CONTROL!$C$27, 0.0021, 0)</f>
        <v>62.107099999999996</v>
      </c>
      <c r="J581" s="17">
        <f>62.105 * CHOOSE(CONTROL!$C$9, $D$9, 100%, $F$9) + CHOOSE(CONTROL!$C$27, 0.0021, 0)</f>
        <v>62.107099999999996</v>
      </c>
      <c r="K581" s="17">
        <f>62.105 * CHOOSE(CONTROL!$C$9, $D$9, 100%, $F$9) + CHOOSE(CONTROL!$C$27, 0.0021, 0)</f>
        <v>62.107099999999996</v>
      </c>
      <c r="L581" s="17"/>
    </row>
    <row r="582" spans="1:12" ht="15.75" x14ac:dyDescent="0.25">
      <c r="A582" s="13">
        <v>58653</v>
      </c>
      <c r="B582" s="17">
        <f>63.7467 * CHOOSE(CONTROL!$C$9, $D$9, 100%, $F$9) + CHOOSE(CONTROL!$C$27, 0.0021, 0)</f>
        <v>63.748799999999996</v>
      </c>
      <c r="C582" s="17">
        <f>63.3145 * CHOOSE(CONTROL!$C$9, $D$9, 100%, $F$9) + CHOOSE(CONTROL!$C$27, 0.0021, 0)</f>
        <v>63.316600000000001</v>
      </c>
      <c r="D582" s="17">
        <f>63.3145 * CHOOSE(CONTROL!$C$9, $D$9, 100%, $F$9) + CHOOSE(CONTROL!$C$27, 0.0021, 0)</f>
        <v>63.316600000000001</v>
      </c>
      <c r="E582" s="17">
        <f>63.1778 * CHOOSE(CONTROL!$C$9, $D$9, 100%, $F$9) + CHOOSE(CONTROL!$C$27, 0.0021, 0)</f>
        <v>63.179899999999996</v>
      </c>
      <c r="F582" s="17">
        <f>63.1778 * CHOOSE(CONTROL!$C$9, $D$9, 100%, $F$9) + CHOOSE(CONTROL!$C$27, 0.0021, 0)</f>
        <v>63.179899999999996</v>
      </c>
      <c r="G582" s="17">
        <f>63.4492 * CHOOSE(CONTROL!$C$9, $D$9, 100%, $F$9) + CHOOSE(CONTROL!$C$27, 0.0021, 0)</f>
        <v>63.451299999999996</v>
      </c>
      <c r="H582" s="17">
        <f>63.3145 * CHOOSE(CONTROL!$C$9, $D$9, 100%, $F$9) + CHOOSE(CONTROL!$C$27, 0.0021, 0)</f>
        <v>63.316600000000001</v>
      </c>
      <c r="I582" s="17">
        <f>63.3145 * CHOOSE(CONTROL!$C$9, $D$9, 100%, $F$9) + CHOOSE(CONTROL!$C$27, 0.0021, 0)</f>
        <v>63.316600000000001</v>
      </c>
      <c r="J582" s="17">
        <f>63.3145 * CHOOSE(CONTROL!$C$9, $D$9, 100%, $F$9) + CHOOSE(CONTROL!$C$27, 0.0021, 0)</f>
        <v>63.316600000000001</v>
      </c>
      <c r="K582" s="17">
        <f>63.3145 * CHOOSE(CONTROL!$C$9, $D$9, 100%, $F$9) + CHOOSE(CONTROL!$C$27, 0.0021, 0)</f>
        <v>63.316600000000001</v>
      </c>
      <c r="L582" s="17"/>
    </row>
    <row r="583" spans="1:12" ht="15.75" x14ac:dyDescent="0.25">
      <c r="A583" s="13">
        <v>58684</v>
      </c>
      <c r="B583" s="17">
        <f>64.1159 * CHOOSE(CONTROL!$C$9, $D$9, 100%, $F$9) + CHOOSE(CONTROL!$C$27, 0.0021, 0)</f>
        <v>64.117999999999995</v>
      </c>
      <c r="C583" s="17">
        <f>63.6836 * CHOOSE(CONTROL!$C$9, $D$9, 100%, $F$9) + CHOOSE(CONTROL!$C$27, 0.0021, 0)</f>
        <v>63.685699999999997</v>
      </c>
      <c r="D583" s="17">
        <f>63.6836 * CHOOSE(CONTROL!$C$9, $D$9, 100%, $F$9) + CHOOSE(CONTROL!$C$27, 0.0021, 0)</f>
        <v>63.685699999999997</v>
      </c>
      <c r="E583" s="17">
        <f>63.547 * CHOOSE(CONTROL!$C$9, $D$9, 100%, $F$9) + CHOOSE(CONTROL!$C$27, 0.0021, 0)</f>
        <v>63.549099999999996</v>
      </c>
      <c r="F583" s="17">
        <f>63.547 * CHOOSE(CONTROL!$C$9, $D$9, 100%, $F$9) + CHOOSE(CONTROL!$C$27, 0.0021, 0)</f>
        <v>63.549099999999996</v>
      </c>
      <c r="G583" s="17">
        <f>63.8184 * CHOOSE(CONTROL!$C$9, $D$9, 100%, $F$9) + CHOOSE(CONTROL!$C$27, 0.0021, 0)</f>
        <v>63.820499999999996</v>
      </c>
      <c r="H583" s="17">
        <f>63.6836 * CHOOSE(CONTROL!$C$9, $D$9, 100%, $F$9) + CHOOSE(CONTROL!$C$27, 0.0021, 0)</f>
        <v>63.685699999999997</v>
      </c>
      <c r="I583" s="17">
        <f>63.6836 * CHOOSE(CONTROL!$C$9, $D$9, 100%, $F$9) + CHOOSE(CONTROL!$C$27, 0.0021, 0)</f>
        <v>63.685699999999997</v>
      </c>
      <c r="J583" s="17">
        <f>63.6836 * CHOOSE(CONTROL!$C$9, $D$9, 100%, $F$9) + CHOOSE(CONTROL!$C$27, 0.0021, 0)</f>
        <v>63.685699999999997</v>
      </c>
      <c r="K583" s="17">
        <f>63.6836 * CHOOSE(CONTROL!$C$9, $D$9, 100%, $F$9) + CHOOSE(CONTROL!$C$27, 0.0021, 0)</f>
        <v>63.685699999999997</v>
      </c>
      <c r="L583" s="17"/>
    </row>
    <row r="584" spans="1:12" ht="15.75" x14ac:dyDescent="0.25">
      <c r="A584" s="13">
        <v>58714</v>
      </c>
      <c r="B584" s="17">
        <f>65.3731 * CHOOSE(CONTROL!$C$9, $D$9, 100%, $F$9) + CHOOSE(CONTROL!$C$27, 0.0021, 0)</f>
        <v>65.375199999999992</v>
      </c>
      <c r="C584" s="17">
        <f>64.9408 * CHOOSE(CONTROL!$C$9, $D$9, 100%, $F$9) + CHOOSE(CONTROL!$C$27, 0.0021, 0)</f>
        <v>64.942899999999995</v>
      </c>
      <c r="D584" s="17">
        <f>64.9408 * CHOOSE(CONTROL!$C$9, $D$9, 100%, $F$9) + CHOOSE(CONTROL!$C$27, 0.0021, 0)</f>
        <v>64.942899999999995</v>
      </c>
      <c r="E584" s="17">
        <f>64.8042 * CHOOSE(CONTROL!$C$9, $D$9, 100%, $F$9) + CHOOSE(CONTROL!$C$27, 0.0021, 0)</f>
        <v>64.806299999999993</v>
      </c>
      <c r="F584" s="17">
        <f>64.8042 * CHOOSE(CONTROL!$C$9, $D$9, 100%, $F$9) + CHOOSE(CONTROL!$C$27, 0.0021, 0)</f>
        <v>64.806299999999993</v>
      </c>
      <c r="G584" s="17">
        <f>65.0755 * CHOOSE(CONTROL!$C$9, $D$9, 100%, $F$9) + CHOOSE(CONTROL!$C$27, 0.0021, 0)</f>
        <v>65.077600000000004</v>
      </c>
      <c r="H584" s="17">
        <f>64.9408 * CHOOSE(CONTROL!$C$9, $D$9, 100%, $F$9) + CHOOSE(CONTROL!$C$27, 0.0021, 0)</f>
        <v>64.942899999999995</v>
      </c>
      <c r="I584" s="17">
        <f>64.9408 * CHOOSE(CONTROL!$C$9, $D$9, 100%, $F$9) + CHOOSE(CONTROL!$C$27, 0.0021, 0)</f>
        <v>64.942899999999995</v>
      </c>
      <c r="J584" s="17">
        <f>64.9408 * CHOOSE(CONTROL!$C$9, $D$9, 100%, $F$9) + CHOOSE(CONTROL!$C$27, 0.0021, 0)</f>
        <v>64.942899999999995</v>
      </c>
      <c r="K584" s="17">
        <f>64.9408 * CHOOSE(CONTROL!$C$9, $D$9, 100%, $F$9) + CHOOSE(CONTROL!$C$27, 0.0021, 0)</f>
        <v>64.942899999999995</v>
      </c>
      <c r="L584" s="17"/>
    </row>
    <row r="585" spans="1:12" ht="15.75" x14ac:dyDescent="0.25">
      <c r="A585" s="13">
        <v>58745</v>
      </c>
      <c r="B585" s="17">
        <f>66.9644 * CHOOSE(CONTROL!$C$9, $D$9, 100%, $F$9) + CHOOSE(CONTROL!$C$27, 0.0021, 0)</f>
        <v>66.966499999999996</v>
      </c>
      <c r="C585" s="17">
        <f>66.5322 * CHOOSE(CONTROL!$C$9, $D$9, 100%, $F$9) + CHOOSE(CONTROL!$C$27, 0.0021, 0)</f>
        <v>66.534300000000002</v>
      </c>
      <c r="D585" s="17">
        <f>66.5322 * CHOOSE(CONTROL!$C$9, $D$9, 100%, $F$9) + CHOOSE(CONTROL!$C$27, 0.0021, 0)</f>
        <v>66.534300000000002</v>
      </c>
      <c r="E585" s="17">
        <f>66.3955 * CHOOSE(CONTROL!$C$9, $D$9, 100%, $F$9) + CHOOSE(CONTROL!$C$27, 0.0021, 0)</f>
        <v>66.397599999999997</v>
      </c>
      <c r="F585" s="17">
        <f>66.3955 * CHOOSE(CONTROL!$C$9, $D$9, 100%, $F$9) + CHOOSE(CONTROL!$C$27, 0.0021, 0)</f>
        <v>66.397599999999997</v>
      </c>
      <c r="G585" s="17">
        <f>66.6669 * CHOOSE(CONTROL!$C$9, $D$9, 100%, $F$9) + CHOOSE(CONTROL!$C$27, 0.0021, 0)</f>
        <v>66.668999999999997</v>
      </c>
      <c r="H585" s="17">
        <f>66.5322 * CHOOSE(CONTROL!$C$9, $D$9, 100%, $F$9) + CHOOSE(CONTROL!$C$27, 0.0021, 0)</f>
        <v>66.534300000000002</v>
      </c>
      <c r="I585" s="17">
        <f>66.5322 * CHOOSE(CONTROL!$C$9, $D$9, 100%, $F$9) + CHOOSE(CONTROL!$C$27, 0.0021, 0)</f>
        <v>66.534300000000002</v>
      </c>
      <c r="J585" s="17">
        <f>66.5322 * CHOOSE(CONTROL!$C$9, $D$9, 100%, $F$9) + CHOOSE(CONTROL!$C$27, 0.0021, 0)</f>
        <v>66.534300000000002</v>
      </c>
      <c r="K585" s="17">
        <f>66.5322 * CHOOSE(CONTROL!$C$9, $D$9, 100%, $F$9) + CHOOSE(CONTROL!$C$27, 0.0021, 0)</f>
        <v>66.534300000000002</v>
      </c>
      <c r="L585" s="17"/>
    </row>
    <row r="586" spans="1:12" ht="15.75" x14ac:dyDescent="0.25">
      <c r="A586" s="13">
        <v>58775</v>
      </c>
      <c r="B586" s="17">
        <f>67.1138 * CHOOSE(CONTROL!$C$9, $D$9, 100%, $F$9) + CHOOSE(CONTROL!$C$27, 0.0021, 0)</f>
        <v>67.115899999999996</v>
      </c>
      <c r="C586" s="17">
        <f>66.6816 * CHOOSE(CONTROL!$C$9, $D$9, 100%, $F$9) + CHOOSE(CONTROL!$C$27, 0.0021, 0)</f>
        <v>66.683700000000002</v>
      </c>
      <c r="D586" s="17">
        <f>66.6816 * CHOOSE(CONTROL!$C$9, $D$9, 100%, $F$9) + CHOOSE(CONTROL!$C$27, 0.0021, 0)</f>
        <v>66.683700000000002</v>
      </c>
      <c r="E586" s="17">
        <f>66.5449 * CHOOSE(CONTROL!$C$9, $D$9, 100%, $F$9) + CHOOSE(CONTROL!$C$27, 0.0021, 0)</f>
        <v>66.546999999999997</v>
      </c>
      <c r="F586" s="17">
        <f>66.5449 * CHOOSE(CONTROL!$C$9, $D$9, 100%, $F$9) + CHOOSE(CONTROL!$C$27, 0.0021, 0)</f>
        <v>66.546999999999997</v>
      </c>
      <c r="G586" s="17">
        <f>66.8163 * CHOOSE(CONTROL!$C$9, $D$9, 100%, $F$9) + CHOOSE(CONTROL!$C$27, 0.0021, 0)</f>
        <v>66.818399999999997</v>
      </c>
      <c r="H586" s="17">
        <f>66.6816 * CHOOSE(CONTROL!$C$9, $D$9, 100%, $F$9) + CHOOSE(CONTROL!$C$27, 0.0021, 0)</f>
        <v>66.683700000000002</v>
      </c>
      <c r="I586" s="17">
        <f>66.6816 * CHOOSE(CONTROL!$C$9, $D$9, 100%, $F$9) + CHOOSE(CONTROL!$C$27, 0.0021, 0)</f>
        <v>66.683700000000002</v>
      </c>
      <c r="J586" s="17">
        <f>66.6816 * CHOOSE(CONTROL!$C$9, $D$9, 100%, $F$9) + CHOOSE(CONTROL!$C$27, 0.0021, 0)</f>
        <v>66.683700000000002</v>
      </c>
      <c r="K586" s="17">
        <f>66.6816 * CHOOSE(CONTROL!$C$9, $D$9, 100%, $F$9) + CHOOSE(CONTROL!$C$27, 0.0021, 0)</f>
        <v>66.683700000000002</v>
      </c>
      <c r="L586" s="17"/>
    </row>
    <row r="587" spans="1:12" ht="15.75" x14ac:dyDescent="0.25">
      <c r="A587" s="13">
        <v>58806</v>
      </c>
      <c r="B587" s="17">
        <f>65.8428 * CHOOSE(CONTROL!$C$9, $D$9, 100%, $F$9) + CHOOSE(CONTROL!$C$27, 0.0021, 0)</f>
        <v>65.844899999999996</v>
      </c>
      <c r="C587" s="17">
        <f>65.4106 * CHOOSE(CONTROL!$C$9, $D$9, 100%, $F$9) + CHOOSE(CONTROL!$C$27, 0.0021, 0)</f>
        <v>65.412700000000001</v>
      </c>
      <c r="D587" s="17">
        <f>65.4106 * CHOOSE(CONTROL!$C$9, $D$9, 100%, $F$9) + CHOOSE(CONTROL!$C$27, 0.0021, 0)</f>
        <v>65.412700000000001</v>
      </c>
      <c r="E587" s="17">
        <f>65.2739 * CHOOSE(CONTROL!$C$9, $D$9, 100%, $F$9) + CHOOSE(CONTROL!$C$27, 0.0021, 0)</f>
        <v>65.275999999999996</v>
      </c>
      <c r="F587" s="17">
        <f>65.2739 * CHOOSE(CONTROL!$C$9, $D$9, 100%, $F$9) + CHOOSE(CONTROL!$C$27, 0.0021, 0)</f>
        <v>65.275999999999996</v>
      </c>
      <c r="G587" s="17">
        <f>65.5453 * CHOOSE(CONTROL!$C$9, $D$9, 100%, $F$9) + CHOOSE(CONTROL!$C$27, 0.0021, 0)</f>
        <v>65.547399999999996</v>
      </c>
      <c r="H587" s="17">
        <f>65.4106 * CHOOSE(CONTROL!$C$9, $D$9, 100%, $F$9) + CHOOSE(CONTROL!$C$27, 0.0021, 0)</f>
        <v>65.412700000000001</v>
      </c>
      <c r="I587" s="17">
        <f>65.4106 * CHOOSE(CONTROL!$C$9, $D$9, 100%, $F$9) + CHOOSE(CONTROL!$C$27, 0.0021, 0)</f>
        <v>65.412700000000001</v>
      </c>
      <c r="J587" s="17">
        <f>65.4106 * CHOOSE(CONTROL!$C$9, $D$9, 100%, $F$9) + CHOOSE(CONTROL!$C$27, 0.0021, 0)</f>
        <v>65.412700000000001</v>
      </c>
      <c r="K587" s="17">
        <f>65.4106 * CHOOSE(CONTROL!$C$9, $D$9, 100%, $F$9) + CHOOSE(CONTROL!$C$27, 0.0021, 0)</f>
        <v>65.412700000000001</v>
      </c>
      <c r="L587" s="17"/>
    </row>
    <row r="588" spans="1:12" ht="15.75" x14ac:dyDescent="0.25">
      <c r="A588" s="13">
        <v>58837</v>
      </c>
      <c r="B588" s="17">
        <f>65.0395 * CHOOSE(CONTROL!$C$9, $D$9, 100%, $F$9) + CHOOSE(CONTROL!$C$27, 0.0021, 0)</f>
        <v>65.041600000000003</v>
      </c>
      <c r="C588" s="17">
        <f>64.6073 * CHOOSE(CONTROL!$C$9, $D$9, 100%, $F$9) + CHOOSE(CONTROL!$C$27, 0.0021, 0)</f>
        <v>64.609399999999994</v>
      </c>
      <c r="D588" s="17">
        <f>64.6073 * CHOOSE(CONTROL!$C$9, $D$9, 100%, $F$9) + CHOOSE(CONTROL!$C$27, 0.0021, 0)</f>
        <v>64.609399999999994</v>
      </c>
      <c r="E588" s="17">
        <f>64.4706 * CHOOSE(CONTROL!$C$9, $D$9, 100%, $F$9) + CHOOSE(CONTROL!$C$27, 0.0021, 0)</f>
        <v>64.472700000000003</v>
      </c>
      <c r="F588" s="17">
        <f>64.4706 * CHOOSE(CONTROL!$C$9, $D$9, 100%, $F$9) + CHOOSE(CONTROL!$C$27, 0.0021, 0)</f>
        <v>64.472700000000003</v>
      </c>
      <c r="G588" s="17">
        <f>64.742 * CHOOSE(CONTROL!$C$9, $D$9, 100%, $F$9) + CHOOSE(CONTROL!$C$27, 0.0021, 0)</f>
        <v>64.744100000000003</v>
      </c>
      <c r="H588" s="17">
        <f>64.6073 * CHOOSE(CONTROL!$C$9, $D$9, 100%, $F$9) + CHOOSE(CONTROL!$C$27, 0.0021, 0)</f>
        <v>64.609399999999994</v>
      </c>
      <c r="I588" s="17">
        <f>64.6073 * CHOOSE(CONTROL!$C$9, $D$9, 100%, $F$9) + CHOOSE(CONTROL!$C$27, 0.0021, 0)</f>
        <v>64.609399999999994</v>
      </c>
      <c r="J588" s="17">
        <f>64.6073 * CHOOSE(CONTROL!$C$9, $D$9, 100%, $F$9) + CHOOSE(CONTROL!$C$27, 0.0021, 0)</f>
        <v>64.609399999999994</v>
      </c>
      <c r="K588" s="17">
        <f>64.6073 * CHOOSE(CONTROL!$C$9, $D$9, 100%, $F$9) + CHOOSE(CONTROL!$C$27, 0.0021, 0)</f>
        <v>64.609399999999994</v>
      </c>
      <c r="L588" s="17"/>
    </row>
    <row r="589" spans="1:12" ht="15.75" x14ac:dyDescent="0.25">
      <c r="A589" s="13">
        <v>58865</v>
      </c>
      <c r="B589" s="17">
        <f>63.2647 * CHOOSE(CONTROL!$C$9, $D$9, 100%, $F$9) + CHOOSE(CONTROL!$C$27, 0.0021, 0)</f>
        <v>63.266799999999996</v>
      </c>
      <c r="C589" s="17">
        <f>62.8324 * CHOOSE(CONTROL!$C$9, $D$9, 100%, $F$9) + CHOOSE(CONTROL!$C$27, 0.0021, 0)</f>
        <v>62.834499999999998</v>
      </c>
      <c r="D589" s="17">
        <f>62.8324 * CHOOSE(CONTROL!$C$9, $D$9, 100%, $F$9) + CHOOSE(CONTROL!$C$27, 0.0021, 0)</f>
        <v>62.834499999999998</v>
      </c>
      <c r="E589" s="17">
        <f>62.6958 * CHOOSE(CONTROL!$C$9, $D$9, 100%, $F$9) + CHOOSE(CONTROL!$C$27, 0.0021, 0)</f>
        <v>62.697899999999997</v>
      </c>
      <c r="F589" s="17">
        <f>62.6958 * CHOOSE(CONTROL!$C$9, $D$9, 100%, $F$9) + CHOOSE(CONTROL!$C$27, 0.0021, 0)</f>
        <v>62.697899999999997</v>
      </c>
      <c r="G589" s="17">
        <f>62.9671 * CHOOSE(CONTROL!$C$9, $D$9, 100%, $F$9) + CHOOSE(CONTROL!$C$27, 0.0021, 0)</f>
        <v>62.969200000000001</v>
      </c>
      <c r="H589" s="17">
        <f>62.8324 * CHOOSE(CONTROL!$C$9, $D$9, 100%, $F$9) + CHOOSE(CONTROL!$C$27, 0.0021, 0)</f>
        <v>62.834499999999998</v>
      </c>
      <c r="I589" s="17">
        <f>62.8324 * CHOOSE(CONTROL!$C$9, $D$9, 100%, $F$9) + CHOOSE(CONTROL!$C$27, 0.0021, 0)</f>
        <v>62.834499999999998</v>
      </c>
      <c r="J589" s="17">
        <f>62.8324 * CHOOSE(CONTROL!$C$9, $D$9, 100%, $F$9) + CHOOSE(CONTROL!$C$27, 0.0021, 0)</f>
        <v>62.834499999999998</v>
      </c>
      <c r="K589" s="17">
        <f>62.8324 * CHOOSE(CONTROL!$C$9, $D$9, 100%, $F$9) + CHOOSE(CONTROL!$C$27, 0.0021, 0)</f>
        <v>62.834499999999998</v>
      </c>
      <c r="L589" s="17"/>
    </row>
    <row r="590" spans="1:12" ht="15.75" x14ac:dyDescent="0.25">
      <c r="A590" s="13">
        <v>58893</v>
      </c>
      <c r="B590" s="17">
        <f>62.532 * CHOOSE(CONTROL!$C$9, $D$9, 100%, $F$9) + CHOOSE(CONTROL!$C$27, 0.0021, 0)</f>
        <v>62.534099999999995</v>
      </c>
      <c r="C590" s="17">
        <f>62.0998 * CHOOSE(CONTROL!$C$9, $D$9, 100%, $F$9) + CHOOSE(CONTROL!$C$27, 0.0021, 0)</f>
        <v>62.101900000000001</v>
      </c>
      <c r="D590" s="17">
        <f>62.0998 * CHOOSE(CONTROL!$C$9, $D$9, 100%, $F$9) + CHOOSE(CONTROL!$C$27, 0.0021, 0)</f>
        <v>62.101900000000001</v>
      </c>
      <c r="E590" s="17">
        <f>61.9631 * CHOOSE(CONTROL!$C$9, $D$9, 100%, $F$9) + CHOOSE(CONTROL!$C$27, 0.0021, 0)</f>
        <v>61.965199999999996</v>
      </c>
      <c r="F590" s="17">
        <f>61.9631 * CHOOSE(CONTROL!$C$9, $D$9, 100%, $F$9) + CHOOSE(CONTROL!$C$27, 0.0021, 0)</f>
        <v>61.965199999999996</v>
      </c>
      <c r="G590" s="17">
        <f>62.2345 * CHOOSE(CONTROL!$C$9, $D$9, 100%, $F$9) + CHOOSE(CONTROL!$C$27, 0.0021, 0)</f>
        <v>62.236599999999996</v>
      </c>
      <c r="H590" s="17">
        <f>62.0998 * CHOOSE(CONTROL!$C$9, $D$9, 100%, $F$9) + CHOOSE(CONTROL!$C$27, 0.0021, 0)</f>
        <v>62.101900000000001</v>
      </c>
      <c r="I590" s="17">
        <f>62.0998 * CHOOSE(CONTROL!$C$9, $D$9, 100%, $F$9) + CHOOSE(CONTROL!$C$27, 0.0021, 0)</f>
        <v>62.101900000000001</v>
      </c>
      <c r="J590" s="17">
        <f>62.0998 * CHOOSE(CONTROL!$C$9, $D$9, 100%, $F$9) + CHOOSE(CONTROL!$C$27, 0.0021, 0)</f>
        <v>62.101900000000001</v>
      </c>
      <c r="K590" s="17">
        <f>62.0998 * CHOOSE(CONTROL!$C$9, $D$9, 100%, $F$9) + CHOOSE(CONTROL!$C$27, 0.0021, 0)</f>
        <v>62.101900000000001</v>
      </c>
      <c r="L590" s="17"/>
    </row>
    <row r="591" spans="1:12" ht="15.75" x14ac:dyDescent="0.25">
      <c r="A591" s="13">
        <v>58926</v>
      </c>
      <c r="B591" s="17">
        <f>61.6572 * CHOOSE(CONTROL!$C$9, $D$9, 100%, $F$9) + CHOOSE(CONTROL!$C$27, 0.0021, 0)</f>
        <v>61.659300000000002</v>
      </c>
      <c r="C591" s="17">
        <f>61.225 * CHOOSE(CONTROL!$C$9, $D$9, 100%, $F$9) + CHOOSE(CONTROL!$C$27, 0.0021, 0)</f>
        <v>61.2271</v>
      </c>
      <c r="D591" s="17">
        <f>61.225 * CHOOSE(CONTROL!$C$9, $D$9, 100%, $F$9) + CHOOSE(CONTROL!$C$27, 0.0021, 0)</f>
        <v>61.2271</v>
      </c>
      <c r="E591" s="17">
        <f>61.0883 * CHOOSE(CONTROL!$C$9, $D$9, 100%, $F$9) + CHOOSE(CONTROL!$C$27, 0.0021, 0)</f>
        <v>61.090399999999995</v>
      </c>
      <c r="F591" s="17">
        <f>61.0883 * CHOOSE(CONTROL!$C$9, $D$9, 100%, $F$9) + CHOOSE(CONTROL!$C$27, 0.0021, 0)</f>
        <v>61.090399999999995</v>
      </c>
      <c r="G591" s="17">
        <f>61.3597 * CHOOSE(CONTROL!$C$9, $D$9, 100%, $F$9) + CHOOSE(CONTROL!$C$27, 0.0021, 0)</f>
        <v>61.361799999999995</v>
      </c>
      <c r="H591" s="17">
        <f>61.225 * CHOOSE(CONTROL!$C$9, $D$9, 100%, $F$9) + CHOOSE(CONTROL!$C$27, 0.0021, 0)</f>
        <v>61.2271</v>
      </c>
      <c r="I591" s="17">
        <f>61.225 * CHOOSE(CONTROL!$C$9, $D$9, 100%, $F$9) + CHOOSE(CONTROL!$C$27, 0.0021, 0)</f>
        <v>61.2271</v>
      </c>
      <c r="J591" s="17">
        <f>61.225 * CHOOSE(CONTROL!$C$9, $D$9, 100%, $F$9) + CHOOSE(CONTROL!$C$27, 0.0021, 0)</f>
        <v>61.2271</v>
      </c>
      <c r="K591" s="17">
        <f>61.225 * CHOOSE(CONTROL!$C$9, $D$9, 100%, $F$9) + CHOOSE(CONTROL!$C$27, 0.0021, 0)</f>
        <v>61.2271</v>
      </c>
      <c r="L591" s="17"/>
    </row>
    <row r="592" spans="1:12" ht="15.75" x14ac:dyDescent="0.25">
      <c r="A592" s="13">
        <v>58957</v>
      </c>
      <c r="B592" s="17">
        <f>62.9039 * CHOOSE(CONTROL!$C$9, $D$9, 100%, $F$9) + CHOOSE(CONTROL!$C$27, 0.0021, 0)</f>
        <v>62.905999999999999</v>
      </c>
      <c r="C592" s="17">
        <f>62.4717 * CHOOSE(CONTROL!$C$9, $D$9, 100%, $F$9) + CHOOSE(CONTROL!$C$27, 0.0021, 0)</f>
        <v>62.473799999999997</v>
      </c>
      <c r="D592" s="17">
        <f>62.4717 * CHOOSE(CONTROL!$C$9, $D$9, 100%, $F$9) + CHOOSE(CONTROL!$C$27, 0.0021, 0)</f>
        <v>62.473799999999997</v>
      </c>
      <c r="E592" s="17">
        <f>62.335 * CHOOSE(CONTROL!$C$9, $D$9, 100%, $F$9) + CHOOSE(CONTROL!$C$27, 0.0021, 0)</f>
        <v>62.3371</v>
      </c>
      <c r="F592" s="17">
        <f>62.335 * CHOOSE(CONTROL!$C$9, $D$9, 100%, $F$9) + CHOOSE(CONTROL!$C$27, 0.0021, 0)</f>
        <v>62.3371</v>
      </c>
      <c r="G592" s="17">
        <f>62.6064 * CHOOSE(CONTROL!$C$9, $D$9, 100%, $F$9) + CHOOSE(CONTROL!$C$27, 0.0021, 0)</f>
        <v>62.608499999999999</v>
      </c>
      <c r="H592" s="17">
        <f>62.4717 * CHOOSE(CONTROL!$C$9, $D$9, 100%, $F$9) + CHOOSE(CONTROL!$C$27, 0.0021, 0)</f>
        <v>62.473799999999997</v>
      </c>
      <c r="I592" s="17">
        <f>62.4717 * CHOOSE(CONTROL!$C$9, $D$9, 100%, $F$9) + CHOOSE(CONTROL!$C$27, 0.0021, 0)</f>
        <v>62.473799999999997</v>
      </c>
      <c r="J592" s="17">
        <f>62.4717 * CHOOSE(CONTROL!$C$9, $D$9, 100%, $F$9) + CHOOSE(CONTROL!$C$27, 0.0021, 0)</f>
        <v>62.473799999999997</v>
      </c>
      <c r="K592" s="17">
        <f>62.4717 * CHOOSE(CONTROL!$C$9, $D$9, 100%, $F$9) + CHOOSE(CONTROL!$C$27, 0.0021, 0)</f>
        <v>62.473799999999997</v>
      </c>
      <c r="L592" s="17"/>
    </row>
    <row r="593" spans="1:12" ht="15.75" x14ac:dyDescent="0.25">
      <c r="A593" s="13">
        <v>58987</v>
      </c>
      <c r="B593" s="17">
        <f>63.6506 * CHOOSE(CONTROL!$C$9, $D$9, 100%, $F$9) + CHOOSE(CONTROL!$C$27, 0.0021, 0)</f>
        <v>63.652699999999996</v>
      </c>
      <c r="C593" s="17">
        <f>63.2184 * CHOOSE(CONTROL!$C$9, $D$9, 100%, $F$9) + CHOOSE(CONTROL!$C$27, 0.0021, 0)</f>
        <v>63.220500000000001</v>
      </c>
      <c r="D593" s="17">
        <f>63.2184 * CHOOSE(CONTROL!$C$9, $D$9, 100%, $F$9) + CHOOSE(CONTROL!$C$27, 0.0021, 0)</f>
        <v>63.220500000000001</v>
      </c>
      <c r="E593" s="17">
        <f>63.0817 * CHOOSE(CONTROL!$C$9, $D$9, 100%, $F$9) + CHOOSE(CONTROL!$C$27, 0.0021, 0)</f>
        <v>63.083799999999997</v>
      </c>
      <c r="F593" s="17">
        <f>63.0817 * CHOOSE(CONTROL!$C$9, $D$9, 100%, $F$9) + CHOOSE(CONTROL!$C$27, 0.0021, 0)</f>
        <v>63.083799999999997</v>
      </c>
      <c r="G593" s="17">
        <f>63.3531 * CHOOSE(CONTROL!$C$9, $D$9, 100%, $F$9) + CHOOSE(CONTROL!$C$27, 0.0021, 0)</f>
        <v>63.355199999999996</v>
      </c>
      <c r="H593" s="17">
        <f>63.2184 * CHOOSE(CONTROL!$C$9, $D$9, 100%, $F$9) + CHOOSE(CONTROL!$C$27, 0.0021, 0)</f>
        <v>63.220500000000001</v>
      </c>
      <c r="I593" s="17">
        <f>63.2184 * CHOOSE(CONTROL!$C$9, $D$9, 100%, $F$9) + CHOOSE(CONTROL!$C$27, 0.0021, 0)</f>
        <v>63.220500000000001</v>
      </c>
      <c r="J593" s="17">
        <f>63.2184 * CHOOSE(CONTROL!$C$9, $D$9, 100%, $F$9) + CHOOSE(CONTROL!$C$27, 0.0021, 0)</f>
        <v>63.220500000000001</v>
      </c>
      <c r="K593" s="17">
        <f>63.2184 * CHOOSE(CONTROL!$C$9, $D$9, 100%, $F$9) + CHOOSE(CONTROL!$C$27, 0.0021, 0)</f>
        <v>63.220500000000001</v>
      </c>
      <c r="L593" s="17"/>
    </row>
    <row r="594" spans="1:12" ht="15.75" x14ac:dyDescent="0.25">
      <c r="A594" s="13">
        <v>59018</v>
      </c>
      <c r="B594" s="17">
        <f>64.8824 * CHOOSE(CONTROL!$C$9, $D$9, 100%, $F$9) + CHOOSE(CONTROL!$C$27, 0.0021, 0)</f>
        <v>64.884500000000003</v>
      </c>
      <c r="C594" s="17">
        <f>64.4502 * CHOOSE(CONTROL!$C$9, $D$9, 100%, $F$9) + CHOOSE(CONTROL!$C$27, 0.0021, 0)</f>
        <v>64.452299999999994</v>
      </c>
      <c r="D594" s="17">
        <f>64.4502 * CHOOSE(CONTROL!$C$9, $D$9, 100%, $F$9) + CHOOSE(CONTROL!$C$27, 0.0021, 0)</f>
        <v>64.452299999999994</v>
      </c>
      <c r="E594" s="17">
        <f>64.3135 * CHOOSE(CONTROL!$C$9, $D$9, 100%, $F$9) + CHOOSE(CONTROL!$C$27, 0.0021, 0)</f>
        <v>64.315600000000003</v>
      </c>
      <c r="F594" s="17">
        <f>64.3135 * CHOOSE(CONTROL!$C$9, $D$9, 100%, $F$9) + CHOOSE(CONTROL!$C$27, 0.0021, 0)</f>
        <v>64.315600000000003</v>
      </c>
      <c r="G594" s="17">
        <f>64.5849 * CHOOSE(CONTROL!$C$9, $D$9, 100%, $F$9) + CHOOSE(CONTROL!$C$27, 0.0021, 0)</f>
        <v>64.587000000000003</v>
      </c>
      <c r="H594" s="17">
        <f>64.4502 * CHOOSE(CONTROL!$C$9, $D$9, 100%, $F$9) + CHOOSE(CONTROL!$C$27, 0.0021, 0)</f>
        <v>64.452299999999994</v>
      </c>
      <c r="I594" s="17">
        <f>64.4502 * CHOOSE(CONTROL!$C$9, $D$9, 100%, $F$9) + CHOOSE(CONTROL!$C$27, 0.0021, 0)</f>
        <v>64.452299999999994</v>
      </c>
      <c r="J594" s="17">
        <f>64.4502 * CHOOSE(CONTROL!$C$9, $D$9, 100%, $F$9) + CHOOSE(CONTROL!$C$27, 0.0021, 0)</f>
        <v>64.452299999999994</v>
      </c>
      <c r="K594" s="17">
        <f>64.4502 * CHOOSE(CONTROL!$C$9, $D$9, 100%, $F$9) + CHOOSE(CONTROL!$C$27, 0.0021, 0)</f>
        <v>64.452299999999994</v>
      </c>
      <c r="L594" s="17"/>
    </row>
    <row r="595" spans="1:12" ht="15.75" x14ac:dyDescent="0.25">
      <c r="A595" s="13">
        <v>59049</v>
      </c>
      <c r="B595" s="17">
        <f>65.2584 * CHOOSE(CONTROL!$C$9, $D$9, 100%, $F$9) + CHOOSE(CONTROL!$C$27, 0.0021, 0)</f>
        <v>65.260499999999993</v>
      </c>
      <c r="C595" s="17">
        <f>64.8262 * CHOOSE(CONTROL!$C$9, $D$9, 100%, $F$9) + CHOOSE(CONTROL!$C$27, 0.0021, 0)</f>
        <v>64.828299999999999</v>
      </c>
      <c r="D595" s="17">
        <f>64.8262 * CHOOSE(CONTROL!$C$9, $D$9, 100%, $F$9) + CHOOSE(CONTROL!$C$27, 0.0021, 0)</f>
        <v>64.828299999999999</v>
      </c>
      <c r="E595" s="17">
        <f>64.6895 * CHOOSE(CONTROL!$C$9, $D$9, 100%, $F$9) + CHOOSE(CONTROL!$C$27, 0.0021, 0)</f>
        <v>64.691599999999994</v>
      </c>
      <c r="F595" s="17">
        <f>64.6895 * CHOOSE(CONTROL!$C$9, $D$9, 100%, $F$9) + CHOOSE(CONTROL!$C$27, 0.0021, 0)</f>
        <v>64.691599999999994</v>
      </c>
      <c r="G595" s="17">
        <f>64.9609 * CHOOSE(CONTROL!$C$9, $D$9, 100%, $F$9) + CHOOSE(CONTROL!$C$27, 0.0021, 0)</f>
        <v>64.962999999999994</v>
      </c>
      <c r="H595" s="17">
        <f>64.8262 * CHOOSE(CONTROL!$C$9, $D$9, 100%, $F$9) + CHOOSE(CONTROL!$C$27, 0.0021, 0)</f>
        <v>64.828299999999999</v>
      </c>
      <c r="I595" s="17">
        <f>64.8262 * CHOOSE(CONTROL!$C$9, $D$9, 100%, $F$9) + CHOOSE(CONTROL!$C$27, 0.0021, 0)</f>
        <v>64.828299999999999</v>
      </c>
      <c r="J595" s="17">
        <f>64.8262 * CHOOSE(CONTROL!$C$9, $D$9, 100%, $F$9) + CHOOSE(CONTROL!$C$27, 0.0021, 0)</f>
        <v>64.828299999999999</v>
      </c>
      <c r="K595" s="17">
        <f>64.8262 * CHOOSE(CONTROL!$C$9, $D$9, 100%, $F$9) + CHOOSE(CONTROL!$C$27, 0.0021, 0)</f>
        <v>64.828299999999999</v>
      </c>
      <c r="L595" s="17"/>
    </row>
    <row r="596" spans="1:12" ht="15.75" x14ac:dyDescent="0.25">
      <c r="A596" s="13">
        <v>59079</v>
      </c>
      <c r="B596" s="17">
        <f>66.5388 * CHOOSE(CONTROL!$C$9, $D$9, 100%, $F$9) + CHOOSE(CONTROL!$C$27, 0.0021, 0)</f>
        <v>66.540899999999993</v>
      </c>
      <c r="C596" s="17">
        <f>66.1066 * CHOOSE(CONTROL!$C$9, $D$9, 100%, $F$9) + CHOOSE(CONTROL!$C$27, 0.0021, 0)</f>
        <v>66.108699999999999</v>
      </c>
      <c r="D596" s="17">
        <f>66.1066 * CHOOSE(CONTROL!$C$9, $D$9, 100%, $F$9) + CHOOSE(CONTROL!$C$27, 0.0021, 0)</f>
        <v>66.108699999999999</v>
      </c>
      <c r="E596" s="17">
        <f>65.9699 * CHOOSE(CONTROL!$C$9, $D$9, 100%, $F$9) + CHOOSE(CONTROL!$C$27, 0.0021, 0)</f>
        <v>65.971999999999994</v>
      </c>
      <c r="F596" s="17">
        <f>65.9699 * CHOOSE(CONTROL!$C$9, $D$9, 100%, $F$9) + CHOOSE(CONTROL!$C$27, 0.0021, 0)</f>
        <v>65.971999999999994</v>
      </c>
      <c r="G596" s="17">
        <f>66.2413 * CHOOSE(CONTROL!$C$9, $D$9, 100%, $F$9) + CHOOSE(CONTROL!$C$27, 0.0021, 0)</f>
        <v>66.243399999999994</v>
      </c>
      <c r="H596" s="17">
        <f>66.1066 * CHOOSE(CONTROL!$C$9, $D$9, 100%, $F$9) + CHOOSE(CONTROL!$C$27, 0.0021, 0)</f>
        <v>66.108699999999999</v>
      </c>
      <c r="I596" s="17">
        <f>66.1066 * CHOOSE(CONTROL!$C$9, $D$9, 100%, $F$9) + CHOOSE(CONTROL!$C$27, 0.0021, 0)</f>
        <v>66.108699999999999</v>
      </c>
      <c r="J596" s="17">
        <f>66.1066 * CHOOSE(CONTROL!$C$9, $D$9, 100%, $F$9) + CHOOSE(CONTROL!$C$27, 0.0021, 0)</f>
        <v>66.108699999999999</v>
      </c>
      <c r="K596" s="17">
        <f>66.1066 * CHOOSE(CONTROL!$C$9, $D$9, 100%, $F$9) + CHOOSE(CONTROL!$C$27, 0.0021, 0)</f>
        <v>66.108699999999999</v>
      </c>
      <c r="L596" s="17"/>
    </row>
    <row r="597" spans="1:12" ht="15.75" x14ac:dyDescent="0.25">
      <c r="A597" s="13">
        <v>59110</v>
      </c>
      <c r="B597" s="17">
        <f>68.1596 * CHOOSE(CONTROL!$C$9, $D$9, 100%, $F$9) + CHOOSE(CONTROL!$C$27, 0.0021, 0)</f>
        <v>68.161699999999996</v>
      </c>
      <c r="C597" s="17">
        <f>67.7274 * CHOOSE(CONTROL!$C$9, $D$9, 100%, $F$9) + CHOOSE(CONTROL!$C$27, 0.0021, 0)</f>
        <v>67.729500000000002</v>
      </c>
      <c r="D597" s="17">
        <f>67.7274 * CHOOSE(CONTROL!$C$9, $D$9, 100%, $F$9) + CHOOSE(CONTROL!$C$27, 0.0021, 0)</f>
        <v>67.729500000000002</v>
      </c>
      <c r="E597" s="17">
        <f>67.5907 * CHOOSE(CONTROL!$C$9, $D$9, 100%, $F$9) + CHOOSE(CONTROL!$C$27, 0.0021, 0)</f>
        <v>67.592799999999997</v>
      </c>
      <c r="F597" s="17">
        <f>67.5907 * CHOOSE(CONTROL!$C$9, $D$9, 100%, $F$9) + CHOOSE(CONTROL!$C$27, 0.0021, 0)</f>
        <v>67.592799999999997</v>
      </c>
      <c r="G597" s="17">
        <f>67.8621 * CHOOSE(CONTROL!$C$9, $D$9, 100%, $F$9) + CHOOSE(CONTROL!$C$27, 0.0021, 0)</f>
        <v>67.864199999999997</v>
      </c>
      <c r="H597" s="17">
        <f>67.7274 * CHOOSE(CONTROL!$C$9, $D$9, 100%, $F$9) + CHOOSE(CONTROL!$C$27, 0.0021, 0)</f>
        <v>67.729500000000002</v>
      </c>
      <c r="I597" s="17">
        <f>67.7274 * CHOOSE(CONTROL!$C$9, $D$9, 100%, $F$9) + CHOOSE(CONTROL!$C$27, 0.0021, 0)</f>
        <v>67.729500000000002</v>
      </c>
      <c r="J597" s="17">
        <f>67.7274 * CHOOSE(CONTROL!$C$9, $D$9, 100%, $F$9) + CHOOSE(CONTROL!$C$27, 0.0021, 0)</f>
        <v>67.729500000000002</v>
      </c>
      <c r="K597" s="17">
        <f>67.7274 * CHOOSE(CONTROL!$C$9, $D$9, 100%, $F$9) + CHOOSE(CONTROL!$C$27, 0.0021, 0)</f>
        <v>67.729500000000002</v>
      </c>
      <c r="L597" s="17"/>
    </row>
    <row r="598" spans="1:12" ht="15.75" x14ac:dyDescent="0.25">
      <c r="A598" s="13">
        <v>59140</v>
      </c>
      <c r="B598" s="17">
        <f>68.3118 * CHOOSE(CONTROL!$C$9, $D$9, 100%, $F$9) + CHOOSE(CONTROL!$C$27, 0.0021, 0)</f>
        <v>68.313900000000004</v>
      </c>
      <c r="C598" s="17">
        <f>67.8795 * CHOOSE(CONTROL!$C$9, $D$9, 100%, $F$9) + CHOOSE(CONTROL!$C$27, 0.0021, 0)</f>
        <v>67.881599999999992</v>
      </c>
      <c r="D598" s="17">
        <f>67.8795 * CHOOSE(CONTROL!$C$9, $D$9, 100%, $F$9) + CHOOSE(CONTROL!$C$27, 0.0021, 0)</f>
        <v>67.881599999999992</v>
      </c>
      <c r="E598" s="17">
        <f>67.7429 * CHOOSE(CONTROL!$C$9, $D$9, 100%, $F$9) + CHOOSE(CONTROL!$C$27, 0.0021, 0)</f>
        <v>67.745000000000005</v>
      </c>
      <c r="F598" s="17">
        <f>67.7429 * CHOOSE(CONTROL!$C$9, $D$9, 100%, $F$9) + CHOOSE(CONTROL!$C$27, 0.0021, 0)</f>
        <v>67.745000000000005</v>
      </c>
      <c r="G598" s="17">
        <f>68.0143 * CHOOSE(CONTROL!$C$9, $D$9, 100%, $F$9) + CHOOSE(CONTROL!$C$27, 0.0021, 0)</f>
        <v>68.016400000000004</v>
      </c>
      <c r="H598" s="17">
        <f>67.8795 * CHOOSE(CONTROL!$C$9, $D$9, 100%, $F$9) + CHOOSE(CONTROL!$C$27, 0.0021, 0)</f>
        <v>67.881599999999992</v>
      </c>
      <c r="I598" s="17">
        <f>67.8795 * CHOOSE(CONTROL!$C$9, $D$9, 100%, $F$9) + CHOOSE(CONTROL!$C$27, 0.0021, 0)</f>
        <v>67.881599999999992</v>
      </c>
      <c r="J598" s="17">
        <f>67.8795 * CHOOSE(CONTROL!$C$9, $D$9, 100%, $F$9) + CHOOSE(CONTROL!$C$27, 0.0021, 0)</f>
        <v>67.881599999999992</v>
      </c>
      <c r="K598" s="17">
        <f>67.8795 * CHOOSE(CONTROL!$C$9, $D$9, 100%, $F$9) + CHOOSE(CONTROL!$C$27, 0.0021, 0)</f>
        <v>67.881599999999992</v>
      </c>
      <c r="L598" s="17"/>
    </row>
    <row r="599" spans="1:12" ht="15.75" x14ac:dyDescent="0.25">
      <c r="A599" s="13">
        <v>59171</v>
      </c>
      <c r="B599" s="17">
        <f>67.0173 * CHOOSE(CONTROL!$C$9, $D$9, 100%, $F$9) + CHOOSE(CONTROL!$C$27, 0.0021, 0)</f>
        <v>67.019400000000005</v>
      </c>
      <c r="C599" s="17">
        <f>66.5851 * CHOOSE(CONTROL!$C$9, $D$9, 100%, $F$9) + CHOOSE(CONTROL!$C$27, 0.0021, 0)</f>
        <v>66.587199999999996</v>
      </c>
      <c r="D599" s="17">
        <f>66.5851 * CHOOSE(CONTROL!$C$9, $D$9, 100%, $F$9) + CHOOSE(CONTROL!$C$27, 0.0021, 0)</f>
        <v>66.587199999999996</v>
      </c>
      <c r="E599" s="17">
        <f>66.4484 * CHOOSE(CONTROL!$C$9, $D$9, 100%, $F$9) + CHOOSE(CONTROL!$C$27, 0.0021, 0)</f>
        <v>66.450500000000005</v>
      </c>
      <c r="F599" s="17">
        <f>66.4484 * CHOOSE(CONTROL!$C$9, $D$9, 100%, $F$9) + CHOOSE(CONTROL!$C$27, 0.0021, 0)</f>
        <v>66.450500000000005</v>
      </c>
      <c r="G599" s="17">
        <f>66.7198 * CHOOSE(CONTROL!$C$9, $D$9, 100%, $F$9) + CHOOSE(CONTROL!$C$27, 0.0021, 0)</f>
        <v>66.721900000000005</v>
      </c>
      <c r="H599" s="17">
        <f>66.5851 * CHOOSE(CONTROL!$C$9, $D$9, 100%, $F$9) + CHOOSE(CONTROL!$C$27, 0.0021, 0)</f>
        <v>66.587199999999996</v>
      </c>
      <c r="I599" s="17">
        <f>66.5851 * CHOOSE(CONTROL!$C$9, $D$9, 100%, $F$9) + CHOOSE(CONTROL!$C$27, 0.0021, 0)</f>
        <v>66.587199999999996</v>
      </c>
      <c r="J599" s="17">
        <f>66.5851 * CHOOSE(CONTROL!$C$9, $D$9, 100%, $F$9) + CHOOSE(CONTROL!$C$27, 0.0021, 0)</f>
        <v>66.587199999999996</v>
      </c>
      <c r="K599" s="17">
        <f>66.5851 * CHOOSE(CONTROL!$C$9, $D$9, 100%, $F$9) + CHOOSE(CONTROL!$C$27, 0.0021, 0)</f>
        <v>66.587199999999996</v>
      </c>
      <c r="L599" s="17"/>
    </row>
    <row r="600" spans="1:12" ht="15" x14ac:dyDescent="0.2">
      <c r="A600" s="12"/>
      <c r="B600" s="17"/>
      <c r="C600" s="17"/>
      <c r="D600" s="17"/>
      <c r="E600" s="17"/>
      <c r="F600" s="17"/>
      <c r="G600" s="17"/>
      <c r="H600" s="17"/>
      <c r="I600" s="17"/>
      <c r="L600" s="17"/>
    </row>
    <row r="601" spans="1:12" ht="15" x14ac:dyDescent="0.2">
      <c r="A601" s="11">
        <v>2013</v>
      </c>
      <c r="B601" s="17">
        <f>AVERAGE(B12:B23)</f>
        <v>23.920268678876422</v>
      </c>
      <c r="C601" s="17">
        <f>AVERAGE(C12:C23)</f>
        <v>23.488006929305218</v>
      </c>
      <c r="D601" s="17"/>
      <c r="E601" s="17">
        <f t="shared" ref="E601:K601" si="0">AVERAGE(E12:E23)</f>
        <v>23.351367306663715</v>
      </c>
      <c r="F601" s="17">
        <f t="shared" si="0"/>
        <v>23.351367306663715</v>
      </c>
      <c r="G601" s="17">
        <f t="shared" si="0"/>
        <v>23.622736174588237</v>
      </c>
      <c r="H601" s="17">
        <f t="shared" si="0"/>
        <v>23.488006929305218</v>
      </c>
      <c r="I601" s="17">
        <f t="shared" si="0"/>
        <v>23.488006929305218</v>
      </c>
      <c r="J601" s="17">
        <f t="shared" si="0"/>
        <v>23.127797137995909</v>
      </c>
      <c r="K601" s="17">
        <f t="shared" si="0"/>
        <v>23.488006929305218</v>
      </c>
      <c r="L601" s="17"/>
    </row>
    <row r="602" spans="1:12" ht="15" x14ac:dyDescent="0.2">
      <c r="A602" s="11">
        <v>2014</v>
      </c>
      <c r="B602" s="17">
        <f>AVERAGE(B24:B35)</f>
        <v>23.093391666666662</v>
      </c>
      <c r="C602" s="17">
        <f>AVERAGE(C24:C35)</f>
        <v>22.661150000000003</v>
      </c>
      <c r="D602" s="17"/>
      <c r="E602" s="17">
        <f t="shared" ref="E602:K602" si="1">AVERAGE(E24:E35)</f>
        <v>22.524491666666666</v>
      </c>
      <c r="F602" s="17">
        <f t="shared" si="1"/>
        <v>22.524491666666666</v>
      </c>
      <c r="G602" s="17">
        <f t="shared" si="1"/>
        <v>22.795858333333332</v>
      </c>
      <c r="H602" s="17">
        <f t="shared" si="1"/>
        <v>22.661150000000003</v>
      </c>
      <c r="I602" s="17">
        <f t="shared" si="1"/>
        <v>22.661150000000003</v>
      </c>
      <c r="J602" s="17">
        <f t="shared" si="1"/>
        <v>22.300941666666663</v>
      </c>
      <c r="K602" s="17">
        <f t="shared" si="1"/>
        <v>22.661150000000003</v>
      </c>
      <c r="L602" s="17"/>
    </row>
    <row r="603" spans="1:12" ht="15" x14ac:dyDescent="0.2">
      <c r="A603" s="11">
        <v>2015</v>
      </c>
      <c r="B603" s="17">
        <f>AVERAGE(B36:B47)</f>
        <v>22.332158333333329</v>
      </c>
      <c r="C603" s="17">
        <f>AVERAGE(C36:C47)</f>
        <v>21.899916666666666</v>
      </c>
      <c r="D603" s="17"/>
      <c r="E603" s="17">
        <f t="shared" ref="E603:K603" si="2">AVERAGE(E36:E47)</f>
        <v>21.763249999999999</v>
      </c>
      <c r="F603" s="17">
        <f t="shared" si="2"/>
        <v>21.763249999999999</v>
      </c>
      <c r="G603" s="17">
        <f t="shared" si="2"/>
        <v>22.034625000000002</v>
      </c>
      <c r="H603" s="17">
        <f t="shared" si="2"/>
        <v>21.899916666666666</v>
      </c>
      <c r="I603" s="17">
        <f t="shared" si="2"/>
        <v>21.899916666666666</v>
      </c>
      <c r="J603" s="17">
        <f t="shared" si="2"/>
        <v>21.899916666666666</v>
      </c>
      <c r="K603" s="17">
        <f t="shared" si="2"/>
        <v>21.899916666666666</v>
      </c>
      <c r="L603" s="17"/>
    </row>
    <row r="604" spans="1:12" ht="15" x14ac:dyDescent="0.2">
      <c r="A604" s="11">
        <v>2016</v>
      </c>
      <c r="B604" s="17">
        <f>AVERAGE(B48:B59)</f>
        <v>23.108341666666664</v>
      </c>
      <c r="C604" s="17">
        <f>AVERAGE(C48:C59)</f>
        <v>22.676058333333334</v>
      </c>
      <c r="D604" s="17"/>
      <c r="E604" s="17">
        <f t="shared" ref="E604:K604" si="3">AVERAGE(E48:E59)</f>
        <v>22.539433333333331</v>
      </c>
      <c r="F604" s="17">
        <f t="shared" si="3"/>
        <v>22.539433333333331</v>
      </c>
      <c r="G604" s="17">
        <f t="shared" si="3"/>
        <v>22.810758333333329</v>
      </c>
      <c r="H604" s="17">
        <f t="shared" si="3"/>
        <v>22.676058333333334</v>
      </c>
      <c r="I604" s="17">
        <f t="shared" si="3"/>
        <v>22.676058333333334</v>
      </c>
      <c r="J604" s="17">
        <f t="shared" si="3"/>
        <v>22.676058333333334</v>
      </c>
      <c r="K604" s="17">
        <f t="shared" si="3"/>
        <v>22.676058333333334</v>
      </c>
      <c r="L604" s="17"/>
    </row>
    <row r="605" spans="1:12" ht="15" x14ac:dyDescent="0.2">
      <c r="A605" s="11">
        <v>2017</v>
      </c>
      <c r="B605" s="17">
        <f>AVERAGE(B60:B71)</f>
        <v>23.611891666666668</v>
      </c>
      <c r="C605" s="17">
        <f>AVERAGE(C60:C71)</f>
        <v>23.179641666666669</v>
      </c>
      <c r="D605" s="17"/>
      <c r="E605" s="17">
        <f t="shared" ref="E605:K605" si="4">AVERAGE(E60:E71)</f>
        <v>23.042991666666666</v>
      </c>
      <c r="F605" s="17">
        <f t="shared" si="4"/>
        <v>23.042991666666666</v>
      </c>
      <c r="G605" s="17">
        <f t="shared" si="4"/>
        <v>23.314374999999995</v>
      </c>
      <c r="H605" s="17">
        <f t="shared" si="4"/>
        <v>23.179641666666669</v>
      </c>
      <c r="I605" s="17">
        <f t="shared" si="4"/>
        <v>23.179641666666669</v>
      </c>
      <c r="J605" s="17">
        <f t="shared" si="4"/>
        <v>23.179641666666669</v>
      </c>
      <c r="K605" s="17">
        <f t="shared" si="4"/>
        <v>23.179641666666669</v>
      </c>
      <c r="L605" s="17"/>
    </row>
    <row r="606" spans="1:12" ht="15" x14ac:dyDescent="0.2">
      <c r="A606" s="11">
        <v>2018</v>
      </c>
      <c r="B606" s="17">
        <f>AVERAGE(B72:B83)</f>
        <v>25.297425</v>
      </c>
      <c r="C606" s="17">
        <f>AVERAGE(C72:C83)</f>
        <v>24.865174999999997</v>
      </c>
      <c r="D606" s="17"/>
      <c r="E606" s="17">
        <f t="shared" ref="E606:K606" si="5">AVERAGE(E72:E83)</f>
        <v>24.728516666666668</v>
      </c>
      <c r="F606" s="17">
        <f t="shared" si="5"/>
        <v>24.728516666666668</v>
      </c>
      <c r="G606" s="17">
        <f t="shared" si="5"/>
        <v>24.999883333333333</v>
      </c>
      <c r="H606" s="17">
        <f t="shared" si="5"/>
        <v>24.865174999999997</v>
      </c>
      <c r="I606" s="17">
        <f t="shared" si="5"/>
        <v>24.865174999999997</v>
      </c>
      <c r="J606" s="17">
        <f t="shared" si="5"/>
        <v>24.865174999999997</v>
      </c>
      <c r="K606" s="17">
        <f t="shared" si="5"/>
        <v>24.865174999999997</v>
      </c>
      <c r="L606" s="17"/>
    </row>
    <row r="607" spans="1:12" ht="15" x14ac:dyDescent="0.2">
      <c r="A607" s="11">
        <v>2019</v>
      </c>
      <c r="B607" s="17">
        <f>AVERAGE(B84:B95)</f>
        <v>25.93620833333333</v>
      </c>
      <c r="C607" s="17">
        <f>AVERAGE(C84:C95)</f>
        <v>25.503941666666663</v>
      </c>
      <c r="D607" s="17"/>
      <c r="E607" s="17">
        <f t="shared" ref="E607:K607" si="6">AVERAGE(E84:E95)</f>
        <v>25.36730833333333</v>
      </c>
      <c r="F607" s="17">
        <f t="shared" si="6"/>
        <v>25.36730833333333</v>
      </c>
      <c r="G607" s="17">
        <f t="shared" si="6"/>
        <v>25.6387</v>
      </c>
      <c r="H607" s="17">
        <f t="shared" si="6"/>
        <v>25.503941666666663</v>
      </c>
      <c r="I607" s="17">
        <f t="shared" si="6"/>
        <v>25.503941666666663</v>
      </c>
      <c r="J607" s="17">
        <f t="shared" si="6"/>
        <v>25.503941666666663</v>
      </c>
      <c r="K607" s="17">
        <f t="shared" si="6"/>
        <v>25.503941666666663</v>
      </c>
      <c r="L607" s="17"/>
    </row>
    <row r="608" spans="1:12" ht="15" x14ac:dyDescent="0.2">
      <c r="A608" s="11">
        <v>2020</v>
      </c>
      <c r="B608" s="17">
        <f>AVERAGE(B96:B107)</f>
        <v>26.725766666666662</v>
      </c>
      <c r="C608" s="17">
        <f>AVERAGE(C96:C107)</f>
        <v>26.293541666666666</v>
      </c>
      <c r="D608" s="17"/>
      <c r="E608" s="17">
        <f t="shared" ref="E608:K608" si="7">AVERAGE(E96:E107)</f>
        <v>26.156866666666662</v>
      </c>
      <c r="F608" s="17">
        <f t="shared" si="7"/>
        <v>26.156866666666662</v>
      </c>
      <c r="G608" s="17">
        <f t="shared" si="7"/>
        <v>26.428249999999995</v>
      </c>
      <c r="H608" s="17">
        <f t="shared" si="7"/>
        <v>26.293541666666666</v>
      </c>
      <c r="I608" s="17">
        <f t="shared" si="7"/>
        <v>26.293541666666666</v>
      </c>
      <c r="J608" s="17">
        <f t="shared" si="7"/>
        <v>26.293541666666666</v>
      </c>
      <c r="K608" s="17">
        <f t="shared" si="7"/>
        <v>26.293541666666666</v>
      </c>
      <c r="L608" s="17"/>
    </row>
    <row r="609" spans="1:12" ht="15" x14ac:dyDescent="0.2">
      <c r="A609" s="11">
        <v>2021</v>
      </c>
      <c r="B609" s="17">
        <f>AVERAGE(B108:B119)</f>
        <v>28.087624999999999</v>
      </c>
      <c r="C609" s="17">
        <f>AVERAGE(C108:C119)</f>
        <v>27.655391666666663</v>
      </c>
      <c r="D609" s="17"/>
      <c r="E609" s="17">
        <f t="shared" ref="E609:K609" si="8">AVERAGE(E108:E119)</f>
        <v>27.518716666666666</v>
      </c>
      <c r="F609" s="17">
        <f t="shared" si="8"/>
        <v>27.518716666666666</v>
      </c>
      <c r="G609" s="17">
        <f t="shared" si="8"/>
        <v>27.790091666666665</v>
      </c>
      <c r="H609" s="17">
        <f t="shared" si="8"/>
        <v>27.655391666666663</v>
      </c>
      <c r="I609" s="17">
        <f t="shared" si="8"/>
        <v>27.655391666666663</v>
      </c>
      <c r="J609" s="17">
        <f t="shared" si="8"/>
        <v>27.655391666666663</v>
      </c>
      <c r="K609" s="17">
        <f t="shared" si="8"/>
        <v>27.655391666666663</v>
      </c>
      <c r="L609" s="17"/>
    </row>
    <row r="610" spans="1:12" ht="15" x14ac:dyDescent="0.2">
      <c r="A610" s="11">
        <v>2022</v>
      </c>
      <c r="B610" s="17">
        <f>AVERAGE(B120:B131)</f>
        <v>29.552125</v>
      </c>
      <c r="C610" s="17">
        <f>AVERAGE(C120:C131)</f>
        <v>29.119891666666671</v>
      </c>
      <c r="D610" s="17"/>
      <c r="E610" s="17">
        <f t="shared" ref="E610:K610" si="9">AVERAGE(E120:E131)</f>
        <v>28.983208333333334</v>
      </c>
      <c r="F610" s="17">
        <f t="shared" si="9"/>
        <v>28.983208333333334</v>
      </c>
      <c r="G610" s="17">
        <f t="shared" si="9"/>
        <v>29.254599999999993</v>
      </c>
      <c r="H610" s="17">
        <f t="shared" si="9"/>
        <v>29.119891666666671</v>
      </c>
      <c r="I610" s="17">
        <f t="shared" si="9"/>
        <v>29.119891666666671</v>
      </c>
      <c r="J610" s="17">
        <f t="shared" si="9"/>
        <v>29.119891666666671</v>
      </c>
      <c r="K610" s="17">
        <f t="shared" si="9"/>
        <v>29.119891666666671</v>
      </c>
      <c r="L610" s="17"/>
    </row>
    <row r="611" spans="1:12" ht="15" x14ac:dyDescent="0.2">
      <c r="A611" s="11">
        <v>2023</v>
      </c>
      <c r="B611" s="17">
        <f>AVERAGE(B132:B143)</f>
        <v>30.982941666666665</v>
      </c>
      <c r="C611" s="17">
        <f>AVERAGE(C132:C143)</f>
        <v>30.550699999999996</v>
      </c>
      <c r="D611" s="17"/>
      <c r="E611" s="17">
        <f t="shared" ref="E611:K611" si="10">AVERAGE(E132:E143)</f>
        <v>30.414041666666659</v>
      </c>
      <c r="F611" s="17">
        <f t="shared" si="10"/>
        <v>30.414041666666659</v>
      </c>
      <c r="G611" s="17">
        <f t="shared" si="10"/>
        <v>30.685416666666669</v>
      </c>
      <c r="H611" s="17">
        <f t="shared" si="10"/>
        <v>30.550699999999996</v>
      </c>
      <c r="I611" s="17">
        <f t="shared" si="10"/>
        <v>30.550699999999996</v>
      </c>
      <c r="J611" s="17">
        <f t="shared" si="10"/>
        <v>30.550699999999996</v>
      </c>
      <c r="K611" s="17">
        <f t="shared" si="10"/>
        <v>30.550699999999996</v>
      </c>
      <c r="L611" s="17"/>
    </row>
    <row r="612" spans="1:12" ht="15" x14ac:dyDescent="0.2">
      <c r="A612" s="11">
        <v>2024</v>
      </c>
      <c r="B612" s="17">
        <f>AVERAGE(B144:B155)</f>
        <v>32.392183333333335</v>
      </c>
      <c r="C612" s="17">
        <f>AVERAGE(C144:C155)</f>
        <v>31.959941666666666</v>
      </c>
      <c r="D612" s="17"/>
      <c r="E612" s="17">
        <f t="shared" ref="E612:K612" si="11">AVERAGE(E144:E155)</f>
        <v>31.823274999999995</v>
      </c>
      <c r="F612" s="17">
        <f t="shared" si="11"/>
        <v>31.823274999999995</v>
      </c>
      <c r="G612" s="17">
        <f t="shared" si="11"/>
        <v>32.094650000000001</v>
      </c>
      <c r="H612" s="17">
        <f t="shared" si="11"/>
        <v>31.959941666666666</v>
      </c>
      <c r="I612" s="17">
        <f t="shared" si="11"/>
        <v>31.959941666666666</v>
      </c>
      <c r="J612" s="17">
        <f t="shared" si="11"/>
        <v>31.959941666666666</v>
      </c>
      <c r="K612" s="17">
        <f t="shared" si="11"/>
        <v>31.959941666666666</v>
      </c>
      <c r="L612" s="17"/>
    </row>
    <row r="613" spans="1:12" ht="15" x14ac:dyDescent="0.2">
      <c r="A613" s="11">
        <v>2025</v>
      </c>
      <c r="B613" s="17">
        <f>AVERAGE(B156:B167)</f>
        <v>33.765225000000001</v>
      </c>
      <c r="C613" s="17">
        <f>AVERAGE(C156:C167)</f>
        <v>33.332966666666657</v>
      </c>
      <c r="D613" s="17"/>
      <c r="E613" s="17">
        <f t="shared" ref="E613:K613" si="12">AVERAGE(E156:E167)</f>
        <v>33.196325000000002</v>
      </c>
      <c r="F613" s="17">
        <f t="shared" si="12"/>
        <v>33.196325000000002</v>
      </c>
      <c r="G613" s="17">
        <f t="shared" si="12"/>
        <v>33.467708333333327</v>
      </c>
      <c r="H613" s="17">
        <f t="shared" si="12"/>
        <v>33.332966666666657</v>
      </c>
      <c r="I613" s="17">
        <f t="shared" si="12"/>
        <v>33.332966666666657</v>
      </c>
      <c r="J613" s="17">
        <f t="shared" si="12"/>
        <v>33.332966666666657</v>
      </c>
      <c r="K613" s="17">
        <f t="shared" si="12"/>
        <v>33.332966666666657</v>
      </c>
      <c r="L613" s="17"/>
    </row>
    <row r="614" spans="1:12" ht="15" x14ac:dyDescent="0.2">
      <c r="A614" s="11">
        <v>2026</v>
      </c>
      <c r="B614" s="17">
        <f>AVERAGE(B168:B179)</f>
        <v>34.594466666666669</v>
      </c>
      <c r="C614" s="17">
        <f>AVERAGE(C168:C179)</f>
        <v>34.162208333333332</v>
      </c>
      <c r="D614" s="17"/>
      <c r="E614" s="17">
        <f t="shared" ref="E614:K614" si="13">AVERAGE(E168:E179)</f>
        <v>34.025541666666662</v>
      </c>
      <c r="F614" s="17">
        <f t="shared" si="13"/>
        <v>34.025541666666662</v>
      </c>
      <c r="G614" s="17">
        <f t="shared" si="13"/>
        <v>34.296924999999995</v>
      </c>
      <c r="H614" s="17">
        <f t="shared" si="13"/>
        <v>34.162208333333332</v>
      </c>
      <c r="I614" s="17">
        <f t="shared" si="13"/>
        <v>34.162208333333332</v>
      </c>
      <c r="J614" s="17">
        <f t="shared" si="13"/>
        <v>34.162208333333332</v>
      </c>
      <c r="K614" s="17">
        <f t="shared" si="13"/>
        <v>34.162208333333332</v>
      </c>
      <c r="L614" s="17"/>
    </row>
    <row r="615" spans="1:12" ht="15" x14ac:dyDescent="0.2">
      <c r="A615" s="11">
        <v>2027</v>
      </c>
      <c r="B615" s="17">
        <f>AVERAGE(B180:B191)</f>
        <v>35.40541666666666</v>
      </c>
      <c r="C615" s="17">
        <f>AVERAGE(C180:C191)</f>
        <v>34.973158333333338</v>
      </c>
      <c r="D615" s="17"/>
      <c r="E615" s="17">
        <f t="shared" ref="E615:K615" si="14">AVERAGE(E180:E191)</f>
        <v>34.836516666666668</v>
      </c>
      <c r="F615" s="17">
        <f t="shared" si="14"/>
        <v>34.836516666666668</v>
      </c>
      <c r="G615" s="17">
        <f t="shared" si="14"/>
        <v>35.107900000000001</v>
      </c>
      <c r="H615" s="17">
        <f t="shared" si="14"/>
        <v>34.973158333333338</v>
      </c>
      <c r="I615" s="17">
        <f t="shared" si="14"/>
        <v>34.973158333333338</v>
      </c>
      <c r="J615" s="17">
        <f t="shared" si="14"/>
        <v>34.973158333333338</v>
      </c>
      <c r="K615" s="17">
        <f t="shared" si="14"/>
        <v>34.973158333333338</v>
      </c>
      <c r="L615" s="17"/>
    </row>
    <row r="616" spans="1:12" ht="15" x14ac:dyDescent="0.2">
      <c r="A616" s="11">
        <v>2028</v>
      </c>
      <c r="B616" s="17">
        <f>AVERAGE(B192:B203)</f>
        <v>36.170525000000005</v>
      </c>
      <c r="C616" s="17">
        <f>AVERAGE(C192:C203)</f>
        <v>35.738283333333328</v>
      </c>
      <c r="D616" s="17"/>
      <c r="E616" s="17">
        <f t="shared" ref="E616:K616" si="15">AVERAGE(E192:E203)</f>
        <v>35.601616666666672</v>
      </c>
      <c r="F616" s="17">
        <f t="shared" si="15"/>
        <v>35.601616666666672</v>
      </c>
      <c r="G616" s="17">
        <f t="shared" si="15"/>
        <v>35.873008333333331</v>
      </c>
      <c r="H616" s="17">
        <f t="shared" si="15"/>
        <v>35.738283333333328</v>
      </c>
      <c r="I616" s="17">
        <f t="shared" si="15"/>
        <v>35.738283333333328</v>
      </c>
      <c r="J616" s="17">
        <f t="shared" si="15"/>
        <v>35.738283333333328</v>
      </c>
      <c r="K616" s="17">
        <f t="shared" si="15"/>
        <v>35.738283333333328</v>
      </c>
      <c r="L616" s="17"/>
    </row>
    <row r="617" spans="1:12" ht="15" x14ac:dyDescent="0.2">
      <c r="A617" s="11">
        <v>2029</v>
      </c>
      <c r="B617" s="17">
        <f>AVERAGE(B204:B215)</f>
        <v>36.972141666666658</v>
      </c>
      <c r="C617" s="17">
        <f>AVERAGE(C204:C215)</f>
        <v>36.539908333333337</v>
      </c>
      <c r="D617" s="17"/>
      <c r="E617" s="17">
        <f t="shared" ref="E617:K617" si="16">AVERAGE(E204:E215)</f>
        <v>36.403224999999992</v>
      </c>
      <c r="F617" s="17">
        <f t="shared" si="16"/>
        <v>36.403224999999992</v>
      </c>
      <c r="G617" s="17">
        <f t="shared" si="16"/>
        <v>36.674616666666665</v>
      </c>
      <c r="H617" s="17">
        <f t="shared" si="16"/>
        <v>36.539908333333337</v>
      </c>
      <c r="I617" s="17">
        <f t="shared" si="16"/>
        <v>36.539908333333337</v>
      </c>
      <c r="J617" s="17">
        <f t="shared" si="16"/>
        <v>36.539908333333337</v>
      </c>
      <c r="K617" s="17">
        <f t="shared" si="16"/>
        <v>36.539908333333337</v>
      </c>
      <c r="L617" s="17"/>
    </row>
    <row r="618" spans="1:12" ht="15" x14ac:dyDescent="0.2">
      <c r="A618" s="11">
        <v>2030</v>
      </c>
      <c r="B618" s="17">
        <f>AVERAGE(B216:B227)</f>
        <v>37.678658333333338</v>
      </c>
      <c r="C618" s="17">
        <f>AVERAGE(C216:C227)</f>
        <v>37.246408333333335</v>
      </c>
      <c r="D618" s="17"/>
      <c r="E618" s="17">
        <f t="shared" ref="E618:K618" si="17">AVERAGE(E216:E227)</f>
        <v>37.109758333333325</v>
      </c>
      <c r="F618" s="17">
        <f t="shared" si="17"/>
        <v>37.109758333333325</v>
      </c>
      <c r="G618" s="17">
        <f t="shared" si="17"/>
        <v>37.381116666666664</v>
      </c>
      <c r="H618" s="17">
        <f t="shared" si="17"/>
        <v>37.246408333333335</v>
      </c>
      <c r="I618" s="17">
        <f t="shared" si="17"/>
        <v>37.246408333333335</v>
      </c>
      <c r="J618" s="17">
        <f t="shared" si="17"/>
        <v>37.246408333333335</v>
      </c>
      <c r="K618" s="17">
        <f t="shared" si="17"/>
        <v>37.246408333333335</v>
      </c>
      <c r="L618" s="17"/>
    </row>
    <row r="619" spans="1:12" ht="15" x14ac:dyDescent="0.2">
      <c r="A619" s="11">
        <v>2031</v>
      </c>
      <c r="B619" s="17">
        <f>AVERAGE(B228:B239)</f>
        <v>38.45901666666667</v>
      </c>
      <c r="C619" s="17">
        <f>AVERAGE(C228:C239)</f>
        <v>38.026783333333334</v>
      </c>
      <c r="D619" s="17"/>
      <c r="E619" s="17">
        <f t="shared" ref="E619:K619" si="18">AVERAGE(E228:E239)</f>
        <v>37.89010833333333</v>
      </c>
      <c r="F619" s="17">
        <f t="shared" si="18"/>
        <v>37.89010833333333</v>
      </c>
      <c r="G619" s="17">
        <f t="shared" si="18"/>
        <v>38.16149166666667</v>
      </c>
      <c r="H619" s="17">
        <f t="shared" si="18"/>
        <v>38.026783333333334</v>
      </c>
      <c r="I619" s="17">
        <f t="shared" si="18"/>
        <v>38.026783333333334</v>
      </c>
      <c r="J619" s="17">
        <f t="shared" si="18"/>
        <v>38.026783333333334</v>
      </c>
      <c r="K619" s="17">
        <f t="shared" si="18"/>
        <v>38.026783333333334</v>
      </c>
      <c r="L619" s="17"/>
    </row>
    <row r="620" spans="1:12" ht="15" x14ac:dyDescent="0.2">
      <c r="A620" s="11">
        <v>2032</v>
      </c>
      <c r="B620" s="17">
        <f>AVERAGE(B240:B251)</f>
        <v>39.127375000000001</v>
      </c>
      <c r="C620" s="17">
        <f>AVERAGE(C240:C251)</f>
        <v>38.695116666666664</v>
      </c>
      <c r="D620" s="17"/>
      <c r="E620" s="17">
        <f t="shared" ref="E620:K620" si="19">AVERAGE(E240:E251)</f>
        <v>38.558466666666668</v>
      </c>
      <c r="F620" s="17">
        <f t="shared" si="19"/>
        <v>38.558466666666668</v>
      </c>
      <c r="G620" s="17">
        <f t="shared" si="19"/>
        <v>38.829849999999993</v>
      </c>
      <c r="H620" s="17">
        <f t="shared" si="19"/>
        <v>38.695116666666664</v>
      </c>
      <c r="I620" s="17">
        <f t="shared" si="19"/>
        <v>38.695116666666664</v>
      </c>
      <c r="J620" s="17">
        <f t="shared" si="19"/>
        <v>38.695116666666664</v>
      </c>
      <c r="K620" s="17">
        <f t="shared" si="19"/>
        <v>38.695116666666664</v>
      </c>
      <c r="L620" s="17"/>
    </row>
    <row r="621" spans="1:12" ht="15" x14ac:dyDescent="0.2">
      <c r="A621" s="11">
        <v>2033</v>
      </c>
      <c r="B621" s="17">
        <f>AVERAGE(B252:B263)</f>
        <v>39.808050000000001</v>
      </c>
      <c r="C621" s="17">
        <f>AVERAGE(C252:C263)</f>
        <v>39.375833333333325</v>
      </c>
      <c r="D621" s="17"/>
      <c r="E621" s="17">
        <f t="shared" ref="E621:K621" si="20">AVERAGE(E252:E263)</f>
        <v>39.239149999999995</v>
      </c>
      <c r="F621" s="17">
        <f t="shared" si="20"/>
        <v>39.239149999999995</v>
      </c>
      <c r="G621" s="17">
        <f t="shared" si="20"/>
        <v>39.510533333333335</v>
      </c>
      <c r="H621" s="17">
        <f t="shared" si="20"/>
        <v>39.375833333333325</v>
      </c>
      <c r="I621" s="17">
        <f t="shared" si="20"/>
        <v>39.375833333333325</v>
      </c>
      <c r="J621" s="17">
        <f t="shared" si="20"/>
        <v>39.375833333333325</v>
      </c>
      <c r="K621" s="17">
        <f t="shared" si="20"/>
        <v>39.375833333333325</v>
      </c>
      <c r="L621" s="17"/>
    </row>
    <row r="622" spans="1:12" ht="15" x14ac:dyDescent="0.2">
      <c r="A622" s="11">
        <v>2034</v>
      </c>
      <c r="B622" s="17">
        <f>AVERAGE(B264:B275)</f>
        <v>40.501366666666662</v>
      </c>
      <c r="C622" s="17">
        <f>AVERAGE(C264:C275)</f>
        <v>40.069108333333325</v>
      </c>
      <c r="D622" s="17"/>
      <c r="E622" s="17">
        <f t="shared" ref="E622:K622" si="21">AVERAGE(E264:E275)</f>
        <v>39.932450000000003</v>
      </c>
      <c r="F622" s="17">
        <f t="shared" si="21"/>
        <v>39.932450000000003</v>
      </c>
      <c r="G622" s="17">
        <f t="shared" si="21"/>
        <v>40.203808333333335</v>
      </c>
      <c r="H622" s="17">
        <f t="shared" si="21"/>
        <v>40.069108333333325</v>
      </c>
      <c r="I622" s="17">
        <f t="shared" si="21"/>
        <v>40.069108333333325</v>
      </c>
      <c r="J622" s="17">
        <f t="shared" si="21"/>
        <v>40.069108333333325</v>
      </c>
      <c r="K622" s="17">
        <f t="shared" si="21"/>
        <v>40.069108333333325</v>
      </c>
      <c r="L622" s="17"/>
    </row>
    <row r="623" spans="1:12" ht="15" x14ac:dyDescent="0.2">
      <c r="A623" s="11">
        <v>2035</v>
      </c>
      <c r="B623" s="17">
        <f>AVERAGE(B276:B287)</f>
        <v>41.207424999999994</v>
      </c>
      <c r="C623" s="17">
        <f>AVERAGE(C276:C287)</f>
        <v>40.775199999999998</v>
      </c>
      <c r="D623" s="17"/>
      <c r="E623" s="17">
        <f t="shared" ref="E623:K623" si="22">AVERAGE(E276:E287)</f>
        <v>40.638525000000001</v>
      </c>
      <c r="F623" s="17">
        <f t="shared" si="22"/>
        <v>40.638525000000001</v>
      </c>
      <c r="G623" s="17">
        <f t="shared" si="22"/>
        <v>40.909916666666668</v>
      </c>
      <c r="H623" s="17">
        <f t="shared" si="22"/>
        <v>40.775199999999998</v>
      </c>
      <c r="I623" s="17">
        <f t="shared" si="22"/>
        <v>40.775199999999998</v>
      </c>
      <c r="J623" s="17">
        <f t="shared" si="22"/>
        <v>40.775199999999998</v>
      </c>
      <c r="K623" s="17">
        <f t="shared" si="22"/>
        <v>40.775199999999998</v>
      </c>
      <c r="L623" s="17"/>
    </row>
    <row r="624" spans="1:12" ht="15" x14ac:dyDescent="0.2">
      <c r="A624" s="11">
        <v>2036</v>
      </c>
      <c r="B624" s="17">
        <f>AVERAGE(B288:B299)</f>
        <v>41.926591666666667</v>
      </c>
      <c r="C624" s="17">
        <f>AVERAGE(C288:C299)</f>
        <v>41.49433333333333</v>
      </c>
      <c r="D624" s="17"/>
      <c r="E624" s="17">
        <f t="shared" ref="E624:K624" si="23">AVERAGE(E288:E299)</f>
        <v>41.357691666666668</v>
      </c>
      <c r="F624" s="17">
        <f t="shared" si="23"/>
        <v>41.357691666666668</v>
      </c>
      <c r="G624" s="17">
        <f t="shared" si="23"/>
        <v>41.629066666666667</v>
      </c>
      <c r="H624" s="17">
        <f t="shared" si="23"/>
        <v>41.49433333333333</v>
      </c>
      <c r="I624" s="17">
        <f t="shared" si="23"/>
        <v>41.49433333333333</v>
      </c>
      <c r="J624" s="17">
        <f t="shared" si="23"/>
        <v>41.49433333333333</v>
      </c>
      <c r="K624" s="17">
        <f t="shared" si="23"/>
        <v>41.49433333333333</v>
      </c>
      <c r="L624" s="17"/>
    </row>
    <row r="625" spans="1:12" ht="15" x14ac:dyDescent="0.2">
      <c r="A625" s="11">
        <v>2037</v>
      </c>
      <c r="B625" s="17">
        <f>AVERAGE(B300:B311)</f>
        <v>42.658999999999999</v>
      </c>
      <c r="C625" s="17">
        <f>AVERAGE(C300:C311)</f>
        <v>42.226775000000004</v>
      </c>
      <c r="D625" s="17"/>
      <c r="E625" s="17">
        <f t="shared" ref="E625:K625" si="24">AVERAGE(E300:E311)</f>
        <v>42.0901</v>
      </c>
      <c r="F625" s="17">
        <f t="shared" si="24"/>
        <v>42.0901</v>
      </c>
      <c r="G625" s="17">
        <f t="shared" si="24"/>
        <v>42.361483333333332</v>
      </c>
      <c r="H625" s="17">
        <f t="shared" si="24"/>
        <v>42.226775000000004</v>
      </c>
      <c r="I625" s="17">
        <f t="shared" si="24"/>
        <v>42.226775000000004</v>
      </c>
      <c r="J625" s="17">
        <f t="shared" si="24"/>
        <v>42.226775000000004</v>
      </c>
      <c r="K625" s="17">
        <f t="shared" si="24"/>
        <v>42.226775000000004</v>
      </c>
      <c r="L625" s="17"/>
    </row>
    <row r="626" spans="1:12" ht="15" x14ac:dyDescent="0.2">
      <c r="A626" s="11">
        <f t="shared" ref="A626:A649" si="25">A625+1</f>
        <v>2038</v>
      </c>
      <c r="B626" s="17">
        <f>AVERAGE(B312:B323)</f>
        <v>43.404983333333327</v>
      </c>
      <c r="C626" s="17">
        <f>AVERAGE(C312:C323)</f>
        <v>42.972725000000004</v>
      </c>
      <c r="D626" s="17"/>
      <c r="E626" s="17">
        <f t="shared" ref="E626:K626" si="26">AVERAGE(E312:E323)</f>
        <v>42.836083333333328</v>
      </c>
      <c r="F626" s="17">
        <f t="shared" si="26"/>
        <v>42.836083333333328</v>
      </c>
      <c r="G626" s="17">
        <f t="shared" si="26"/>
        <v>43.10745</v>
      </c>
      <c r="H626" s="17">
        <f t="shared" si="26"/>
        <v>42.972725000000004</v>
      </c>
      <c r="I626" s="17">
        <f t="shared" si="26"/>
        <v>42.972725000000004</v>
      </c>
      <c r="J626" s="17">
        <f t="shared" si="26"/>
        <v>42.972725000000004</v>
      </c>
      <c r="K626" s="17">
        <f t="shared" si="26"/>
        <v>42.972725000000004</v>
      </c>
      <c r="L626" s="17"/>
    </row>
    <row r="627" spans="1:12" ht="15" x14ac:dyDescent="0.2">
      <c r="A627" s="11">
        <f t="shared" si="25"/>
        <v>2039</v>
      </c>
      <c r="B627" s="17">
        <f>AVERAGE(B324:B335)</f>
        <v>44.164741666666657</v>
      </c>
      <c r="C627" s="17">
        <f>AVERAGE(C324:C335)</f>
        <v>43.732475000000001</v>
      </c>
      <c r="D627" s="17"/>
      <c r="E627" s="17">
        <f t="shared" ref="E627:K627" si="27">AVERAGE(E324:E335)</f>
        <v>43.595841666666672</v>
      </c>
      <c r="F627" s="17">
        <f t="shared" si="27"/>
        <v>43.595841666666672</v>
      </c>
      <c r="G627" s="17">
        <f t="shared" si="27"/>
        <v>43.867216666666657</v>
      </c>
      <c r="H627" s="17">
        <f t="shared" si="27"/>
        <v>43.732475000000001</v>
      </c>
      <c r="I627" s="17">
        <f t="shared" si="27"/>
        <v>43.732475000000001</v>
      </c>
      <c r="J627" s="17">
        <f t="shared" si="27"/>
        <v>43.732475000000001</v>
      </c>
      <c r="K627" s="17">
        <f t="shared" si="27"/>
        <v>43.732475000000001</v>
      </c>
      <c r="L627" s="17"/>
    </row>
    <row r="628" spans="1:12" ht="15" x14ac:dyDescent="0.2">
      <c r="A628" s="11">
        <f t="shared" si="25"/>
        <v>2040</v>
      </c>
      <c r="B628" s="17">
        <f>AVERAGE(B336:B347)</f>
        <v>44.938541666666673</v>
      </c>
      <c r="C628" s="17">
        <f>AVERAGE(C336:C347)</f>
        <v>44.506283333333336</v>
      </c>
      <c r="D628" s="17"/>
      <c r="E628" s="17">
        <f t="shared" ref="E628:K628" si="28">AVERAGE(E336:E347)</f>
        <v>44.369641666666666</v>
      </c>
      <c r="F628" s="17">
        <f t="shared" si="28"/>
        <v>44.369641666666666</v>
      </c>
      <c r="G628" s="17">
        <f t="shared" si="28"/>
        <v>44.640991666666658</v>
      </c>
      <c r="H628" s="17">
        <f t="shared" si="28"/>
        <v>44.506283333333336</v>
      </c>
      <c r="I628" s="17">
        <f t="shared" si="28"/>
        <v>44.506283333333336</v>
      </c>
      <c r="J628" s="17">
        <f t="shared" si="28"/>
        <v>44.506283333333336</v>
      </c>
      <c r="K628" s="17">
        <f t="shared" si="28"/>
        <v>44.506283333333336</v>
      </c>
      <c r="L628" s="17"/>
    </row>
    <row r="629" spans="1:12" ht="15" x14ac:dyDescent="0.2">
      <c r="A629" s="11">
        <f t="shared" si="25"/>
        <v>2041</v>
      </c>
      <c r="B629" s="17">
        <f>AVERAGE(B348:B359)</f>
        <v>45.726625000000006</v>
      </c>
      <c r="C629" s="17">
        <f>AVERAGE(C348:C359)</f>
        <v>45.294366666666669</v>
      </c>
      <c r="D629" s="17"/>
      <c r="E629" s="17">
        <f t="shared" ref="E629:K629" si="29">AVERAGE(E348:E359)</f>
        <v>45.157724999999999</v>
      </c>
      <c r="F629" s="17">
        <f t="shared" si="29"/>
        <v>45.157724999999999</v>
      </c>
      <c r="G629" s="17">
        <f t="shared" si="29"/>
        <v>45.429091666666665</v>
      </c>
      <c r="H629" s="17">
        <f t="shared" si="29"/>
        <v>45.294366666666669</v>
      </c>
      <c r="I629" s="17">
        <f t="shared" si="29"/>
        <v>45.294366666666669</v>
      </c>
      <c r="J629" s="17">
        <f t="shared" si="29"/>
        <v>45.294366666666669</v>
      </c>
      <c r="K629" s="17">
        <f t="shared" si="29"/>
        <v>45.294366666666669</v>
      </c>
      <c r="L629" s="17"/>
    </row>
    <row r="630" spans="1:12" ht="15" x14ac:dyDescent="0.2">
      <c r="A630" s="11">
        <f t="shared" si="25"/>
        <v>2042</v>
      </c>
      <c r="B630" s="17">
        <f>AVERAGE(B360:B371)</f>
        <v>46.529274999999991</v>
      </c>
      <c r="C630" s="17">
        <f>AVERAGE(C360:C371)</f>
        <v>46.097033333333336</v>
      </c>
      <c r="D630" s="17"/>
      <c r="E630" s="17">
        <f t="shared" ref="E630:K630" si="30">AVERAGE(E360:E371)</f>
        <v>45.960375000000006</v>
      </c>
      <c r="F630" s="17">
        <f t="shared" si="30"/>
        <v>45.960375000000006</v>
      </c>
      <c r="G630" s="17">
        <f t="shared" si="30"/>
        <v>46.231766666666665</v>
      </c>
      <c r="H630" s="17">
        <f t="shared" si="30"/>
        <v>46.097033333333336</v>
      </c>
      <c r="I630" s="17">
        <f t="shared" si="30"/>
        <v>46.097033333333336</v>
      </c>
      <c r="J630" s="17">
        <f t="shared" si="30"/>
        <v>46.097033333333336</v>
      </c>
      <c r="K630" s="17">
        <f t="shared" si="30"/>
        <v>46.097033333333336</v>
      </c>
      <c r="L630" s="17"/>
    </row>
    <row r="631" spans="1:12" ht="15" x14ac:dyDescent="0.2">
      <c r="A631" s="11">
        <f t="shared" si="25"/>
        <v>2043</v>
      </c>
      <c r="B631" s="17">
        <f>AVERAGE(B372:B383)</f>
        <v>47.346775000000008</v>
      </c>
      <c r="C631" s="17">
        <f>AVERAGE(C372:C383)</f>
        <v>46.914516666666657</v>
      </c>
      <c r="D631" s="17"/>
      <c r="E631" s="17">
        <f t="shared" ref="E631:K631" si="31">AVERAGE(E372:E383)</f>
        <v>46.777874999999995</v>
      </c>
      <c r="F631" s="17">
        <f t="shared" si="31"/>
        <v>46.777874999999995</v>
      </c>
      <c r="G631" s="17">
        <f t="shared" si="31"/>
        <v>47.049233333333341</v>
      </c>
      <c r="H631" s="17">
        <f t="shared" si="31"/>
        <v>46.914516666666657</v>
      </c>
      <c r="I631" s="17">
        <f t="shared" si="31"/>
        <v>46.914516666666657</v>
      </c>
      <c r="J631" s="17">
        <f t="shared" si="31"/>
        <v>46.914516666666657</v>
      </c>
      <c r="K631" s="17">
        <f t="shared" si="31"/>
        <v>46.914516666666657</v>
      </c>
      <c r="L631" s="17"/>
    </row>
    <row r="632" spans="1:12" ht="15" x14ac:dyDescent="0.2">
      <c r="A632" s="11">
        <f t="shared" si="25"/>
        <v>2044</v>
      </c>
      <c r="B632" s="17">
        <f>AVERAGE(B384:B395)</f>
        <v>48.179375</v>
      </c>
      <c r="C632" s="17">
        <f>AVERAGE(C384:C395)</f>
        <v>47.747149999999998</v>
      </c>
      <c r="D632" s="17"/>
      <c r="E632" s="17">
        <f t="shared" ref="E632:K632" si="32">AVERAGE(E384:E395)</f>
        <v>47.610474999999987</v>
      </c>
      <c r="F632" s="17">
        <f t="shared" si="32"/>
        <v>47.610474999999987</v>
      </c>
      <c r="G632" s="17">
        <f t="shared" si="32"/>
        <v>47.881849999999993</v>
      </c>
      <c r="H632" s="17">
        <f t="shared" si="32"/>
        <v>47.747149999999998</v>
      </c>
      <c r="I632" s="17">
        <f t="shared" si="32"/>
        <v>47.747149999999998</v>
      </c>
      <c r="J632" s="17">
        <f t="shared" si="32"/>
        <v>47.747149999999998</v>
      </c>
      <c r="K632" s="17">
        <f t="shared" si="32"/>
        <v>47.747149999999998</v>
      </c>
      <c r="L632" s="17"/>
    </row>
    <row r="633" spans="1:12" ht="15" x14ac:dyDescent="0.2">
      <c r="A633" s="11">
        <f t="shared" si="25"/>
        <v>2045</v>
      </c>
      <c r="B633" s="17">
        <f>AVERAGE(B396:B407)</f>
        <v>49.027358333333332</v>
      </c>
      <c r="C633" s="17">
        <f>AVERAGE(C396:C407)</f>
        <v>48.595116666666662</v>
      </c>
      <c r="D633" s="17"/>
      <c r="E633" s="17">
        <f t="shared" ref="E633:K633" si="33">AVERAGE(E396:E407)</f>
        <v>48.45845833333334</v>
      </c>
      <c r="F633" s="17">
        <f t="shared" si="33"/>
        <v>48.45845833333334</v>
      </c>
      <c r="G633" s="17">
        <f t="shared" si="33"/>
        <v>48.729833333333325</v>
      </c>
      <c r="H633" s="17">
        <f t="shared" si="33"/>
        <v>48.595116666666662</v>
      </c>
      <c r="I633" s="17">
        <f t="shared" si="33"/>
        <v>48.595116666666662</v>
      </c>
      <c r="J633" s="17">
        <f t="shared" si="33"/>
        <v>48.595116666666662</v>
      </c>
      <c r="K633" s="17">
        <f t="shared" si="33"/>
        <v>48.595116666666662</v>
      </c>
      <c r="L633" s="17"/>
    </row>
    <row r="634" spans="1:12" ht="15" x14ac:dyDescent="0.2">
      <c r="A634" s="11">
        <f t="shared" si="25"/>
        <v>2046</v>
      </c>
      <c r="B634" s="17">
        <f>AVERAGE(B408:B419)</f>
        <v>49.891033333333326</v>
      </c>
      <c r="C634" s="17">
        <f>AVERAGE(C408:C419)</f>
        <v>49.458783333333322</v>
      </c>
      <c r="D634" s="17"/>
      <c r="E634" s="17">
        <f t="shared" ref="E634:K634" si="34">AVERAGE(E408:E419)</f>
        <v>49.322116666666659</v>
      </c>
      <c r="F634" s="17">
        <f t="shared" si="34"/>
        <v>49.322116666666659</v>
      </c>
      <c r="G634" s="17">
        <f t="shared" si="34"/>
        <v>49.593491666666665</v>
      </c>
      <c r="H634" s="17">
        <f t="shared" si="34"/>
        <v>49.458783333333322</v>
      </c>
      <c r="I634" s="17">
        <f t="shared" si="34"/>
        <v>49.458783333333322</v>
      </c>
      <c r="J634" s="17">
        <f t="shared" si="34"/>
        <v>49.458783333333322</v>
      </c>
      <c r="K634" s="17">
        <f t="shared" si="34"/>
        <v>49.458783333333322</v>
      </c>
      <c r="L634" s="17"/>
    </row>
    <row r="635" spans="1:12" ht="15" x14ac:dyDescent="0.2">
      <c r="A635" s="11">
        <f t="shared" si="25"/>
        <v>2047</v>
      </c>
      <c r="B635" s="17">
        <f>AVERAGE(B420:B431)</f>
        <v>50.770649999999996</v>
      </c>
      <c r="C635" s="17">
        <f>AVERAGE(C420:C431)</f>
        <v>50.3384</v>
      </c>
      <c r="D635" s="17"/>
      <c r="E635" s="17">
        <f t="shared" ref="E635:K635" si="35">AVERAGE(E420:E431)</f>
        <v>50.20174166666667</v>
      </c>
      <c r="F635" s="17">
        <f t="shared" si="35"/>
        <v>50.20174166666667</v>
      </c>
      <c r="G635" s="17">
        <f t="shared" si="35"/>
        <v>50.473108333333329</v>
      </c>
      <c r="H635" s="17">
        <f t="shared" si="35"/>
        <v>50.3384</v>
      </c>
      <c r="I635" s="17">
        <f t="shared" si="35"/>
        <v>50.3384</v>
      </c>
      <c r="J635" s="17">
        <f t="shared" si="35"/>
        <v>50.3384</v>
      </c>
      <c r="K635" s="17">
        <f t="shared" si="35"/>
        <v>50.3384</v>
      </c>
      <c r="L635" s="17"/>
    </row>
    <row r="636" spans="1:12" ht="15" x14ac:dyDescent="0.2">
      <c r="A636" s="11">
        <f t="shared" si="25"/>
        <v>2048</v>
      </c>
      <c r="B636" s="17">
        <f>AVERAGE(B432:B443)</f>
        <v>51.666516666666666</v>
      </c>
      <c r="C636" s="17">
        <f>AVERAGE(C432:C443)</f>
        <v>51.234266666666677</v>
      </c>
      <c r="D636" s="17"/>
      <c r="E636" s="17">
        <f t="shared" ref="E636:K636" si="36">AVERAGE(E432:E443)</f>
        <v>51.097616666666674</v>
      </c>
      <c r="F636" s="17">
        <f t="shared" si="36"/>
        <v>51.097616666666674</v>
      </c>
      <c r="G636" s="17">
        <f t="shared" si="36"/>
        <v>51.368974999999999</v>
      </c>
      <c r="H636" s="17">
        <f t="shared" si="36"/>
        <v>51.234266666666677</v>
      </c>
      <c r="I636" s="17">
        <f t="shared" si="36"/>
        <v>51.234266666666677</v>
      </c>
      <c r="J636" s="17">
        <f t="shared" si="36"/>
        <v>51.234266666666677</v>
      </c>
      <c r="K636" s="17">
        <f t="shared" si="36"/>
        <v>51.234266666666677</v>
      </c>
      <c r="L636" s="17"/>
    </row>
    <row r="637" spans="1:12" ht="15" x14ac:dyDescent="0.2">
      <c r="A637" s="11">
        <f t="shared" si="25"/>
        <v>2049</v>
      </c>
      <c r="B637" s="17">
        <f>AVERAGE(B444:B455)</f>
        <v>52.57895833333334</v>
      </c>
      <c r="C637" s="17">
        <f>AVERAGE(C444:C455)</f>
        <v>52.146716666666663</v>
      </c>
      <c r="D637" s="17"/>
      <c r="E637" s="17">
        <f t="shared" ref="E637:K637" si="37">AVERAGE(E444:E455)</f>
        <v>52.01005</v>
      </c>
      <c r="F637" s="17">
        <f t="shared" si="37"/>
        <v>52.01005</v>
      </c>
      <c r="G637" s="17">
        <f t="shared" si="37"/>
        <v>52.281433333333332</v>
      </c>
      <c r="H637" s="17">
        <f t="shared" si="37"/>
        <v>52.146716666666663</v>
      </c>
      <c r="I637" s="17">
        <f t="shared" si="37"/>
        <v>52.146716666666663</v>
      </c>
      <c r="J637" s="17">
        <f t="shared" si="37"/>
        <v>52.146716666666663</v>
      </c>
      <c r="K637" s="17">
        <f t="shared" si="37"/>
        <v>52.146716666666663</v>
      </c>
      <c r="L637" s="17"/>
    </row>
    <row r="638" spans="1:12" ht="15" x14ac:dyDescent="0.2">
      <c r="A638" s="11">
        <f t="shared" si="25"/>
        <v>2050</v>
      </c>
      <c r="B638" s="17">
        <f>AVERAGE(B456:B467)</f>
        <v>53.50824166666667</v>
      </c>
      <c r="C638" s="17">
        <f>AVERAGE(C456:C467)</f>
        <v>53.076016666666668</v>
      </c>
      <c r="D638" s="17"/>
      <c r="E638" s="17">
        <f t="shared" ref="E638:K638" si="38">AVERAGE(E456:E467)</f>
        <v>52.93933333333333</v>
      </c>
      <c r="F638" s="17">
        <f t="shared" si="38"/>
        <v>52.93933333333333</v>
      </c>
      <c r="G638" s="17">
        <f t="shared" si="38"/>
        <v>53.210724999999996</v>
      </c>
      <c r="H638" s="17">
        <f t="shared" si="38"/>
        <v>53.076016666666668</v>
      </c>
      <c r="I638" s="17">
        <f t="shared" si="38"/>
        <v>53.076016666666668</v>
      </c>
      <c r="J638" s="17">
        <f t="shared" si="38"/>
        <v>53.076016666666668</v>
      </c>
      <c r="K638" s="17">
        <f t="shared" si="38"/>
        <v>53.076016666666668</v>
      </c>
      <c r="L638" s="17"/>
    </row>
    <row r="639" spans="1:12" ht="15" x14ac:dyDescent="0.2">
      <c r="A639" s="11">
        <f t="shared" si="25"/>
        <v>2051</v>
      </c>
      <c r="B639" s="17">
        <f>AVERAGE(B468:B479)</f>
        <v>54.454716666666663</v>
      </c>
      <c r="C639" s="17">
        <f>AVERAGE(C468:C479)</f>
        <v>54.022475000000007</v>
      </c>
      <c r="D639" s="17"/>
      <c r="E639" s="17">
        <f t="shared" ref="E639:K639" si="39">AVERAGE(E468:E479)</f>
        <v>53.885808333333337</v>
      </c>
      <c r="F639" s="17">
        <f t="shared" si="39"/>
        <v>53.885808333333337</v>
      </c>
      <c r="G639" s="17">
        <f t="shared" si="39"/>
        <v>54.15719166666667</v>
      </c>
      <c r="H639" s="17">
        <f t="shared" si="39"/>
        <v>54.022475000000007</v>
      </c>
      <c r="I639" s="17">
        <f t="shared" si="39"/>
        <v>54.022475000000007</v>
      </c>
      <c r="J639" s="17">
        <f t="shared" si="39"/>
        <v>54.022475000000007</v>
      </c>
      <c r="K639" s="17">
        <f t="shared" si="39"/>
        <v>54.022475000000007</v>
      </c>
      <c r="L639" s="17"/>
    </row>
    <row r="640" spans="1:12" ht="15" x14ac:dyDescent="0.2">
      <c r="A640" s="11">
        <f t="shared" si="25"/>
        <v>2052</v>
      </c>
      <c r="B640" s="17">
        <f>AVERAGE(B480:B491)</f>
        <v>55.418683333333327</v>
      </c>
      <c r="C640" s="17">
        <f>AVERAGE(C480:C491)</f>
        <v>54.986441666666671</v>
      </c>
      <c r="D640" s="17"/>
      <c r="E640" s="17">
        <f t="shared" ref="E640:K640" si="40">AVERAGE(E480:E491)</f>
        <v>54.849783333333335</v>
      </c>
      <c r="F640" s="17">
        <f t="shared" si="40"/>
        <v>54.849783333333335</v>
      </c>
      <c r="G640" s="17">
        <f t="shared" si="40"/>
        <v>55.12115</v>
      </c>
      <c r="H640" s="17">
        <f t="shared" si="40"/>
        <v>54.986441666666671</v>
      </c>
      <c r="I640" s="17">
        <f t="shared" si="40"/>
        <v>54.986441666666671</v>
      </c>
      <c r="J640" s="17">
        <f t="shared" si="40"/>
        <v>54.986441666666671</v>
      </c>
      <c r="K640" s="17">
        <f t="shared" si="40"/>
        <v>54.986441666666671</v>
      </c>
      <c r="L640" s="17"/>
    </row>
    <row r="641" spans="1:12" ht="15" x14ac:dyDescent="0.2">
      <c r="A641" s="11">
        <f t="shared" si="25"/>
        <v>2053</v>
      </c>
      <c r="B641" s="17">
        <f>AVERAGE(B492:B503)</f>
        <v>56.40045833333334</v>
      </c>
      <c r="C641" s="17">
        <f>AVERAGE(C492:C503)</f>
        <v>55.96821666666667</v>
      </c>
      <c r="D641" s="17"/>
      <c r="E641" s="17">
        <f t="shared" ref="E641:K641" si="41">AVERAGE(E492:E503)</f>
        <v>55.83155</v>
      </c>
      <c r="F641" s="17">
        <f t="shared" si="41"/>
        <v>55.83155</v>
      </c>
      <c r="G641" s="17">
        <f t="shared" si="41"/>
        <v>56.102924999999999</v>
      </c>
      <c r="H641" s="17">
        <f t="shared" si="41"/>
        <v>55.96821666666667</v>
      </c>
      <c r="I641" s="17">
        <f t="shared" si="41"/>
        <v>55.96821666666667</v>
      </c>
      <c r="J641" s="17">
        <f t="shared" si="41"/>
        <v>55.96821666666667</v>
      </c>
      <c r="K641" s="17">
        <f t="shared" si="41"/>
        <v>55.96821666666667</v>
      </c>
      <c r="L641" s="17"/>
    </row>
    <row r="642" spans="1:12" ht="15" x14ac:dyDescent="0.2">
      <c r="A642" s="11">
        <f t="shared" si="25"/>
        <v>2054</v>
      </c>
      <c r="B642" s="17">
        <f>AVERAGE(B504:B515)</f>
        <v>57.400383333333338</v>
      </c>
      <c r="C642" s="17">
        <f>AVERAGE(C504:C515)</f>
        <v>56.968133333333334</v>
      </c>
      <c r="D642" s="17"/>
      <c r="E642" s="17">
        <f t="shared" ref="E642:K642" si="42">AVERAGE(E504:E515)</f>
        <v>56.831483333333324</v>
      </c>
      <c r="F642" s="17">
        <f t="shared" si="42"/>
        <v>56.831483333333324</v>
      </c>
      <c r="G642" s="17">
        <f t="shared" si="42"/>
        <v>57.102841666666656</v>
      </c>
      <c r="H642" s="17">
        <f t="shared" si="42"/>
        <v>56.968133333333334</v>
      </c>
      <c r="I642" s="17">
        <f t="shared" si="42"/>
        <v>56.968133333333334</v>
      </c>
      <c r="J642" s="17">
        <f t="shared" si="42"/>
        <v>56.968133333333334</v>
      </c>
      <c r="K642" s="17">
        <f t="shared" si="42"/>
        <v>56.968133333333334</v>
      </c>
      <c r="L642" s="17"/>
    </row>
    <row r="643" spans="1:12" ht="15" x14ac:dyDescent="0.2">
      <c r="A643" s="11">
        <f t="shared" si="25"/>
        <v>2055</v>
      </c>
      <c r="B643" s="17">
        <f>AVERAGE(B516:B527)</f>
        <v>58.418775000000004</v>
      </c>
      <c r="C643" s="17">
        <f>AVERAGE(C516:C527)</f>
        <v>57.986541666666675</v>
      </c>
      <c r="D643" s="17"/>
      <c r="E643" s="17">
        <f t="shared" ref="E643:K643" si="43">AVERAGE(E516:E527)</f>
        <v>57.849866666666664</v>
      </c>
      <c r="F643" s="17">
        <f t="shared" si="43"/>
        <v>57.849866666666664</v>
      </c>
      <c r="G643" s="17">
        <f t="shared" si="43"/>
        <v>58.121241666666663</v>
      </c>
      <c r="H643" s="17">
        <f t="shared" si="43"/>
        <v>57.986541666666675</v>
      </c>
      <c r="I643" s="17">
        <f t="shared" si="43"/>
        <v>57.986541666666675</v>
      </c>
      <c r="J643" s="17">
        <f t="shared" si="43"/>
        <v>57.986541666666675</v>
      </c>
      <c r="K643" s="17">
        <f t="shared" si="43"/>
        <v>57.986541666666675</v>
      </c>
      <c r="L643" s="17"/>
    </row>
    <row r="644" spans="1:12" ht="15" x14ac:dyDescent="0.2">
      <c r="A644" s="11">
        <f t="shared" si="25"/>
        <v>2056</v>
      </c>
      <c r="B644" s="17">
        <f>AVERAGE(B528:B539)</f>
        <v>59.455999999999996</v>
      </c>
      <c r="C644" s="17">
        <f>AVERAGE(C528:C539)</f>
        <v>59.023741666666659</v>
      </c>
      <c r="D644" s="17"/>
      <c r="E644" s="17">
        <f t="shared" ref="E644:K644" si="44">AVERAGE(E528:E539)</f>
        <v>58.887100000000004</v>
      </c>
      <c r="F644" s="17">
        <f t="shared" si="44"/>
        <v>58.887100000000004</v>
      </c>
      <c r="G644" s="17">
        <f t="shared" si="44"/>
        <v>59.158474999999989</v>
      </c>
      <c r="H644" s="17">
        <f t="shared" si="44"/>
        <v>59.023741666666659</v>
      </c>
      <c r="I644" s="17">
        <f t="shared" si="44"/>
        <v>59.023741666666659</v>
      </c>
      <c r="J644" s="17">
        <f t="shared" si="44"/>
        <v>59.023741666666659</v>
      </c>
      <c r="K644" s="17">
        <f t="shared" si="44"/>
        <v>59.023741666666659</v>
      </c>
      <c r="L644" s="17"/>
    </row>
    <row r="645" spans="1:12" ht="15" x14ac:dyDescent="0.2">
      <c r="A645" s="11">
        <f t="shared" si="25"/>
        <v>2057</v>
      </c>
      <c r="B645" s="17">
        <f>AVERAGE(B540:B551)</f>
        <v>60.512366666666658</v>
      </c>
      <c r="C645" s="17">
        <f>AVERAGE(C540:C551)</f>
        <v>60.080149999999996</v>
      </c>
      <c r="D645" s="17"/>
      <c r="E645" s="17">
        <f t="shared" ref="E645:K645" si="45">AVERAGE(E540:E551)</f>
        <v>59.943466666666666</v>
      </c>
      <c r="F645" s="17">
        <f t="shared" si="45"/>
        <v>59.943466666666666</v>
      </c>
      <c r="G645" s="17">
        <f t="shared" si="45"/>
        <v>60.214866666666659</v>
      </c>
      <c r="H645" s="17">
        <f t="shared" si="45"/>
        <v>60.080149999999996</v>
      </c>
      <c r="I645" s="17">
        <f t="shared" si="45"/>
        <v>60.080149999999996</v>
      </c>
      <c r="J645" s="17">
        <f t="shared" si="45"/>
        <v>60.080149999999996</v>
      </c>
      <c r="K645" s="17">
        <f t="shared" si="45"/>
        <v>60.080149999999996</v>
      </c>
      <c r="L645" s="17"/>
    </row>
    <row r="646" spans="1:12" ht="15" x14ac:dyDescent="0.2">
      <c r="A646" s="11">
        <f t="shared" si="25"/>
        <v>2058</v>
      </c>
      <c r="B646" s="17">
        <f>AVERAGE(B552:B563)</f>
        <v>61.588300000000004</v>
      </c>
      <c r="C646" s="17">
        <f>AVERAGE(C552:C563)</f>
        <v>61.156041666666674</v>
      </c>
      <c r="D646" s="17"/>
      <c r="E646" s="17">
        <f t="shared" ref="E646:K646" si="46">AVERAGE(E552:E563)</f>
        <v>61.01938333333333</v>
      </c>
      <c r="F646" s="17">
        <f t="shared" si="46"/>
        <v>61.01938333333333</v>
      </c>
      <c r="G646" s="17">
        <f t="shared" si="46"/>
        <v>61.290758333333336</v>
      </c>
      <c r="H646" s="17">
        <f t="shared" si="46"/>
        <v>61.156041666666674</v>
      </c>
      <c r="I646" s="17">
        <f t="shared" si="46"/>
        <v>61.156041666666674</v>
      </c>
      <c r="J646" s="17">
        <f t="shared" si="46"/>
        <v>61.156041666666674</v>
      </c>
      <c r="K646" s="17">
        <f t="shared" si="46"/>
        <v>61.156041666666674</v>
      </c>
      <c r="L646" s="17"/>
    </row>
    <row r="647" spans="1:12" ht="15" x14ac:dyDescent="0.2">
      <c r="A647" s="11">
        <f t="shared" si="25"/>
        <v>2059</v>
      </c>
      <c r="B647" s="17">
        <f>AVERAGE(B564:B575)</f>
        <v>62.684074999999986</v>
      </c>
      <c r="C647" s="17">
        <f>AVERAGE(C564:C575)</f>
        <v>62.251849999999997</v>
      </c>
      <c r="D647" s="17"/>
      <c r="E647" s="17">
        <f t="shared" ref="E647:K647" si="47">AVERAGE(E564:E575)</f>
        <v>62.115174999999994</v>
      </c>
      <c r="F647" s="17">
        <f t="shared" si="47"/>
        <v>62.115174999999994</v>
      </c>
      <c r="G647" s="17">
        <f t="shared" si="47"/>
        <v>62.386566666666674</v>
      </c>
      <c r="H647" s="17">
        <f t="shared" si="47"/>
        <v>62.251849999999997</v>
      </c>
      <c r="I647" s="17">
        <f t="shared" si="47"/>
        <v>62.251849999999997</v>
      </c>
      <c r="J647" s="17">
        <f t="shared" si="47"/>
        <v>62.251849999999997</v>
      </c>
      <c r="K647" s="17">
        <f t="shared" si="47"/>
        <v>62.251849999999997</v>
      </c>
      <c r="L647" s="17"/>
    </row>
    <row r="648" spans="1:12" ht="15" x14ac:dyDescent="0.2">
      <c r="A648" s="11">
        <f t="shared" si="25"/>
        <v>2060</v>
      </c>
      <c r="B648" s="17">
        <f>AVERAGE(B576:B587)</f>
        <v>63.800125000000001</v>
      </c>
      <c r="C648" s="17">
        <f>AVERAGE(C576:C587)</f>
        <v>63.367891666666672</v>
      </c>
      <c r="D648" s="17"/>
      <c r="E648" s="17">
        <f t="shared" ref="E648:K648" si="48">AVERAGE(E576:E587)</f>
        <v>63.231224999999995</v>
      </c>
      <c r="F648" s="17">
        <f t="shared" si="48"/>
        <v>63.231224999999995</v>
      </c>
      <c r="G648" s="17">
        <f t="shared" si="48"/>
        <v>63.502600000000001</v>
      </c>
      <c r="H648" s="17">
        <f t="shared" si="48"/>
        <v>63.367891666666672</v>
      </c>
      <c r="I648" s="17">
        <f t="shared" si="48"/>
        <v>63.367891666666672</v>
      </c>
      <c r="J648" s="17">
        <f t="shared" si="48"/>
        <v>63.367891666666672</v>
      </c>
      <c r="K648" s="17">
        <f t="shared" si="48"/>
        <v>63.367891666666672</v>
      </c>
      <c r="L648" s="17"/>
    </row>
    <row r="649" spans="1:12" ht="15" x14ac:dyDescent="0.2">
      <c r="A649" s="11">
        <f t="shared" si="25"/>
        <v>2061</v>
      </c>
      <c r="B649" s="17">
        <f>AVERAGE(B588:B599)</f>
        <v>64.936783333333338</v>
      </c>
      <c r="C649" s="17">
        <f>AVERAGE(C588:C599)</f>
        <v>64.504566666666662</v>
      </c>
      <c r="D649" s="17"/>
      <c r="E649" s="17">
        <f t="shared" ref="E649:K649" si="49">AVERAGE(E588:E599)</f>
        <v>64.367883333333339</v>
      </c>
      <c r="F649" s="17">
        <f t="shared" si="49"/>
        <v>64.367883333333339</v>
      </c>
      <c r="G649" s="17">
        <f t="shared" si="49"/>
        <v>64.639274999999984</v>
      </c>
      <c r="H649" s="17">
        <f t="shared" si="49"/>
        <v>64.504566666666662</v>
      </c>
      <c r="I649" s="17">
        <f t="shared" si="49"/>
        <v>64.504566666666662</v>
      </c>
      <c r="J649" s="17">
        <f t="shared" si="49"/>
        <v>64.504566666666662</v>
      </c>
      <c r="K649" s="17">
        <f t="shared" si="49"/>
        <v>64.504566666666662</v>
      </c>
      <c r="L649" s="17"/>
    </row>
    <row r="650" spans="1:12" x14ac:dyDescent="0.2">
      <c r="A650" s="8"/>
    </row>
    <row r="651" spans="1:12" x14ac:dyDescent="0.2">
      <c r="A651" s="8"/>
    </row>
    <row r="652" spans="1:12" x14ac:dyDescent="0.2">
      <c r="A652" s="8"/>
    </row>
    <row r="653" spans="1:12" x14ac:dyDescent="0.2">
      <c r="A653" s="8"/>
    </row>
    <row r="654" spans="1:12" x14ac:dyDescent="0.2">
      <c r="A654" s="8"/>
    </row>
    <row r="655" spans="1:12" x14ac:dyDescent="0.2">
      <c r="A655" s="8"/>
    </row>
    <row r="656" spans="1:12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</sheetData>
  <pageMargins left="0.25" right="0.25" top="0.5" bottom="0.5" header="0.25" footer="0.25"/>
  <pageSetup paperSize="5" scale="8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6</xdr:col>
                    <xdr:colOff>104775</xdr:colOff>
                    <xdr:row>7</xdr:row>
                    <xdr:rowOff>85725</xdr:rowOff>
                  </from>
                  <to>
                    <xdr:col>7</xdr:col>
                    <xdr:colOff>104775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7</xdr:col>
                    <xdr:colOff>295275</xdr:colOff>
                    <xdr:row>7</xdr:row>
                    <xdr:rowOff>114300</xdr:rowOff>
                  </from>
                  <to>
                    <xdr:col>8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K708"/>
  <sheetViews>
    <sheetView zoomScale="75" zoomScaleNormal="75" workbookViewId="0">
      <pane xSplit="1" ySplit="11" topLeftCell="B12" activePane="bottomRight" state="frozen"/>
      <selection activeCell="A7" sqref="A7"/>
      <selection pane="topRight" activeCell="A7" sqref="A7"/>
      <selection pane="bottomLeft" activeCell="A7" sqref="A7"/>
      <selection pane="bottomRight" activeCell="B12" sqref="B12"/>
    </sheetView>
  </sheetViews>
  <sheetFormatPr defaultColWidth="7.109375" defaultRowHeight="12.75" x14ac:dyDescent="0.2"/>
  <cols>
    <col min="1" max="1" width="18.44140625" style="33" customWidth="1"/>
    <col min="2" max="3" width="14.5546875" style="33" customWidth="1"/>
    <col min="4" max="4" width="16.88671875" style="33" customWidth="1"/>
    <col min="5" max="5" width="14.5546875" style="33" customWidth="1"/>
    <col min="6" max="6" width="16.77734375" style="33" customWidth="1"/>
    <col min="7" max="9" width="14.5546875" style="33" customWidth="1"/>
    <col min="10" max="10" width="12.21875" style="8" customWidth="1"/>
    <col min="11" max="11" width="9.6640625" style="8" customWidth="1"/>
    <col min="12" max="16384" width="7.109375" style="8"/>
  </cols>
  <sheetData>
    <row r="1" spans="1:10" ht="15.75" x14ac:dyDescent="0.25">
      <c r="A1" s="103" t="s">
        <v>90</v>
      </c>
    </row>
    <row r="2" spans="1:10" ht="15.75" x14ac:dyDescent="0.25">
      <c r="A2" s="103" t="s">
        <v>91</v>
      </c>
    </row>
    <row r="3" spans="1:10" ht="15.75" x14ac:dyDescent="0.25">
      <c r="A3" s="103" t="s">
        <v>92</v>
      </c>
    </row>
    <row r="4" spans="1:10" ht="15.75" x14ac:dyDescent="0.25">
      <c r="A4" s="103" t="s">
        <v>93</v>
      </c>
    </row>
    <row r="5" spans="1:10" ht="15.75" x14ac:dyDescent="0.25">
      <c r="A5" s="103" t="s">
        <v>95</v>
      </c>
    </row>
    <row r="6" spans="1:10" ht="15.75" x14ac:dyDescent="0.25">
      <c r="A6" s="103" t="s">
        <v>98</v>
      </c>
    </row>
    <row r="7" spans="1:10" s="25" customForma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10" ht="15.75" x14ac:dyDescent="0.25">
      <c r="A8" s="46" t="s">
        <v>27</v>
      </c>
      <c r="B8" s="47"/>
      <c r="C8" s="41"/>
    </row>
    <row r="9" spans="1:10" ht="15.75" x14ac:dyDescent="0.25">
      <c r="A9" s="46"/>
      <c r="B9" s="41"/>
      <c r="C9" s="41"/>
      <c r="D9" s="40" t="s">
        <v>25</v>
      </c>
      <c r="E9" s="39">
        <f>1-0.278</f>
        <v>0.72199999999999998</v>
      </c>
      <c r="F9" s="40" t="s">
        <v>24</v>
      </c>
      <c r="G9" s="39">
        <v>1.278</v>
      </c>
    </row>
    <row r="10" spans="1:10" s="35" customFormat="1" ht="34.9" customHeight="1" x14ac:dyDescent="0.25">
      <c r="B10" s="38" t="s">
        <v>47</v>
      </c>
      <c r="C10" s="36" t="s">
        <v>46</v>
      </c>
      <c r="D10" s="38" t="s">
        <v>45</v>
      </c>
      <c r="E10" s="36" t="s">
        <v>44</v>
      </c>
      <c r="F10" s="38" t="s">
        <v>43</v>
      </c>
      <c r="G10" s="36" t="s">
        <v>42</v>
      </c>
      <c r="H10" s="36" t="s">
        <v>41</v>
      </c>
      <c r="I10" s="38" t="s">
        <v>40</v>
      </c>
      <c r="J10" s="36" t="s">
        <v>39</v>
      </c>
    </row>
    <row r="11" spans="1:10" s="35" customFormat="1" ht="13.15" customHeight="1" x14ac:dyDescent="0.25">
      <c r="A11" s="37" t="s">
        <v>15</v>
      </c>
      <c r="B11" s="37" t="s">
        <v>14</v>
      </c>
      <c r="C11" s="37" t="s">
        <v>14</v>
      </c>
      <c r="D11" s="37" t="s">
        <v>14</v>
      </c>
      <c r="E11" s="37" t="s">
        <v>14</v>
      </c>
      <c r="F11" s="37" t="s">
        <v>14</v>
      </c>
      <c r="G11" s="37" t="s">
        <v>14</v>
      </c>
      <c r="H11" s="37" t="s">
        <v>14</v>
      </c>
      <c r="I11" s="37" t="s">
        <v>14</v>
      </c>
      <c r="J11" s="37" t="s">
        <v>38</v>
      </c>
    </row>
    <row r="12" spans="1:10" ht="15" x14ac:dyDescent="0.2">
      <c r="A12" s="16">
        <v>41275</v>
      </c>
      <c r="B12" s="17">
        <v>17.5608163872467</v>
      </c>
      <c r="C12" s="17">
        <v>16.672788775099502</v>
      </c>
      <c r="D12" s="17">
        <v>16.664976275099502</v>
      </c>
      <c r="E12" s="17">
        <v>16.664976275099502</v>
      </c>
      <c r="F12" s="17">
        <v>16.6118512750995</v>
      </c>
      <c r="G12" s="17">
        <v>16.6712262750995</v>
      </c>
      <c r="H12" s="17">
        <v>16.6712262750995</v>
      </c>
      <c r="I12" s="17">
        <v>16.672788775099502</v>
      </c>
      <c r="J12" s="44">
        <f>89.51</f>
        <v>89.51</v>
      </c>
    </row>
    <row r="13" spans="1:10" ht="15" x14ac:dyDescent="0.2">
      <c r="A13" s="16">
        <v>41306</v>
      </c>
      <c r="B13" s="17">
        <v>18.139507285282502</v>
      </c>
      <c r="C13" s="17">
        <v>17.084489196554799</v>
      </c>
      <c r="D13" s="17">
        <v>17.076676696554799</v>
      </c>
      <c r="E13" s="17">
        <v>17.076676696554799</v>
      </c>
      <c r="F13" s="17">
        <v>17.023551696554801</v>
      </c>
      <c r="G13" s="17">
        <v>17.0829266965548</v>
      </c>
      <c r="H13" s="17">
        <v>17.0829266965548</v>
      </c>
      <c r="I13" s="17">
        <v>17.084489196554799</v>
      </c>
      <c r="J13" s="44">
        <f>96.24</f>
        <v>96.24</v>
      </c>
    </row>
    <row r="14" spans="1:10" ht="15" x14ac:dyDescent="0.2">
      <c r="A14" s="16">
        <v>41334</v>
      </c>
      <c r="B14" s="17">
        <v>17.416851035282502</v>
      </c>
      <c r="C14" s="17">
        <v>16.401341875126299</v>
      </c>
      <c r="D14" s="17">
        <v>16.393529375126199</v>
      </c>
      <c r="E14" s="17">
        <v>16.393529375126199</v>
      </c>
      <c r="F14" s="17">
        <v>16.340404375126301</v>
      </c>
      <c r="G14" s="17">
        <v>16.3997793751263</v>
      </c>
      <c r="H14" s="17">
        <v>16.3997793751263</v>
      </c>
      <c r="I14" s="17">
        <v>16.401341875126299</v>
      </c>
      <c r="J14" s="44">
        <f>94.46</f>
        <v>94.46</v>
      </c>
    </row>
    <row r="15" spans="1:10" ht="15" x14ac:dyDescent="0.2">
      <c r="A15" s="16">
        <v>41365</v>
      </c>
      <c r="B15" s="17">
        <f>16.7344 * CHOOSE(CONTROL!$C$15, $E$9, 100%, $G$9) + CHOOSE(CONTROL!$C$38, 0.034, 0)</f>
        <v>16.7684</v>
      </c>
      <c r="C15" s="17">
        <f>15.9531 * CHOOSE(CONTROL!$C$15, $E$9, 100%, $G$9) + CHOOSE(CONTROL!$C$38, 0.0342, 0)</f>
        <v>15.987299999999999</v>
      </c>
      <c r="D15" s="17">
        <f>15.9453 * CHOOSE(CONTROL!$C$15, $E$9, 100%, $G$9) + CHOOSE(CONTROL!$C$38, 0.0342, 0)</f>
        <v>15.9795</v>
      </c>
      <c r="E15" s="17">
        <f>15.9453 * CHOOSE(CONTROL!$C$15, $E$9, 100%, $G$9) + CHOOSE(CONTROL!$C$38, 0.0342, 0)</f>
        <v>15.9795</v>
      </c>
      <c r="F15" s="45">
        <f>16.7344 * CHOOSE(CONTROL!$C$15, $E$9, 100%, $G$9) + CHOOSE(CONTROL!$C$38, 0.034, 0)</f>
        <v>16.7684</v>
      </c>
      <c r="G15" s="17">
        <f>15.9516 * CHOOSE(CONTROL!$C$15, $E$9, 100%, $G$9) + CHOOSE(CONTROL!$C$38, 0.0342, 0)</f>
        <v>15.985799999999999</v>
      </c>
      <c r="H15" s="17">
        <f>15.9516 * CHOOSE(CONTROL!$C$15, $E$9, 100%, $G$9) + CHOOSE(CONTROL!$C$38, 0.0342, 0)</f>
        <v>15.985799999999999</v>
      </c>
      <c r="I15" s="17">
        <f>15.9531 * CHOOSE(CONTROL!$C$15, $E$9, 100%, $G$9) + CHOOSE(CONTROL!$C$38, 0.0342, 0)</f>
        <v>15.987299999999999</v>
      </c>
      <c r="J15" s="44">
        <f>90.12</f>
        <v>90.12</v>
      </c>
    </row>
    <row r="16" spans="1:10" ht="15" x14ac:dyDescent="0.2">
      <c r="A16" s="16">
        <v>41395</v>
      </c>
      <c r="B16" s="17">
        <f>16.7844 * CHOOSE(CONTROL!$C$15, $E$9, 100%, $G$9) + CHOOSE(CONTROL!$C$38, 0.0353, 0)</f>
        <v>16.819700000000001</v>
      </c>
      <c r="C16" s="17">
        <f>15.925 * CHOOSE(CONTROL!$C$15, $E$9, 100%, $G$9) + CHOOSE(CONTROL!$C$38, 0.0354, 0)</f>
        <v>15.9604</v>
      </c>
      <c r="D16" s="17">
        <f>15.9172 * CHOOSE(CONTROL!$C$15, $E$9, 100%, $G$9) + CHOOSE(CONTROL!$C$38, 0.0354, 0)</f>
        <v>15.952599999999999</v>
      </c>
      <c r="E16" s="17">
        <f>15.9172 * CHOOSE(CONTROL!$C$15, $E$9, 100%, $G$9) + CHOOSE(CONTROL!$C$38, 0.0354, 0)</f>
        <v>15.952599999999999</v>
      </c>
      <c r="F16" s="45">
        <f>16.7844 * CHOOSE(CONTROL!$C$15, $E$9, 100%, $G$9) + CHOOSE(CONTROL!$C$38, 0.0353, 0)</f>
        <v>16.819700000000001</v>
      </c>
      <c r="G16" s="17">
        <f>15.9234 * CHOOSE(CONTROL!$C$15, $E$9, 100%, $G$9) + CHOOSE(CONTROL!$C$38, 0.0354, 0)</f>
        <v>15.9588</v>
      </c>
      <c r="H16" s="17">
        <f>15.9234 * CHOOSE(CONTROL!$C$15, $E$9, 100%, $G$9) + CHOOSE(CONTROL!$C$38, 0.0354, 0)</f>
        <v>15.9588</v>
      </c>
      <c r="I16" s="17">
        <f>15.925 * CHOOSE(CONTROL!$C$15, $E$9, 100%, $G$9) + CHOOSE(CONTROL!$C$38, 0.0354, 0)</f>
        <v>15.9604</v>
      </c>
      <c r="J16" s="44">
        <f>90.58</f>
        <v>90.58</v>
      </c>
    </row>
    <row r="17" spans="1:10" ht="15" x14ac:dyDescent="0.2">
      <c r="A17" s="16">
        <v>41426</v>
      </c>
      <c r="B17" s="17">
        <f>16.7266 * CHOOSE(CONTROL!$C$15, $E$9, 100%, $G$9) + CHOOSE(CONTROL!$C$38, 0.0353, 0)</f>
        <v>16.761900000000001</v>
      </c>
      <c r="C17" s="17">
        <f>15.8687 * CHOOSE(CONTROL!$C$15, $E$9, 100%, $G$9) + CHOOSE(CONTROL!$C$38, 0.0354, 0)</f>
        <v>15.9041</v>
      </c>
      <c r="D17" s="17">
        <f>15.8609 * CHOOSE(CONTROL!$C$15, $E$9, 100%, $G$9) + CHOOSE(CONTROL!$C$38, 0.0354, 0)</f>
        <v>15.8963</v>
      </c>
      <c r="E17" s="17">
        <f>15.8609 * CHOOSE(CONTROL!$C$15, $E$9, 100%, $G$9) + CHOOSE(CONTROL!$C$38, 0.0354, 0)</f>
        <v>15.8963</v>
      </c>
      <c r="F17" s="45">
        <f>16.7266 * CHOOSE(CONTROL!$C$15, $E$9, 100%, $G$9) + CHOOSE(CONTROL!$C$38, 0.0353, 0)</f>
        <v>16.761900000000001</v>
      </c>
      <c r="G17" s="17">
        <f>15.8672 * CHOOSE(CONTROL!$C$15, $E$9, 100%, $G$9) + CHOOSE(CONTROL!$C$38, 0.0354, 0)</f>
        <v>15.9026</v>
      </c>
      <c r="H17" s="17">
        <f>15.8672 * CHOOSE(CONTROL!$C$15, $E$9, 100%, $G$9) + CHOOSE(CONTROL!$C$38, 0.0354, 0)</f>
        <v>15.9026</v>
      </c>
      <c r="I17" s="17">
        <f>15.8687 * CHOOSE(CONTROL!$C$15, $E$9, 100%, $G$9) + CHOOSE(CONTROL!$C$38, 0.0354, 0)</f>
        <v>15.9041</v>
      </c>
      <c r="J17" s="44">
        <f>90.99</f>
        <v>90.99</v>
      </c>
    </row>
    <row r="18" spans="1:10" ht="15" x14ac:dyDescent="0.2">
      <c r="A18" s="16">
        <v>41456</v>
      </c>
      <c r="B18" s="17">
        <f>16.6047 * CHOOSE(CONTROL!$C$15, $E$9, 100%, $G$9) + CHOOSE(CONTROL!$C$38, 0.0353, 0)</f>
        <v>16.64</v>
      </c>
      <c r="C18" s="17">
        <f>15.7453 * CHOOSE(CONTROL!$C$15, $E$9, 100%, $G$9) + CHOOSE(CONTROL!$C$38, 0.0354, 0)</f>
        <v>15.7807</v>
      </c>
      <c r="D18" s="17">
        <f>15.7375 * CHOOSE(CONTROL!$C$15, $E$9, 100%, $G$9) + CHOOSE(CONTROL!$C$38, 0.0354, 0)</f>
        <v>15.7729</v>
      </c>
      <c r="E18" s="17">
        <f>15.7375 * CHOOSE(CONTROL!$C$15, $E$9, 100%, $G$9) + CHOOSE(CONTROL!$C$38, 0.0354, 0)</f>
        <v>15.7729</v>
      </c>
      <c r="F18" s="45">
        <f>16.6047 * CHOOSE(CONTROL!$C$15, $E$9, 100%, $G$9) + CHOOSE(CONTROL!$C$38, 0.0353, 0)</f>
        <v>16.64</v>
      </c>
      <c r="G18" s="17">
        <f>15.7437 * CHOOSE(CONTROL!$C$15, $E$9, 100%, $G$9) + CHOOSE(CONTROL!$C$38, 0.0354, 0)</f>
        <v>15.7791</v>
      </c>
      <c r="H18" s="17">
        <f>15.7437 * CHOOSE(CONTROL!$C$15, $E$9, 100%, $G$9) + CHOOSE(CONTROL!$C$38, 0.0354, 0)</f>
        <v>15.7791</v>
      </c>
      <c r="I18" s="17">
        <f>15.7453 * CHOOSE(CONTROL!$C$15, $E$9, 100%, $G$9) + CHOOSE(CONTROL!$C$38, 0.0354, 0)</f>
        <v>15.7807</v>
      </c>
      <c r="J18" s="44">
        <f>91.3</f>
        <v>91.3</v>
      </c>
    </row>
    <row r="19" spans="1:10" ht="15" x14ac:dyDescent="0.2">
      <c r="A19" s="16">
        <v>41487</v>
      </c>
      <c r="B19" s="17">
        <f>16.6047 * CHOOSE(CONTROL!$C$15, $E$9, 100%, $G$9) + CHOOSE(CONTROL!$C$38, 0.0353, 0)</f>
        <v>16.64</v>
      </c>
      <c r="C19" s="17">
        <f>15.7453 * CHOOSE(CONTROL!$C$15, $E$9, 100%, $G$9) + CHOOSE(CONTROL!$C$38, 0.0354, 0)</f>
        <v>15.7807</v>
      </c>
      <c r="D19" s="17">
        <f>15.7375 * CHOOSE(CONTROL!$C$15, $E$9, 100%, $G$9) + CHOOSE(CONTROL!$C$38, 0.0354, 0)</f>
        <v>15.7729</v>
      </c>
      <c r="E19" s="17">
        <f>15.7375 * CHOOSE(CONTROL!$C$15, $E$9, 100%, $G$9) + CHOOSE(CONTROL!$C$38, 0.0354, 0)</f>
        <v>15.7729</v>
      </c>
      <c r="F19" s="45">
        <f>16.6047 * CHOOSE(CONTROL!$C$15, $E$9, 100%, $G$9) + CHOOSE(CONTROL!$C$38, 0.0353, 0)</f>
        <v>16.64</v>
      </c>
      <c r="G19" s="17">
        <f>15.7437 * CHOOSE(CONTROL!$C$15, $E$9, 100%, $G$9) + CHOOSE(CONTROL!$C$38, 0.0354, 0)</f>
        <v>15.7791</v>
      </c>
      <c r="H19" s="17">
        <f>15.7437 * CHOOSE(CONTROL!$C$15, $E$9, 100%, $G$9) + CHOOSE(CONTROL!$C$38, 0.0354, 0)</f>
        <v>15.7791</v>
      </c>
      <c r="I19" s="17">
        <f>15.7453 * CHOOSE(CONTROL!$C$15, $E$9, 100%, $G$9) + CHOOSE(CONTROL!$C$38, 0.0354, 0)</f>
        <v>15.7807</v>
      </c>
      <c r="J19" s="44">
        <f>91.46</f>
        <v>91.46</v>
      </c>
    </row>
    <row r="20" spans="1:10" ht="15" x14ac:dyDescent="0.2">
      <c r="A20" s="16">
        <v>41518</v>
      </c>
      <c r="B20" s="17">
        <f>16.6047 * CHOOSE(CONTROL!$C$15, $E$9, 100%, $G$9) + CHOOSE(CONTROL!$C$38, 0.0353, 0)</f>
        <v>16.64</v>
      </c>
      <c r="C20" s="17">
        <f>15.7453 * CHOOSE(CONTROL!$C$15, $E$9, 100%, $G$9) + CHOOSE(CONTROL!$C$38, 0.0354, 0)</f>
        <v>15.7807</v>
      </c>
      <c r="D20" s="17">
        <f>15.7375 * CHOOSE(CONTROL!$C$15, $E$9, 100%, $G$9) + CHOOSE(CONTROL!$C$38, 0.0354, 0)</f>
        <v>15.7729</v>
      </c>
      <c r="E20" s="17">
        <f>15.7375 * CHOOSE(CONTROL!$C$15, $E$9, 100%, $G$9) + CHOOSE(CONTROL!$C$38, 0.0354, 0)</f>
        <v>15.7729</v>
      </c>
      <c r="F20" s="45">
        <f>16.6047 * CHOOSE(CONTROL!$C$15, $E$9, 100%, $G$9) + CHOOSE(CONTROL!$C$38, 0.0353, 0)</f>
        <v>16.64</v>
      </c>
      <c r="G20" s="17">
        <f>15.7437 * CHOOSE(CONTROL!$C$15, $E$9, 100%, $G$9) + CHOOSE(CONTROL!$C$38, 0.0354, 0)</f>
        <v>15.7791</v>
      </c>
      <c r="H20" s="17">
        <f>15.7437 * CHOOSE(CONTROL!$C$15, $E$9, 100%, $G$9) + CHOOSE(CONTROL!$C$38, 0.0354, 0)</f>
        <v>15.7791</v>
      </c>
      <c r="I20" s="17">
        <f>15.7453 * CHOOSE(CONTROL!$C$15, $E$9, 100%, $G$9) + CHOOSE(CONTROL!$C$38, 0.0354, 0)</f>
        <v>15.7807</v>
      </c>
      <c r="J20" s="44">
        <f>91.47</f>
        <v>91.47</v>
      </c>
    </row>
    <row r="21" spans="1:10" ht="15" x14ac:dyDescent="0.2">
      <c r="A21" s="16">
        <v>41548</v>
      </c>
      <c r="B21" s="17">
        <f>16.4328 * CHOOSE(CONTROL!$C$15, $E$9, 100%, $G$9) + CHOOSE(CONTROL!$C$38, 0.034, 0)</f>
        <v>16.466799999999999</v>
      </c>
      <c r="C21" s="17">
        <f>15.5734 * CHOOSE(CONTROL!$C$15, $E$9, 100%, $G$9) + CHOOSE(CONTROL!$C$38, 0.0342, 0)</f>
        <v>15.6076</v>
      </c>
      <c r="D21" s="17">
        <f>15.5656 * CHOOSE(CONTROL!$C$15, $E$9, 100%, $G$9) + CHOOSE(CONTROL!$C$38, 0.0342, 0)</f>
        <v>15.5998</v>
      </c>
      <c r="E21" s="17">
        <f>15.5656 * CHOOSE(CONTROL!$C$15, $E$9, 100%, $G$9) + CHOOSE(CONTROL!$C$38, 0.0342, 0)</f>
        <v>15.5998</v>
      </c>
      <c r="F21" s="45">
        <f>16.4328 * CHOOSE(CONTROL!$C$15, $E$9, 100%, $G$9) + CHOOSE(CONTROL!$C$38, 0.034, 0)</f>
        <v>16.466799999999999</v>
      </c>
      <c r="G21" s="17">
        <f>15.5719 * CHOOSE(CONTROL!$C$15, $E$9, 100%, $G$9) + CHOOSE(CONTROL!$C$38, 0.0342, 0)</f>
        <v>15.6061</v>
      </c>
      <c r="H21" s="17">
        <f>15.5719 * CHOOSE(CONTROL!$C$15, $E$9, 100%, $G$9) + CHOOSE(CONTROL!$C$38, 0.0342, 0)</f>
        <v>15.6061</v>
      </c>
      <c r="I21" s="17">
        <f>15.5734 * CHOOSE(CONTROL!$C$15, $E$9, 100%, $G$9) + CHOOSE(CONTROL!$C$38, 0.0342, 0)</f>
        <v>15.6076</v>
      </c>
      <c r="J21" s="44">
        <f>91.34</f>
        <v>91.34</v>
      </c>
    </row>
    <row r="22" spans="1:10" ht="15" x14ac:dyDescent="0.2">
      <c r="A22" s="16">
        <v>41579</v>
      </c>
      <c r="B22" s="17">
        <f>16.4328 * CHOOSE(CONTROL!$C$15, $E$9, 100%, $G$9) + CHOOSE(CONTROL!$C$38, 0.034, 0)</f>
        <v>16.466799999999999</v>
      </c>
      <c r="C22" s="17">
        <f>15.5734 * CHOOSE(CONTROL!$C$15, $E$9, 100%, $G$9) + CHOOSE(CONTROL!$C$38, 0.0342, 0)</f>
        <v>15.6076</v>
      </c>
      <c r="D22" s="17">
        <f>15.5656 * CHOOSE(CONTROL!$C$15, $E$9, 100%, $G$9) + CHOOSE(CONTROL!$C$38, 0.0342, 0)</f>
        <v>15.5998</v>
      </c>
      <c r="E22" s="17">
        <f>15.5656 * CHOOSE(CONTROL!$C$15, $E$9, 100%, $G$9) + CHOOSE(CONTROL!$C$38, 0.0342, 0)</f>
        <v>15.5998</v>
      </c>
      <c r="F22" s="45">
        <f>16.4328 * CHOOSE(CONTROL!$C$15, $E$9, 100%, $G$9) + CHOOSE(CONTROL!$C$38, 0.034, 0)</f>
        <v>16.466799999999999</v>
      </c>
      <c r="G22" s="17">
        <f>15.5719 * CHOOSE(CONTROL!$C$15, $E$9, 100%, $G$9) + CHOOSE(CONTROL!$C$38, 0.0342, 0)</f>
        <v>15.6061</v>
      </c>
      <c r="H22" s="17">
        <f>15.5719 * CHOOSE(CONTROL!$C$15, $E$9, 100%, $G$9) + CHOOSE(CONTROL!$C$38, 0.0342, 0)</f>
        <v>15.6061</v>
      </c>
      <c r="I22" s="17">
        <f>15.5734 * CHOOSE(CONTROL!$C$15, $E$9, 100%, $G$9) + CHOOSE(CONTROL!$C$38, 0.0342, 0)</f>
        <v>15.6076</v>
      </c>
      <c r="J22" s="44">
        <f>91.12</f>
        <v>91.12</v>
      </c>
    </row>
    <row r="23" spans="1:10" ht="15" x14ac:dyDescent="0.2">
      <c r="A23" s="16">
        <v>41609</v>
      </c>
      <c r="B23" s="17">
        <f>16.4328 * CHOOSE(CONTROL!$C$15, $E$9, 100%, $G$9) + CHOOSE(CONTROL!$C$38, 0.034, 0)</f>
        <v>16.466799999999999</v>
      </c>
      <c r="C23" s="17">
        <f>15.5734 * CHOOSE(CONTROL!$C$15, $E$9, 100%, $G$9) + CHOOSE(CONTROL!$C$38, 0.0342, 0)</f>
        <v>15.6076</v>
      </c>
      <c r="D23" s="17">
        <f>15.5656 * CHOOSE(CONTROL!$C$15, $E$9, 100%, $G$9) + CHOOSE(CONTROL!$C$38, 0.0342, 0)</f>
        <v>15.5998</v>
      </c>
      <c r="E23" s="17">
        <f>15.5656 * CHOOSE(CONTROL!$C$15, $E$9, 100%, $G$9) + CHOOSE(CONTROL!$C$38, 0.0342, 0)</f>
        <v>15.5998</v>
      </c>
      <c r="F23" s="45">
        <f>16.4328 * CHOOSE(CONTROL!$C$15, $E$9, 100%, $G$9) + CHOOSE(CONTROL!$C$38, 0.034, 0)</f>
        <v>16.466799999999999</v>
      </c>
      <c r="G23" s="17">
        <f>15.5719 * CHOOSE(CONTROL!$C$15, $E$9, 100%, $G$9) + CHOOSE(CONTROL!$C$38, 0.0342, 0)</f>
        <v>15.6061</v>
      </c>
      <c r="H23" s="17">
        <f>15.5719 * CHOOSE(CONTROL!$C$15, $E$9, 100%, $G$9) + CHOOSE(CONTROL!$C$38, 0.0342, 0)</f>
        <v>15.6061</v>
      </c>
      <c r="I23" s="17">
        <f>15.5734 * CHOOSE(CONTROL!$C$15, $E$9, 100%, $G$9) + CHOOSE(CONTROL!$C$38, 0.0342, 0)</f>
        <v>15.6076</v>
      </c>
      <c r="J23" s="44">
        <f>90.86</f>
        <v>90.86</v>
      </c>
    </row>
    <row r="24" spans="1:10" ht="15" x14ac:dyDescent="0.2">
      <c r="A24" s="16">
        <v>41640</v>
      </c>
      <c r="B24" s="17">
        <f>16.0594 * CHOOSE(CONTROL!$C$15, $E$9, 100%, $G$9) + CHOOSE(CONTROL!$C$38, 0.034, 0)</f>
        <v>16.093399999999999</v>
      </c>
      <c r="C24" s="17">
        <f>15.2188 * CHOOSE(CONTROL!$C$15, $E$9, 100%, $G$9) + CHOOSE(CONTROL!$C$38, 0.0342, 0)</f>
        <v>15.253</v>
      </c>
      <c r="D24" s="17">
        <f>15.2109 * CHOOSE(CONTROL!$C$15, $E$9, 100%, $G$9) + CHOOSE(CONTROL!$C$38, 0.0342, 0)</f>
        <v>15.245100000000001</v>
      </c>
      <c r="E24" s="17">
        <f>15.2109 * CHOOSE(CONTROL!$C$15, $E$9, 100%, $G$9) + CHOOSE(CONTROL!$C$38, 0.0342, 0)</f>
        <v>15.245100000000001</v>
      </c>
      <c r="F24" s="45">
        <f>16.0594 * CHOOSE(CONTROL!$C$15, $E$9, 100%, $G$9) + CHOOSE(CONTROL!$C$38, 0.034, 0)</f>
        <v>16.093399999999999</v>
      </c>
      <c r="G24" s="17">
        <f>15.2172 * CHOOSE(CONTROL!$C$15, $E$9, 100%, $G$9) + CHOOSE(CONTROL!$C$38, 0.0342, 0)</f>
        <v>15.2514</v>
      </c>
      <c r="H24" s="17">
        <f>15.2172 * CHOOSE(CONTROL!$C$15, $E$9, 100%, $G$9) + CHOOSE(CONTROL!$C$38, 0.0342, 0)</f>
        <v>15.2514</v>
      </c>
      <c r="I24" s="17">
        <f>15.2188 * CHOOSE(CONTROL!$C$15, $E$9, 100%, $G$9) + CHOOSE(CONTROL!$C$38, 0.0342, 0)</f>
        <v>15.253</v>
      </c>
      <c r="J24" s="44">
        <f>90.57</f>
        <v>90.57</v>
      </c>
    </row>
    <row r="25" spans="1:10" ht="15" x14ac:dyDescent="0.2">
      <c r="A25" s="16">
        <v>41671</v>
      </c>
      <c r="B25" s="17">
        <f>16.0594 * CHOOSE(CONTROL!$C$15, $E$9, 100%, $G$9) + CHOOSE(CONTROL!$C$38, 0.034, 0)</f>
        <v>16.093399999999999</v>
      </c>
      <c r="C25" s="17">
        <f>15.2188 * CHOOSE(CONTROL!$C$15, $E$9, 100%, $G$9) + CHOOSE(CONTROL!$C$38, 0.0342, 0)</f>
        <v>15.253</v>
      </c>
      <c r="D25" s="17">
        <f>15.2109 * CHOOSE(CONTROL!$C$15, $E$9, 100%, $G$9) + CHOOSE(CONTROL!$C$38, 0.0342, 0)</f>
        <v>15.245100000000001</v>
      </c>
      <c r="E25" s="17">
        <f>15.2109 * CHOOSE(CONTROL!$C$15, $E$9, 100%, $G$9) + CHOOSE(CONTROL!$C$38, 0.0342, 0)</f>
        <v>15.245100000000001</v>
      </c>
      <c r="F25" s="45">
        <f>16.0594 * CHOOSE(CONTROL!$C$15, $E$9, 100%, $G$9) + CHOOSE(CONTROL!$C$38, 0.034, 0)</f>
        <v>16.093399999999999</v>
      </c>
      <c r="G25" s="17">
        <f>15.2172 * CHOOSE(CONTROL!$C$15, $E$9, 100%, $G$9) + CHOOSE(CONTROL!$C$38, 0.0342, 0)</f>
        <v>15.2514</v>
      </c>
      <c r="H25" s="17">
        <f>15.2172 * CHOOSE(CONTROL!$C$15, $E$9, 100%, $G$9) + CHOOSE(CONTROL!$C$38, 0.0342, 0)</f>
        <v>15.2514</v>
      </c>
      <c r="I25" s="17">
        <f>15.2188 * CHOOSE(CONTROL!$C$15, $E$9, 100%, $G$9) + CHOOSE(CONTROL!$C$38, 0.0342, 0)</f>
        <v>15.253</v>
      </c>
      <c r="J25" s="44">
        <f>90.3</f>
        <v>90.3</v>
      </c>
    </row>
    <row r="26" spans="1:10" ht="15" x14ac:dyDescent="0.2">
      <c r="A26" s="16">
        <v>41699</v>
      </c>
      <c r="B26" s="17">
        <f>16.0594 * CHOOSE(CONTROL!$C$15, $E$9, 100%, $G$9) + CHOOSE(CONTROL!$C$38, 0.034, 0)</f>
        <v>16.093399999999999</v>
      </c>
      <c r="C26" s="17">
        <f>15.2188 * CHOOSE(CONTROL!$C$15, $E$9, 100%, $G$9) + CHOOSE(CONTROL!$C$38, 0.0342, 0)</f>
        <v>15.253</v>
      </c>
      <c r="D26" s="17">
        <f>15.2109 * CHOOSE(CONTROL!$C$15, $E$9, 100%, $G$9) + CHOOSE(CONTROL!$C$38, 0.0342, 0)</f>
        <v>15.245100000000001</v>
      </c>
      <c r="E26" s="17">
        <f>15.2109 * CHOOSE(CONTROL!$C$15, $E$9, 100%, $G$9) + CHOOSE(CONTROL!$C$38, 0.0342, 0)</f>
        <v>15.245100000000001</v>
      </c>
      <c r="F26" s="45">
        <f>16.0594 * CHOOSE(CONTROL!$C$15, $E$9, 100%, $G$9) + CHOOSE(CONTROL!$C$38, 0.034, 0)</f>
        <v>16.093399999999999</v>
      </c>
      <c r="G26" s="17">
        <f>15.2172 * CHOOSE(CONTROL!$C$15, $E$9, 100%, $G$9) + CHOOSE(CONTROL!$C$38, 0.0342, 0)</f>
        <v>15.2514</v>
      </c>
      <c r="H26" s="17">
        <f>15.2172 * CHOOSE(CONTROL!$C$15, $E$9, 100%, $G$9) + CHOOSE(CONTROL!$C$38, 0.0342, 0)</f>
        <v>15.2514</v>
      </c>
      <c r="I26" s="17">
        <f>15.2188 * CHOOSE(CONTROL!$C$15, $E$9, 100%, $G$9) + CHOOSE(CONTROL!$C$38, 0.0342, 0)</f>
        <v>15.253</v>
      </c>
      <c r="J26" s="44">
        <f>90.05</f>
        <v>90.05</v>
      </c>
    </row>
    <row r="27" spans="1:10" ht="15" x14ac:dyDescent="0.2">
      <c r="A27" s="16">
        <v>41730</v>
      </c>
      <c r="B27" s="17">
        <f>16.0594 * CHOOSE(CONTROL!$C$15, $E$9, 100%, $G$9) + CHOOSE(CONTROL!$C$38, 0.034, 0)</f>
        <v>16.093399999999999</v>
      </c>
      <c r="C27" s="17">
        <f>15.2188 * CHOOSE(CONTROL!$C$15, $E$9, 100%, $G$9) + CHOOSE(CONTROL!$C$38, 0.0342, 0)</f>
        <v>15.253</v>
      </c>
      <c r="D27" s="17">
        <f>15.2109 * CHOOSE(CONTROL!$C$15, $E$9, 100%, $G$9) + CHOOSE(CONTROL!$C$38, 0.0342, 0)</f>
        <v>15.245100000000001</v>
      </c>
      <c r="E27" s="17">
        <f>15.2109 * CHOOSE(CONTROL!$C$15, $E$9, 100%, $G$9) + CHOOSE(CONTROL!$C$38, 0.0342, 0)</f>
        <v>15.245100000000001</v>
      </c>
      <c r="F27" s="45">
        <f>16.0594 * CHOOSE(CONTROL!$C$15, $E$9, 100%, $G$9) + CHOOSE(CONTROL!$C$38, 0.034, 0)</f>
        <v>16.093399999999999</v>
      </c>
      <c r="G27" s="17">
        <f>15.2172 * CHOOSE(CONTROL!$C$15, $E$9, 100%, $G$9) + CHOOSE(CONTROL!$C$38, 0.0342, 0)</f>
        <v>15.2514</v>
      </c>
      <c r="H27" s="17">
        <f>15.2172 * CHOOSE(CONTROL!$C$15, $E$9, 100%, $G$9) + CHOOSE(CONTROL!$C$38, 0.0342, 0)</f>
        <v>15.2514</v>
      </c>
      <c r="I27" s="17">
        <f>15.2188 * CHOOSE(CONTROL!$C$15, $E$9, 100%, $G$9) + CHOOSE(CONTROL!$C$38, 0.0342, 0)</f>
        <v>15.253</v>
      </c>
      <c r="J27" s="44">
        <f>89.81</f>
        <v>89.81</v>
      </c>
    </row>
    <row r="28" spans="1:10" ht="15" x14ac:dyDescent="0.2">
      <c r="A28" s="16">
        <v>41760</v>
      </c>
      <c r="B28" s="17">
        <f>16.0594 * CHOOSE(CONTROL!$C$15, $E$9, 100%, $G$9) + CHOOSE(CONTROL!$C$38, 0.0353, 0)</f>
        <v>16.0947</v>
      </c>
      <c r="C28" s="17">
        <f>15.2188 * CHOOSE(CONTROL!$C$15, $E$9, 100%, $G$9) + CHOOSE(CONTROL!$C$38, 0.0354, 0)</f>
        <v>15.254199999999999</v>
      </c>
      <c r="D28" s="17">
        <f>15.2109 * CHOOSE(CONTROL!$C$15, $E$9, 100%, $G$9) + CHOOSE(CONTROL!$C$38, 0.0354, 0)</f>
        <v>15.2463</v>
      </c>
      <c r="E28" s="17">
        <f>15.2109 * CHOOSE(CONTROL!$C$15, $E$9, 100%, $G$9) + CHOOSE(CONTROL!$C$38, 0.0354, 0)</f>
        <v>15.2463</v>
      </c>
      <c r="F28" s="45">
        <f>16.0594 * CHOOSE(CONTROL!$C$15, $E$9, 100%, $G$9) + CHOOSE(CONTROL!$C$38, 0.0353, 0)</f>
        <v>16.0947</v>
      </c>
      <c r="G28" s="17">
        <f>15.2172 * CHOOSE(CONTROL!$C$15, $E$9, 100%, $G$9) + CHOOSE(CONTROL!$C$38, 0.0354, 0)</f>
        <v>15.252599999999999</v>
      </c>
      <c r="H28" s="17">
        <f>15.2172 * CHOOSE(CONTROL!$C$15, $E$9, 100%, $G$9) + CHOOSE(CONTROL!$C$38, 0.0354, 0)</f>
        <v>15.252599999999999</v>
      </c>
      <c r="I28" s="17">
        <f>15.2188 * CHOOSE(CONTROL!$C$15, $E$9, 100%, $G$9) + CHOOSE(CONTROL!$C$38, 0.0354, 0)</f>
        <v>15.254199999999999</v>
      </c>
      <c r="J28" s="44">
        <f>89.58</f>
        <v>89.58</v>
      </c>
    </row>
    <row r="29" spans="1:10" ht="15" x14ac:dyDescent="0.2">
      <c r="A29" s="16">
        <v>41791</v>
      </c>
      <c r="B29" s="17">
        <f>16.0594 * CHOOSE(CONTROL!$C$15, $E$9, 100%, $G$9) + CHOOSE(CONTROL!$C$38, 0.0353, 0)</f>
        <v>16.0947</v>
      </c>
      <c r="C29" s="17">
        <f>15.2188 * CHOOSE(CONTROL!$C$15, $E$9, 100%, $G$9) + CHOOSE(CONTROL!$C$38, 0.0354, 0)</f>
        <v>15.254199999999999</v>
      </c>
      <c r="D29" s="17">
        <f>15.2109 * CHOOSE(CONTROL!$C$15, $E$9, 100%, $G$9) + CHOOSE(CONTROL!$C$38, 0.0354, 0)</f>
        <v>15.2463</v>
      </c>
      <c r="E29" s="17">
        <f>15.2109 * CHOOSE(CONTROL!$C$15, $E$9, 100%, $G$9) + CHOOSE(CONTROL!$C$38, 0.0354, 0)</f>
        <v>15.2463</v>
      </c>
      <c r="F29" s="45">
        <f>16.0594 * CHOOSE(CONTROL!$C$15, $E$9, 100%, $G$9) + CHOOSE(CONTROL!$C$38, 0.0353, 0)</f>
        <v>16.0947</v>
      </c>
      <c r="G29" s="17">
        <f>15.2172 * CHOOSE(CONTROL!$C$15, $E$9, 100%, $G$9) + CHOOSE(CONTROL!$C$38, 0.0354, 0)</f>
        <v>15.252599999999999</v>
      </c>
      <c r="H29" s="17">
        <f>15.2172 * CHOOSE(CONTROL!$C$15, $E$9, 100%, $G$9) + CHOOSE(CONTROL!$C$38, 0.0354, 0)</f>
        <v>15.252599999999999</v>
      </c>
      <c r="I29" s="17">
        <f>15.2188 * CHOOSE(CONTROL!$C$15, $E$9, 100%, $G$9) + CHOOSE(CONTROL!$C$38, 0.0354, 0)</f>
        <v>15.254199999999999</v>
      </c>
      <c r="J29" s="44">
        <f>89.38</f>
        <v>89.38</v>
      </c>
    </row>
    <row r="30" spans="1:10" ht="15" x14ac:dyDescent="0.2">
      <c r="A30" s="16">
        <v>41821</v>
      </c>
      <c r="B30" s="17">
        <f>16.0594 * CHOOSE(CONTROL!$C$15, $E$9, 100%, $G$9) + CHOOSE(CONTROL!$C$38, 0.0353, 0)</f>
        <v>16.0947</v>
      </c>
      <c r="C30" s="17">
        <f>15.2188 * CHOOSE(CONTROL!$C$15, $E$9, 100%, $G$9) + CHOOSE(CONTROL!$C$38, 0.0354, 0)</f>
        <v>15.254199999999999</v>
      </c>
      <c r="D30" s="17">
        <f>15.2109 * CHOOSE(CONTROL!$C$15, $E$9, 100%, $G$9) + CHOOSE(CONTROL!$C$38, 0.0354, 0)</f>
        <v>15.2463</v>
      </c>
      <c r="E30" s="17">
        <f>15.2109 * CHOOSE(CONTROL!$C$15, $E$9, 100%, $G$9) + CHOOSE(CONTROL!$C$38, 0.0354, 0)</f>
        <v>15.2463</v>
      </c>
      <c r="F30" s="45">
        <f>16.0594 * CHOOSE(CONTROL!$C$15, $E$9, 100%, $G$9) + CHOOSE(CONTROL!$C$38, 0.0353, 0)</f>
        <v>16.0947</v>
      </c>
      <c r="G30" s="17">
        <f>15.2172 * CHOOSE(CONTROL!$C$15, $E$9, 100%, $G$9) + CHOOSE(CONTROL!$C$38, 0.0354, 0)</f>
        <v>15.252599999999999</v>
      </c>
      <c r="H30" s="17">
        <f>15.2172 * CHOOSE(CONTROL!$C$15, $E$9, 100%, $G$9) + CHOOSE(CONTROL!$C$38, 0.0354, 0)</f>
        <v>15.252599999999999</v>
      </c>
      <c r="I30" s="17">
        <f>15.2188 * CHOOSE(CONTROL!$C$15, $E$9, 100%, $G$9) + CHOOSE(CONTROL!$C$38, 0.0354, 0)</f>
        <v>15.254199999999999</v>
      </c>
      <c r="J30" s="44">
        <f>89.12</f>
        <v>89.12</v>
      </c>
    </row>
    <row r="31" spans="1:10" ht="15" x14ac:dyDescent="0.2">
      <c r="A31" s="16">
        <v>41852</v>
      </c>
      <c r="B31" s="17">
        <f>16.0594 * CHOOSE(CONTROL!$C$15, $E$9, 100%, $G$9) + CHOOSE(CONTROL!$C$38, 0.0353, 0)</f>
        <v>16.0947</v>
      </c>
      <c r="C31" s="17">
        <f>15.2188 * CHOOSE(CONTROL!$C$15, $E$9, 100%, $G$9) + CHOOSE(CONTROL!$C$38, 0.0354, 0)</f>
        <v>15.254199999999999</v>
      </c>
      <c r="D31" s="17">
        <f>15.2109 * CHOOSE(CONTROL!$C$15, $E$9, 100%, $G$9) + CHOOSE(CONTROL!$C$38, 0.0354, 0)</f>
        <v>15.2463</v>
      </c>
      <c r="E31" s="17">
        <f>15.2109 * CHOOSE(CONTROL!$C$15, $E$9, 100%, $G$9) + CHOOSE(CONTROL!$C$38, 0.0354, 0)</f>
        <v>15.2463</v>
      </c>
      <c r="F31" s="45">
        <f>16.0594 * CHOOSE(CONTROL!$C$15, $E$9, 100%, $G$9) + CHOOSE(CONTROL!$C$38, 0.0353, 0)</f>
        <v>16.0947</v>
      </c>
      <c r="G31" s="17">
        <f>15.2172 * CHOOSE(CONTROL!$C$15, $E$9, 100%, $G$9) + CHOOSE(CONTROL!$C$38, 0.0354, 0)</f>
        <v>15.252599999999999</v>
      </c>
      <c r="H31" s="17">
        <f>15.2172 * CHOOSE(CONTROL!$C$15, $E$9, 100%, $G$9) + CHOOSE(CONTROL!$C$38, 0.0354, 0)</f>
        <v>15.252599999999999</v>
      </c>
      <c r="I31" s="17">
        <f>15.2188 * CHOOSE(CONTROL!$C$15, $E$9, 100%, $G$9) + CHOOSE(CONTROL!$C$38, 0.0354, 0)</f>
        <v>15.254199999999999</v>
      </c>
      <c r="J31" s="44">
        <f>88.88</f>
        <v>88.88</v>
      </c>
    </row>
    <row r="32" spans="1:10" ht="15" x14ac:dyDescent="0.2">
      <c r="A32" s="16">
        <v>41883</v>
      </c>
      <c r="B32" s="17">
        <f>16.0594 * CHOOSE(CONTROL!$C$15, $E$9, 100%, $G$9) + CHOOSE(CONTROL!$C$38, 0.0353, 0)</f>
        <v>16.0947</v>
      </c>
      <c r="C32" s="17">
        <f>15.2188 * CHOOSE(CONTROL!$C$15, $E$9, 100%, $G$9) + CHOOSE(CONTROL!$C$38, 0.0354, 0)</f>
        <v>15.254199999999999</v>
      </c>
      <c r="D32" s="17">
        <f>15.2109 * CHOOSE(CONTROL!$C$15, $E$9, 100%, $G$9) + CHOOSE(CONTROL!$C$38, 0.0354, 0)</f>
        <v>15.2463</v>
      </c>
      <c r="E32" s="17">
        <f>15.2109 * CHOOSE(CONTROL!$C$15, $E$9, 100%, $G$9) + CHOOSE(CONTROL!$C$38, 0.0354, 0)</f>
        <v>15.2463</v>
      </c>
      <c r="F32" s="45">
        <f>16.0594 * CHOOSE(CONTROL!$C$15, $E$9, 100%, $G$9) + CHOOSE(CONTROL!$C$38, 0.0353, 0)</f>
        <v>16.0947</v>
      </c>
      <c r="G32" s="17">
        <f>15.2172 * CHOOSE(CONTROL!$C$15, $E$9, 100%, $G$9) + CHOOSE(CONTROL!$C$38, 0.0354, 0)</f>
        <v>15.252599999999999</v>
      </c>
      <c r="H32" s="17">
        <f>15.2172 * CHOOSE(CONTROL!$C$15, $E$9, 100%, $G$9) + CHOOSE(CONTROL!$C$38, 0.0354, 0)</f>
        <v>15.252599999999999</v>
      </c>
      <c r="I32" s="17">
        <f>15.2188 * CHOOSE(CONTROL!$C$15, $E$9, 100%, $G$9) + CHOOSE(CONTROL!$C$38, 0.0354, 0)</f>
        <v>15.254199999999999</v>
      </c>
      <c r="J32" s="44">
        <f>88.68</f>
        <v>88.68</v>
      </c>
    </row>
    <row r="33" spans="1:10" ht="15" x14ac:dyDescent="0.2">
      <c r="A33" s="16">
        <v>41913</v>
      </c>
      <c r="B33" s="17">
        <f>16.0594 * CHOOSE(CONTROL!$C$15, $E$9, 100%, $G$9) + CHOOSE(CONTROL!$C$38, 0.034, 0)</f>
        <v>16.093399999999999</v>
      </c>
      <c r="C33" s="17">
        <f>15.2188 * CHOOSE(CONTROL!$C$15, $E$9, 100%, $G$9) + CHOOSE(CONTROL!$C$38, 0.0342, 0)</f>
        <v>15.253</v>
      </c>
      <c r="D33" s="17">
        <f>15.2109 * CHOOSE(CONTROL!$C$15, $E$9, 100%, $G$9) + CHOOSE(CONTROL!$C$38, 0.0342, 0)</f>
        <v>15.245100000000001</v>
      </c>
      <c r="E33" s="17">
        <f>15.2109 * CHOOSE(CONTROL!$C$15, $E$9, 100%, $G$9) + CHOOSE(CONTROL!$C$38, 0.0342, 0)</f>
        <v>15.245100000000001</v>
      </c>
      <c r="F33" s="45">
        <f>16.0594 * CHOOSE(CONTROL!$C$15, $E$9, 100%, $G$9) + CHOOSE(CONTROL!$C$38, 0.034, 0)</f>
        <v>16.093399999999999</v>
      </c>
      <c r="G33" s="17">
        <f>15.2172 * CHOOSE(CONTROL!$C$15, $E$9, 100%, $G$9) + CHOOSE(CONTROL!$C$38, 0.0342, 0)</f>
        <v>15.2514</v>
      </c>
      <c r="H33" s="17">
        <f>15.2172 * CHOOSE(CONTROL!$C$15, $E$9, 100%, $G$9) + CHOOSE(CONTROL!$C$38, 0.0342, 0)</f>
        <v>15.2514</v>
      </c>
      <c r="I33" s="17">
        <f>15.2188 * CHOOSE(CONTROL!$C$15, $E$9, 100%, $G$9) + CHOOSE(CONTROL!$C$38, 0.0342, 0)</f>
        <v>15.253</v>
      </c>
      <c r="J33" s="44">
        <f>88.51</f>
        <v>88.51</v>
      </c>
    </row>
    <row r="34" spans="1:10" ht="15" x14ac:dyDescent="0.2">
      <c r="A34" s="16">
        <v>41944</v>
      </c>
      <c r="B34" s="17">
        <f>16.0594 * CHOOSE(CONTROL!$C$15, $E$9, 100%, $G$9) + CHOOSE(CONTROL!$C$38, 0.034, 0)</f>
        <v>16.093399999999999</v>
      </c>
      <c r="C34" s="17">
        <f>15.2188 * CHOOSE(CONTROL!$C$15, $E$9, 100%, $G$9) + CHOOSE(CONTROL!$C$38, 0.0342, 0)</f>
        <v>15.253</v>
      </c>
      <c r="D34" s="17">
        <f>15.2109 * CHOOSE(CONTROL!$C$15, $E$9, 100%, $G$9) + CHOOSE(CONTROL!$C$38, 0.0342, 0)</f>
        <v>15.245100000000001</v>
      </c>
      <c r="E34" s="17">
        <f>15.2109 * CHOOSE(CONTROL!$C$15, $E$9, 100%, $G$9) + CHOOSE(CONTROL!$C$38, 0.0342, 0)</f>
        <v>15.245100000000001</v>
      </c>
      <c r="F34" s="45">
        <f>16.0594 * CHOOSE(CONTROL!$C$15, $E$9, 100%, $G$9) + CHOOSE(CONTROL!$C$38, 0.034, 0)</f>
        <v>16.093399999999999</v>
      </c>
      <c r="G34" s="17">
        <f>15.2172 * CHOOSE(CONTROL!$C$15, $E$9, 100%, $G$9) + CHOOSE(CONTROL!$C$38, 0.0342, 0)</f>
        <v>15.2514</v>
      </c>
      <c r="H34" s="17">
        <f>15.2172 * CHOOSE(CONTROL!$C$15, $E$9, 100%, $G$9) + CHOOSE(CONTROL!$C$38, 0.0342, 0)</f>
        <v>15.2514</v>
      </c>
      <c r="I34" s="17">
        <f>15.2188 * CHOOSE(CONTROL!$C$15, $E$9, 100%, $G$9) + CHOOSE(CONTROL!$C$38, 0.0342, 0)</f>
        <v>15.253</v>
      </c>
      <c r="J34" s="44">
        <f>88.36</f>
        <v>88.36</v>
      </c>
    </row>
    <row r="35" spans="1:10" ht="15" x14ac:dyDescent="0.2">
      <c r="A35" s="16">
        <v>41974</v>
      </c>
      <c r="B35" s="17">
        <f>16.0594 * CHOOSE(CONTROL!$C$15, $E$9, 100%, $G$9) + CHOOSE(CONTROL!$C$38, 0.034, 0)</f>
        <v>16.093399999999999</v>
      </c>
      <c r="C35" s="17">
        <f>15.2188 * CHOOSE(CONTROL!$C$15, $E$9, 100%, $G$9) + CHOOSE(CONTROL!$C$38, 0.0342, 0)</f>
        <v>15.253</v>
      </c>
      <c r="D35" s="17">
        <f>15.2109 * CHOOSE(CONTROL!$C$15, $E$9, 100%, $G$9) + CHOOSE(CONTROL!$C$38, 0.0342, 0)</f>
        <v>15.245100000000001</v>
      </c>
      <c r="E35" s="17">
        <f>15.2109 * CHOOSE(CONTROL!$C$15, $E$9, 100%, $G$9) + CHOOSE(CONTROL!$C$38, 0.0342, 0)</f>
        <v>15.245100000000001</v>
      </c>
      <c r="F35" s="45">
        <f>16.0594 * CHOOSE(CONTROL!$C$15, $E$9, 100%, $G$9) + CHOOSE(CONTROL!$C$38, 0.034, 0)</f>
        <v>16.093399999999999</v>
      </c>
      <c r="G35" s="17">
        <f>15.2172 * CHOOSE(CONTROL!$C$15, $E$9, 100%, $G$9) + CHOOSE(CONTROL!$C$38, 0.0342, 0)</f>
        <v>15.2514</v>
      </c>
      <c r="H35" s="17">
        <f>15.2172 * CHOOSE(CONTROL!$C$15, $E$9, 100%, $G$9) + CHOOSE(CONTROL!$C$38, 0.0342, 0)</f>
        <v>15.2514</v>
      </c>
      <c r="I35" s="17">
        <f>15.2188 * CHOOSE(CONTROL!$C$15, $E$9, 100%, $G$9) + CHOOSE(CONTROL!$C$38, 0.0342, 0)</f>
        <v>15.253</v>
      </c>
      <c r="J35" s="44">
        <f>88.24</f>
        <v>88.24</v>
      </c>
    </row>
    <row r="36" spans="1:10" ht="15" x14ac:dyDescent="0.2">
      <c r="A36" s="16">
        <v>42005</v>
      </c>
      <c r="B36" s="17">
        <f>15.802 * CHOOSE(CONTROL!$C$15, $E$9, 100%, $G$9) + CHOOSE(CONTROL!$C$38, 0.034, 0)</f>
        <v>15.836</v>
      </c>
      <c r="C36" s="17">
        <f>15.1141 * CHOOSE(CONTROL!$C$15, $E$9, 100%, $G$9) + CHOOSE(CONTROL!$C$38, 0.0342, 0)</f>
        <v>15.148300000000001</v>
      </c>
      <c r="D36" s="17">
        <f>15.1062 * CHOOSE(CONTROL!$C$15, $E$9, 100%, $G$9) + CHOOSE(CONTROL!$C$38, 0.0342, 0)</f>
        <v>15.1404</v>
      </c>
      <c r="E36" s="17">
        <f>15.1062 * CHOOSE(CONTROL!$C$15, $E$9, 100%, $G$9) + CHOOSE(CONTROL!$C$38, 0.0342, 0)</f>
        <v>15.1404</v>
      </c>
      <c r="F36" s="45">
        <f>15.802 * CHOOSE(CONTROL!$C$15, $E$9, 100%, $G$9) + CHOOSE(CONTROL!$C$38, 0.034, 0)</f>
        <v>15.836</v>
      </c>
      <c r="G36" s="17">
        <f>15.1125 * CHOOSE(CONTROL!$C$15, $E$9, 100%, $G$9) + CHOOSE(CONTROL!$C$38, 0.0342, 0)</f>
        <v>15.146700000000001</v>
      </c>
      <c r="H36" s="17">
        <f>15.1125 * CHOOSE(CONTROL!$C$15, $E$9, 100%, $G$9) + CHOOSE(CONTROL!$C$38, 0.0342, 0)</f>
        <v>15.146700000000001</v>
      </c>
      <c r="I36" s="17">
        <f>15.1141 * CHOOSE(CONTROL!$C$15, $E$9, 100%, $G$9) + CHOOSE(CONTROL!$C$38, 0.0342, 0)</f>
        <v>15.148300000000001</v>
      </c>
      <c r="J36" s="44">
        <f>87.98</f>
        <v>87.98</v>
      </c>
    </row>
    <row r="37" spans="1:10" ht="15" x14ac:dyDescent="0.2">
      <c r="A37" s="16">
        <v>42036</v>
      </c>
      <c r="B37" s="17">
        <f>15.802 * CHOOSE(CONTROL!$C$15, $E$9, 100%, $G$9) + CHOOSE(CONTROL!$C$38, 0.034, 0)</f>
        <v>15.836</v>
      </c>
      <c r="C37" s="17">
        <f>15.1188 * CHOOSE(CONTROL!$C$15, $E$9, 100%, $G$9) + CHOOSE(CONTROL!$C$38, 0.0342, 0)</f>
        <v>15.153</v>
      </c>
      <c r="D37" s="17">
        <f>15.1109 * CHOOSE(CONTROL!$C$15, $E$9, 100%, $G$9) + CHOOSE(CONTROL!$C$38, 0.0342, 0)</f>
        <v>15.145100000000001</v>
      </c>
      <c r="E37" s="17">
        <f>15.1109 * CHOOSE(CONTROL!$C$15, $E$9, 100%, $G$9) + CHOOSE(CONTROL!$C$38, 0.0342, 0)</f>
        <v>15.145100000000001</v>
      </c>
      <c r="F37" s="45">
        <f>15.802 * CHOOSE(CONTROL!$C$15, $E$9, 100%, $G$9) + CHOOSE(CONTROL!$C$38, 0.034, 0)</f>
        <v>15.836</v>
      </c>
      <c r="G37" s="17">
        <f>15.1172 * CHOOSE(CONTROL!$C$15, $E$9, 100%, $G$9) + CHOOSE(CONTROL!$C$38, 0.0342, 0)</f>
        <v>15.151400000000001</v>
      </c>
      <c r="H37" s="17">
        <f>15.1172 * CHOOSE(CONTROL!$C$15, $E$9, 100%, $G$9) + CHOOSE(CONTROL!$C$38, 0.0342, 0)</f>
        <v>15.151400000000001</v>
      </c>
      <c r="I37" s="17">
        <f>15.1188 * CHOOSE(CONTROL!$C$15, $E$9, 100%, $G$9) + CHOOSE(CONTROL!$C$38, 0.0342, 0)</f>
        <v>15.153</v>
      </c>
      <c r="J37" s="44">
        <f>87.74</f>
        <v>87.74</v>
      </c>
    </row>
    <row r="38" spans="1:10" ht="15" x14ac:dyDescent="0.2">
      <c r="A38" s="16">
        <v>42064</v>
      </c>
      <c r="B38" s="17">
        <f>15.802 * CHOOSE(CONTROL!$C$15, $E$9, 100%, $G$9) + CHOOSE(CONTROL!$C$38, 0.034, 0)</f>
        <v>15.836</v>
      </c>
      <c r="C38" s="17">
        <f>15.1234 * CHOOSE(CONTROL!$C$15, $E$9, 100%, $G$9) + CHOOSE(CONTROL!$C$38, 0.0342, 0)</f>
        <v>15.1576</v>
      </c>
      <c r="D38" s="17">
        <f>15.1156 * CHOOSE(CONTROL!$C$15, $E$9, 100%, $G$9) + CHOOSE(CONTROL!$C$38, 0.0342, 0)</f>
        <v>15.149800000000001</v>
      </c>
      <c r="E38" s="17">
        <f>15.1156 * CHOOSE(CONTROL!$C$15, $E$9, 100%, $G$9) + CHOOSE(CONTROL!$C$38, 0.0342, 0)</f>
        <v>15.149800000000001</v>
      </c>
      <c r="F38" s="45">
        <f>15.802 * CHOOSE(CONTROL!$C$15, $E$9, 100%, $G$9) + CHOOSE(CONTROL!$C$38, 0.034, 0)</f>
        <v>15.836</v>
      </c>
      <c r="G38" s="17">
        <f>15.1219 * CHOOSE(CONTROL!$C$15, $E$9, 100%, $G$9) + CHOOSE(CONTROL!$C$38, 0.0342, 0)</f>
        <v>15.1561</v>
      </c>
      <c r="H38" s="17">
        <f>15.1219 * CHOOSE(CONTROL!$C$15, $E$9, 100%, $G$9) + CHOOSE(CONTROL!$C$38, 0.0342, 0)</f>
        <v>15.1561</v>
      </c>
      <c r="I38" s="17">
        <f>15.1234 * CHOOSE(CONTROL!$C$15, $E$9, 100%, $G$9) + CHOOSE(CONTROL!$C$38, 0.0342, 0)</f>
        <v>15.1576</v>
      </c>
      <c r="J38" s="44">
        <f>87.52</f>
        <v>87.52</v>
      </c>
    </row>
    <row r="39" spans="1:10" ht="15" x14ac:dyDescent="0.2">
      <c r="A39" s="16">
        <v>42095</v>
      </c>
      <c r="B39" s="17">
        <f>15.802 * CHOOSE(CONTROL!$C$15, $E$9, 100%, $G$9) + CHOOSE(CONTROL!$C$38, 0.034, 0)</f>
        <v>15.836</v>
      </c>
      <c r="C39" s="17">
        <f>15.1104 * CHOOSE(CONTROL!$C$15, $E$9, 100%, $G$9) + CHOOSE(CONTROL!$C$38, 0.0342, 0)</f>
        <v>15.144600000000001</v>
      </c>
      <c r="D39" s="17">
        <f>15.1026 * CHOOSE(CONTROL!$C$15, $E$9, 100%, $G$9) + CHOOSE(CONTROL!$C$38, 0.0342, 0)</f>
        <v>15.136800000000001</v>
      </c>
      <c r="E39" s="17">
        <f>15.1026 * CHOOSE(CONTROL!$C$15, $E$9, 100%, $G$9) + CHOOSE(CONTROL!$C$38, 0.0342, 0)</f>
        <v>15.136800000000001</v>
      </c>
      <c r="F39" s="45">
        <f>15.802 * CHOOSE(CONTROL!$C$15, $E$9, 100%, $G$9) + CHOOSE(CONTROL!$C$38, 0.034, 0)</f>
        <v>15.836</v>
      </c>
      <c r="G39" s="17">
        <f>15.1088 * CHOOSE(CONTROL!$C$15, $E$9, 100%, $G$9) + CHOOSE(CONTROL!$C$38, 0.0342, 0)</f>
        <v>15.143000000000001</v>
      </c>
      <c r="H39" s="17">
        <f>15.1088 * CHOOSE(CONTROL!$C$15, $E$9, 100%, $G$9) + CHOOSE(CONTROL!$C$38, 0.0342, 0)</f>
        <v>15.143000000000001</v>
      </c>
      <c r="I39" s="17">
        <f>15.1104 * CHOOSE(CONTROL!$C$15, $E$9, 100%, $G$9) + CHOOSE(CONTROL!$C$38, 0.0342, 0)</f>
        <v>15.144600000000001</v>
      </c>
      <c r="J39" s="44">
        <f>87.31</f>
        <v>87.31</v>
      </c>
    </row>
    <row r="40" spans="1:10" ht="15" x14ac:dyDescent="0.2">
      <c r="A40" s="16">
        <v>42125</v>
      </c>
      <c r="B40" s="17">
        <f>15.802 * CHOOSE(CONTROL!$C$15, $E$9, 100%, $G$9) + CHOOSE(CONTROL!$C$38, 0.0353, 0)</f>
        <v>15.837299999999999</v>
      </c>
      <c r="C40" s="17">
        <f>15.0881 * CHOOSE(CONTROL!$C$15, $E$9, 100%, $G$9) + CHOOSE(CONTROL!$C$38, 0.0354, 0)</f>
        <v>15.1235</v>
      </c>
      <c r="D40" s="17">
        <f>15.0803 * CHOOSE(CONTROL!$C$15, $E$9, 100%, $G$9) + CHOOSE(CONTROL!$C$38, 0.0354, 0)</f>
        <v>15.115699999999999</v>
      </c>
      <c r="E40" s="17">
        <f>15.0803 * CHOOSE(CONTROL!$C$15, $E$9, 100%, $G$9) + CHOOSE(CONTROL!$C$38, 0.0354, 0)</f>
        <v>15.115699999999999</v>
      </c>
      <c r="F40" s="45">
        <f>15.802 * CHOOSE(CONTROL!$C$15, $E$9, 100%, $G$9) + CHOOSE(CONTROL!$C$38, 0.0353, 0)</f>
        <v>15.837299999999999</v>
      </c>
      <c r="G40" s="17">
        <f>15.0865 * CHOOSE(CONTROL!$C$15, $E$9, 100%, $G$9) + CHOOSE(CONTROL!$C$38, 0.0354, 0)</f>
        <v>15.121899999999998</v>
      </c>
      <c r="H40" s="17">
        <f>15.0865 * CHOOSE(CONTROL!$C$15, $E$9, 100%, $G$9) + CHOOSE(CONTROL!$C$38, 0.0354, 0)</f>
        <v>15.121899999999998</v>
      </c>
      <c r="I40" s="17">
        <f>15.0881 * CHOOSE(CONTROL!$C$15, $E$9, 100%, $G$9) + CHOOSE(CONTROL!$C$38, 0.0354, 0)</f>
        <v>15.1235</v>
      </c>
      <c r="J40" s="44">
        <f>87.11</f>
        <v>87.11</v>
      </c>
    </row>
    <row r="41" spans="1:10" ht="15" x14ac:dyDescent="0.2">
      <c r="A41" s="16">
        <v>42156</v>
      </c>
      <c r="B41" s="17">
        <f>15.802 * CHOOSE(CONTROL!$C$15, $E$9, 100%, $G$9) + CHOOSE(CONTROL!$C$38, 0.0353, 0)</f>
        <v>15.837299999999999</v>
      </c>
      <c r="C41" s="17">
        <f>15.0402 * CHOOSE(CONTROL!$C$15, $E$9, 100%, $G$9) + CHOOSE(CONTROL!$C$38, 0.0354, 0)</f>
        <v>15.0756</v>
      </c>
      <c r="D41" s="17">
        <f>15.0324 * CHOOSE(CONTROL!$C$15, $E$9, 100%, $G$9) + CHOOSE(CONTROL!$C$38, 0.0354, 0)</f>
        <v>15.0678</v>
      </c>
      <c r="E41" s="17">
        <f>15.0324 * CHOOSE(CONTROL!$C$15, $E$9, 100%, $G$9) + CHOOSE(CONTROL!$C$38, 0.0354, 0)</f>
        <v>15.0678</v>
      </c>
      <c r="F41" s="45">
        <f>15.802 * CHOOSE(CONTROL!$C$15, $E$9, 100%, $G$9) + CHOOSE(CONTROL!$C$38, 0.0353, 0)</f>
        <v>15.837299999999999</v>
      </c>
      <c r="G41" s="17">
        <f>15.0387 * CHOOSE(CONTROL!$C$15, $E$9, 100%, $G$9) + CHOOSE(CONTROL!$C$38, 0.0354, 0)</f>
        <v>15.0741</v>
      </c>
      <c r="H41" s="17">
        <f>15.0387 * CHOOSE(CONTROL!$C$15, $E$9, 100%, $G$9) + CHOOSE(CONTROL!$C$38, 0.0354, 0)</f>
        <v>15.0741</v>
      </c>
      <c r="I41" s="17">
        <f>15.0402 * CHOOSE(CONTROL!$C$15, $E$9, 100%, $G$9) + CHOOSE(CONTROL!$C$38, 0.0354, 0)</f>
        <v>15.0756</v>
      </c>
      <c r="J41" s="44">
        <f>86.94</f>
        <v>86.94</v>
      </c>
    </row>
    <row r="42" spans="1:10" ht="15" x14ac:dyDescent="0.2">
      <c r="A42" s="16">
        <v>42186</v>
      </c>
      <c r="B42" s="17">
        <f>15.802 * CHOOSE(CONTROL!$C$15, $E$9, 100%, $G$9) + CHOOSE(CONTROL!$C$38, 0.0353, 0)</f>
        <v>15.837299999999999</v>
      </c>
      <c r="C42" s="17">
        <f>14.988 * CHOOSE(CONTROL!$C$15, $E$9, 100%, $G$9) + CHOOSE(CONTROL!$C$38, 0.0354, 0)</f>
        <v>15.023399999999999</v>
      </c>
      <c r="D42" s="17">
        <f>14.9802 * CHOOSE(CONTROL!$C$15, $E$9, 100%, $G$9) + CHOOSE(CONTROL!$C$38, 0.0354, 0)</f>
        <v>15.015599999999999</v>
      </c>
      <c r="E42" s="17">
        <f>14.9802 * CHOOSE(CONTROL!$C$15, $E$9, 100%, $G$9) + CHOOSE(CONTROL!$C$38, 0.0354, 0)</f>
        <v>15.015599999999999</v>
      </c>
      <c r="F42" s="45">
        <f>15.802 * CHOOSE(CONTROL!$C$15, $E$9, 100%, $G$9) + CHOOSE(CONTROL!$C$38, 0.0353, 0)</f>
        <v>15.837299999999999</v>
      </c>
      <c r="G42" s="17">
        <f>14.9864 * CHOOSE(CONTROL!$C$15, $E$9, 100%, $G$9) + CHOOSE(CONTROL!$C$38, 0.0354, 0)</f>
        <v>15.021799999999999</v>
      </c>
      <c r="H42" s="17">
        <f>14.9864 * CHOOSE(CONTROL!$C$15, $E$9, 100%, $G$9) + CHOOSE(CONTROL!$C$38, 0.0354, 0)</f>
        <v>15.021799999999999</v>
      </c>
      <c r="I42" s="17">
        <f>14.988 * CHOOSE(CONTROL!$C$15, $E$9, 100%, $G$9) + CHOOSE(CONTROL!$C$38, 0.0354, 0)</f>
        <v>15.023399999999999</v>
      </c>
      <c r="J42" s="44">
        <f>86.73</f>
        <v>86.73</v>
      </c>
    </row>
    <row r="43" spans="1:10" ht="15" x14ac:dyDescent="0.2">
      <c r="A43" s="16">
        <v>42217</v>
      </c>
      <c r="B43" s="17">
        <f>15.802 * CHOOSE(CONTROL!$C$15, $E$9, 100%, $G$9) + CHOOSE(CONTROL!$C$38, 0.0353, 0)</f>
        <v>15.837299999999999</v>
      </c>
      <c r="C43" s="17">
        <f>14.9057 * CHOOSE(CONTROL!$C$15, $E$9, 100%, $G$9) + CHOOSE(CONTROL!$C$38, 0.0354, 0)</f>
        <v>14.941099999999999</v>
      </c>
      <c r="D43" s="17">
        <f>14.8979 * CHOOSE(CONTROL!$C$15, $E$9, 100%, $G$9) + CHOOSE(CONTROL!$C$38, 0.0354, 0)</f>
        <v>14.933299999999999</v>
      </c>
      <c r="E43" s="17">
        <f>14.8979 * CHOOSE(CONTROL!$C$15, $E$9, 100%, $G$9) + CHOOSE(CONTROL!$C$38, 0.0354, 0)</f>
        <v>14.933299999999999</v>
      </c>
      <c r="F43" s="45">
        <f>15.802 * CHOOSE(CONTROL!$C$15, $E$9, 100%, $G$9) + CHOOSE(CONTROL!$C$38, 0.0353, 0)</f>
        <v>15.837299999999999</v>
      </c>
      <c r="G43" s="17">
        <f>14.9042 * CHOOSE(CONTROL!$C$15, $E$9, 100%, $G$9) + CHOOSE(CONTROL!$C$38, 0.0354, 0)</f>
        <v>14.939599999999999</v>
      </c>
      <c r="H43" s="17">
        <f>14.9042 * CHOOSE(CONTROL!$C$15, $E$9, 100%, $G$9) + CHOOSE(CONTROL!$C$38, 0.0354, 0)</f>
        <v>14.939599999999999</v>
      </c>
      <c r="I43" s="17">
        <f>14.9057 * CHOOSE(CONTROL!$C$15, $E$9, 100%, $G$9) + CHOOSE(CONTROL!$C$38, 0.0354, 0)</f>
        <v>14.941099999999999</v>
      </c>
      <c r="J43" s="44">
        <f>86.54</f>
        <v>86.54</v>
      </c>
    </row>
    <row r="44" spans="1:10" ht="15" x14ac:dyDescent="0.2">
      <c r="A44" s="16">
        <v>42248</v>
      </c>
      <c r="B44" s="17">
        <f>15.802 * CHOOSE(CONTROL!$C$15, $E$9, 100%, $G$9) + CHOOSE(CONTROL!$C$38, 0.0353, 0)</f>
        <v>15.837299999999999</v>
      </c>
      <c r="C44" s="17">
        <f>14.9104 * CHOOSE(CONTROL!$C$15, $E$9, 100%, $G$9) + CHOOSE(CONTROL!$C$38, 0.0354, 0)</f>
        <v>14.945799999999998</v>
      </c>
      <c r="D44" s="17">
        <f>14.9026 * CHOOSE(CONTROL!$C$15, $E$9, 100%, $G$9) + CHOOSE(CONTROL!$C$38, 0.0354, 0)</f>
        <v>14.937999999999999</v>
      </c>
      <c r="E44" s="17">
        <f>14.9026 * CHOOSE(CONTROL!$C$15, $E$9, 100%, $G$9) + CHOOSE(CONTROL!$C$38, 0.0354, 0)</f>
        <v>14.937999999999999</v>
      </c>
      <c r="F44" s="45">
        <f>15.802 * CHOOSE(CONTROL!$C$15, $E$9, 100%, $G$9) + CHOOSE(CONTROL!$C$38, 0.0353, 0)</f>
        <v>15.837299999999999</v>
      </c>
      <c r="G44" s="17">
        <f>14.9089 * CHOOSE(CONTROL!$C$15, $E$9, 100%, $G$9) + CHOOSE(CONTROL!$C$38, 0.0354, 0)</f>
        <v>14.944299999999998</v>
      </c>
      <c r="H44" s="17">
        <f>14.9089 * CHOOSE(CONTROL!$C$15, $E$9, 100%, $G$9) + CHOOSE(CONTROL!$C$38, 0.0354, 0)</f>
        <v>14.944299999999998</v>
      </c>
      <c r="I44" s="17">
        <f>14.9104 * CHOOSE(CONTROL!$C$15, $E$9, 100%, $G$9) + CHOOSE(CONTROL!$C$38, 0.0354, 0)</f>
        <v>14.945799999999998</v>
      </c>
      <c r="J44" s="44">
        <f>86.37</f>
        <v>86.37</v>
      </c>
    </row>
    <row r="45" spans="1:10" ht="15" x14ac:dyDescent="0.2">
      <c r="A45" s="16">
        <v>42278</v>
      </c>
      <c r="B45" s="17">
        <f>15.802 * CHOOSE(CONTROL!$C$15, $E$9, 100%, $G$9) + CHOOSE(CONTROL!$C$38, 0.034, 0)</f>
        <v>15.836</v>
      </c>
      <c r="C45" s="17">
        <f>14.7816 * CHOOSE(CONTROL!$C$15, $E$9, 100%, $G$9) + CHOOSE(CONTROL!$C$38, 0.0342, 0)</f>
        <v>14.815799999999999</v>
      </c>
      <c r="D45" s="17">
        <f>14.7737 * CHOOSE(CONTROL!$C$15, $E$9, 100%, $G$9) + CHOOSE(CONTROL!$C$38, 0.0342, 0)</f>
        <v>14.8079</v>
      </c>
      <c r="E45" s="17">
        <f>14.7737 * CHOOSE(CONTROL!$C$15, $E$9, 100%, $G$9) + CHOOSE(CONTROL!$C$38, 0.0342, 0)</f>
        <v>14.8079</v>
      </c>
      <c r="F45" s="45">
        <f>15.802 * CHOOSE(CONTROL!$C$15, $E$9, 100%, $G$9) + CHOOSE(CONTROL!$C$38, 0.034, 0)</f>
        <v>15.836</v>
      </c>
      <c r="G45" s="17">
        <f>14.78 * CHOOSE(CONTROL!$C$15, $E$9, 100%, $G$9) + CHOOSE(CONTROL!$C$38, 0.0342, 0)</f>
        <v>14.8142</v>
      </c>
      <c r="H45" s="17">
        <f>14.78 * CHOOSE(CONTROL!$C$15, $E$9, 100%, $G$9) + CHOOSE(CONTROL!$C$38, 0.0342, 0)</f>
        <v>14.8142</v>
      </c>
      <c r="I45" s="17">
        <f>14.7816 * CHOOSE(CONTROL!$C$15, $E$9, 100%, $G$9) + CHOOSE(CONTROL!$C$38, 0.0342, 0)</f>
        <v>14.815799999999999</v>
      </c>
      <c r="J45" s="44">
        <f>86.24</f>
        <v>86.24</v>
      </c>
    </row>
    <row r="46" spans="1:10" ht="15" x14ac:dyDescent="0.2">
      <c r="A46" s="16">
        <v>42309</v>
      </c>
      <c r="B46" s="17">
        <f>15.802 * CHOOSE(CONTROL!$C$15, $E$9, 100%, $G$9) + CHOOSE(CONTROL!$C$38, 0.034, 0)</f>
        <v>15.836</v>
      </c>
      <c r="C46" s="17">
        <f>14.7128 * CHOOSE(CONTROL!$C$15, $E$9, 100%, $G$9) + CHOOSE(CONTROL!$C$38, 0.0342, 0)</f>
        <v>14.747</v>
      </c>
      <c r="D46" s="17">
        <f>14.705 * CHOOSE(CONTROL!$C$15, $E$9, 100%, $G$9) + CHOOSE(CONTROL!$C$38, 0.0342, 0)</f>
        <v>14.7392</v>
      </c>
      <c r="E46" s="17">
        <f>14.705 * CHOOSE(CONTROL!$C$15, $E$9, 100%, $G$9) + CHOOSE(CONTROL!$C$38, 0.0342, 0)</f>
        <v>14.7392</v>
      </c>
      <c r="F46" s="45">
        <f>15.802 * CHOOSE(CONTROL!$C$15, $E$9, 100%, $G$9) + CHOOSE(CONTROL!$C$38, 0.034, 0)</f>
        <v>15.836</v>
      </c>
      <c r="G46" s="17">
        <f>14.7112 * CHOOSE(CONTROL!$C$15, $E$9, 100%, $G$9) + CHOOSE(CONTROL!$C$38, 0.0342, 0)</f>
        <v>14.7454</v>
      </c>
      <c r="H46" s="17">
        <f>14.7112 * CHOOSE(CONTROL!$C$15, $E$9, 100%, $G$9) + CHOOSE(CONTROL!$C$38, 0.0342, 0)</f>
        <v>14.7454</v>
      </c>
      <c r="I46" s="17">
        <f>14.7128 * CHOOSE(CONTROL!$C$15, $E$9, 100%, $G$9) + CHOOSE(CONTROL!$C$38, 0.0342, 0)</f>
        <v>14.747</v>
      </c>
      <c r="J46" s="44">
        <f>86.15</f>
        <v>86.15</v>
      </c>
    </row>
    <row r="47" spans="1:10" ht="15" x14ac:dyDescent="0.2">
      <c r="A47" s="16">
        <v>42339</v>
      </c>
      <c r="B47" s="17">
        <f>15.802 * CHOOSE(CONTROL!$C$15, $E$9, 100%, $G$9) + CHOOSE(CONTROL!$C$38, 0.034, 0)</f>
        <v>15.836</v>
      </c>
      <c r="C47" s="17">
        <f>14.7206 * CHOOSE(CONTROL!$C$15, $E$9, 100%, $G$9) + CHOOSE(CONTROL!$C$38, 0.0342, 0)</f>
        <v>14.754799999999999</v>
      </c>
      <c r="D47" s="17">
        <f>14.7128 * CHOOSE(CONTROL!$C$15, $E$9, 100%, $G$9) + CHOOSE(CONTROL!$C$38, 0.0342, 0)</f>
        <v>14.747</v>
      </c>
      <c r="E47" s="17">
        <f>14.7128 * CHOOSE(CONTROL!$C$15, $E$9, 100%, $G$9) + CHOOSE(CONTROL!$C$38, 0.0342, 0)</f>
        <v>14.747</v>
      </c>
      <c r="F47" s="45">
        <f>15.802 * CHOOSE(CONTROL!$C$15, $E$9, 100%, $G$9) + CHOOSE(CONTROL!$C$38, 0.034, 0)</f>
        <v>15.836</v>
      </c>
      <c r="G47" s="17">
        <f>14.7191 * CHOOSE(CONTROL!$C$15, $E$9, 100%, $G$9) + CHOOSE(CONTROL!$C$38, 0.0342, 0)</f>
        <v>14.753299999999999</v>
      </c>
      <c r="H47" s="17">
        <f>14.7191 * CHOOSE(CONTROL!$C$15, $E$9, 100%, $G$9) + CHOOSE(CONTROL!$C$38, 0.0342, 0)</f>
        <v>14.753299999999999</v>
      </c>
      <c r="I47" s="17">
        <f>14.7206 * CHOOSE(CONTROL!$C$15, $E$9, 100%, $G$9) + CHOOSE(CONTROL!$C$38, 0.0342, 0)</f>
        <v>14.754799999999999</v>
      </c>
      <c r="J47" s="44">
        <f>86.08</f>
        <v>86.08</v>
      </c>
    </row>
    <row r="48" spans="1:10" ht="15" x14ac:dyDescent="0.2">
      <c r="A48" s="16">
        <v>42370</v>
      </c>
      <c r="B48" s="17">
        <f>16.9745 * CHOOSE(CONTROL!$C$15, $E$9, 100%, $G$9) + CHOOSE(CONTROL!$C$38, 0.034, 0)</f>
        <v>17.008499999999998</v>
      </c>
      <c r="C48" s="17">
        <f>16.2748 * CHOOSE(CONTROL!$C$15, $E$9, 100%, $G$9) + CHOOSE(CONTROL!$C$38, 0.0342, 0)</f>
        <v>16.308999999999997</v>
      </c>
      <c r="D48" s="17">
        <f>16.267 * CHOOSE(CONTROL!$C$15, $E$9, 100%, $G$9) + CHOOSE(CONTROL!$C$38, 0.0342, 0)</f>
        <v>16.301199999999998</v>
      </c>
      <c r="E48" s="17">
        <f>16.267 * CHOOSE(CONTROL!$C$15, $E$9, 100%, $G$9) + CHOOSE(CONTROL!$C$38, 0.0342, 0)</f>
        <v>16.301199999999998</v>
      </c>
      <c r="F48" s="45">
        <f>16.9745 * CHOOSE(CONTROL!$C$15, $E$9, 100%, $G$9) + CHOOSE(CONTROL!$C$38, 0.034, 0)</f>
        <v>17.008499999999998</v>
      </c>
      <c r="G48" s="17">
        <f>16.2733 * CHOOSE(CONTROL!$C$15, $E$9, 100%, $G$9) + CHOOSE(CONTROL!$C$38, 0.0342, 0)</f>
        <v>16.307499999999997</v>
      </c>
      <c r="H48" s="17">
        <f>16.2733 * CHOOSE(CONTROL!$C$15, $E$9, 100%, $G$9) + CHOOSE(CONTROL!$C$38, 0.0342, 0)</f>
        <v>16.307499999999997</v>
      </c>
      <c r="I48" s="17">
        <f>16.2748 * CHOOSE(CONTROL!$C$15, $E$9, 100%, $G$9) + CHOOSE(CONTROL!$C$38, 0.0342, 0)</f>
        <v>16.308999999999997</v>
      </c>
      <c r="J48" s="44">
        <f>86.959</f>
        <v>86.959000000000003</v>
      </c>
    </row>
    <row r="49" spans="1:10" ht="15" x14ac:dyDescent="0.2">
      <c r="A49" s="16">
        <v>42401</v>
      </c>
      <c r="B49" s="17">
        <f>17.2493 * CHOOSE(CONTROL!$C$15, $E$9, 100%, $G$9) + CHOOSE(CONTROL!$C$38, 0.034, 0)</f>
        <v>17.283300000000001</v>
      </c>
      <c r="C49" s="17">
        <f>16.5486 * CHOOSE(CONTROL!$C$15, $E$9, 100%, $G$9) + CHOOSE(CONTROL!$C$38, 0.0342, 0)</f>
        <v>16.582799999999999</v>
      </c>
      <c r="D49" s="17">
        <f>16.5408 * CHOOSE(CONTROL!$C$15, $E$9, 100%, $G$9) + CHOOSE(CONTROL!$C$38, 0.0342, 0)</f>
        <v>16.574999999999999</v>
      </c>
      <c r="E49" s="17">
        <f>16.5408 * CHOOSE(CONTROL!$C$15, $E$9, 100%, $G$9) + CHOOSE(CONTROL!$C$38, 0.0342, 0)</f>
        <v>16.574999999999999</v>
      </c>
      <c r="F49" s="45">
        <f>17.2493 * CHOOSE(CONTROL!$C$15, $E$9, 100%, $G$9) + CHOOSE(CONTROL!$C$38, 0.034, 0)</f>
        <v>17.283300000000001</v>
      </c>
      <c r="G49" s="17">
        <f>16.547 * CHOOSE(CONTROL!$C$15, $E$9, 100%, $G$9) + CHOOSE(CONTROL!$C$38, 0.0342, 0)</f>
        <v>16.581199999999999</v>
      </c>
      <c r="H49" s="17">
        <f>16.547 * CHOOSE(CONTROL!$C$15, $E$9, 100%, $G$9) + CHOOSE(CONTROL!$C$38, 0.0342, 0)</f>
        <v>16.581199999999999</v>
      </c>
      <c r="I49" s="17">
        <f>16.5486 * CHOOSE(CONTROL!$C$15, $E$9, 100%, $G$9) + CHOOSE(CONTROL!$C$38, 0.0342, 0)</f>
        <v>16.582799999999999</v>
      </c>
      <c r="J49" s="44">
        <f>86.896</f>
        <v>86.896000000000001</v>
      </c>
    </row>
    <row r="50" spans="1:10" ht="15" x14ac:dyDescent="0.2">
      <c r="A50" s="16">
        <v>42430</v>
      </c>
      <c r="B50" s="17">
        <f>16.7241 * CHOOSE(CONTROL!$C$15, $E$9, 100%, $G$9) + CHOOSE(CONTROL!$C$38, 0.034, 0)</f>
        <v>16.758099999999999</v>
      </c>
      <c r="C50" s="17">
        <f>16.0223 * CHOOSE(CONTROL!$C$15, $E$9, 100%, $G$9) + CHOOSE(CONTROL!$C$38, 0.0342, 0)</f>
        <v>16.0565</v>
      </c>
      <c r="D50" s="17">
        <f>16.0145 * CHOOSE(CONTROL!$C$15, $E$9, 100%, $G$9) + CHOOSE(CONTROL!$C$38, 0.0342, 0)</f>
        <v>16.0487</v>
      </c>
      <c r="E50" s="17">
        <f>16.0145 * CHOOSE(CONTROL!$C$15, $E$9, 100%, $G$9) + CHOOSE(CONTROL!$C$38, 0.0342, 0)</f>
        <v>16.0487</v>
      </c>
      <c r="F50" s="45">
        <f>16.7241 * CHOOSE(CONTROL!$C$15, $E$9, 100%, $G$9) + CHOOSE(CONTROL!$C$38, 0.034, 0)</f>
        <v>16.758099999999999</v>
      </c>
      <c r="G50" s="17">
        <f>16.0207 * CHOOSE(CONTROL!$C$15, $E$9, 100%, $G$9) + CHOOSE(CONTROL!$C$38, 0.0342, 0)</f>
        <v>16.0549</v>
      </c>
      <c r="H50" s="17">
        <f>16.0207 * CHOOSE(CONTROL!$C$15, $E$9, 100%, $G$9) + CHOOSE(CONTROL!$C$38, 0.0342, 0)</f>
        <v>16.0549</v>
      </c>
      <c r="I50" s="17">
        <f>16.0223 * CHOOSE(CONTROL!$C$15, $E$9, 100%, $G$9) + CHOOSE(CONTROL!$C$38, 0.0342, 0)</f>
        <v>16.0565</v>
      </c>
      <c r="J50" s="44">
        <f>91.6643</f>
        <v>91.664299999999997</v>
      </c>
    </row>
    <row r="51" spans="1:10" ht="15" x14ac:dyDescent="0.2">
      <c r="A51" s="16">
        <v>42461</v>
      </c>
      <c r="B51" s="17">
        <f>16.2141 * CHOOSE(CONTROL!$C$15, $E$9, 100%, $G$9) + CHOOSE(CONTROL!$C$38, 0.034, 0)</f>
        <v>16.248099999999997</v>
      </c>
      <c r="C51" s="17">
        <f>15.5111 * CHOOSE(CONTROL!$C$15, $E$9, 100%, $G$9) + CHOOSE(CONTROL!$C$38, 0.0342, 0)</f>
        <v>15.545300000000001</v>
      </c>
      <c r="D51" s="17">
        <f>15.5033 * CHOOSE(CONTROL!$C$15, $E$9, 100%, $G$9) + CHOOSE(CONTROL!$C$38, 0.0342, 0)</f>
        <v>15.5375</v>
      </c>
      <c r="E51" s="17">
        <f>15.5033 * CHOOSE(CONTROL!$C$15, $E$9, 100%, $G$9) + CHOOSE(CONTROL!$C$38, 0.0342, 0)</f>
        <v>15.5375</v>
      </c>
      <c r="F51" s="45">
        <f>16.2141 * CHOOSE(CONTROL!$C$15, $E$9, 100%, $G$9) + CHOOSE(CONTROL!$C$38, 0.034, 0)</f>
        <v>16.248099999999997</v>
      </c>
      <c r="G51" s="17">
        <f>15.5095 * CHOOSE(CONTROL!$C$15, $E$9, 100%, $G$9) + CHOOSE(CONTROL!$C$38, 0.0342, 0)</f>
        <v>15.543699999999999</v>
      </c>
      <c r="H51" s="17">
        <f>15.5095 * CHOOSE(CONTROL!$C$15, $E$9, 100%, $G$9) + CHOOSE(CONTROL!$C$38, 0.0342, 0)</f>
        <v>15.543699999999999</v>
      </c>
      <c r="I51" s="17">
        <f>15.5111 * CHOOSE(CONTROL!$C$15, $E$9, 100%, $G$9) + CHOOSE(CONTROL!$C$38, 0.0342, 0)</f>
        <v>15.545300000000001</v>
      </c>
      <c r="J51" s="44">
        <f>97.8167</f>
        <v>97.816699999999997</v>
      </c>
    </row>
    <row r="52" spans="1:10" ht="15" x14ac:dyDescent="0.2">
      <c r="A52" s="16">
        <v>42491</v>
      </c>
      <c r="B52" s="17">
        <f>15.6789 * CHOOSE(CONTROL!$C$15, $E$9, 100%, $G$9) + CHOOSE(CONTROL!$C$38, 0.0353, 0)</f>
        <v>15.7142</v>
      </c>
      <c r="C52" s="17">
        <f>14.9748 * CHOOSE(CONTROL!$C$15, $E$9, 100%, $G$9) + CHOOSE(CONTROL!$C$38, 0.0354, 0)</f>
        <v>15.010199999999999</v>
      </c>
      <c r="D52" s="17">
        <f>14.9669 * CHOOSE(CONTROL!$C$15, $E$9, 100%, $G$9) + CHOOSE(CONTROL!$C$38, 0.0354, 0)</f>
        <v>15.0023</v>
      </c>
      <c r="E52" s="17">
        <f>14.9669 * CHOOSE(CONTROL!$C$15, $E$9, 100%, $G$9) + CHOOSE(CONTROL!$C$38, 0.0354, 0)</f>
        <v>15.0023</v>
      </c>
      <c r="F52" s="45">
        <f>15.6789 * CHOOSE(CONTROL!$C$15, $E$9, 100%, $G$9) + CHOOSE(CONTROL!$C$38, 0.0353, 0)</f>
        <v>15.7142</v>
      </c>
      <c r="G52" s="17">
        <f>14.9732 * CHOOSE(CONTROL!$C$15, $E$9, 100%, $G$9) + CHOOSE(CONTROL!$C$38, 0.0354, 0)</f>
        <v>15.008599999999999</v>
      </c>
      <c r="H52" s="17">
        <f>14.9732 * CHOOSE(CONTROL!$C$15, $E$9, 100%, $G$9) + CHOOSE(CONTROL!$C$38, 0.0354, 0)</f>
        <v>15.008599999999999</v>
      </c>
      <c r="I52" s="17">
        <f>14.9748 * CHOOSE(CONTROL!$C$15, $E$9, 100%, $G$9) + CHOOSE(CONTROL!$C$38, 0.0354, 0)</f>
        <v>15.010199999999999</v>
      </c>
      <c r="J52" s="44">
        <f>101.3074</f>
        <v>101.3074</v>
      </c>
    </row>
    <row r="53" spans="1:10" ht="15" x14ac:dyDescent="0.2">
      <c r="A53" s="16">
        <v>42522</v>
      </c>
      <c r="B53" s="17">
        <f>15.3113 * CHOOSE(CONTROL!$C$15, $E$9, 100%, $G$9) + CHOOSE(CONTROL!$C$38, 0.0353, 0)</f>
        <v>15.346599999999999</v>
      </c>
      <c r="C53" s="17">
        <f>14.6061 * CHOOSE(CONTROL!$C$15, $E$9, 100%, $G$9) + CHOOSE(CONTROL!$C$38, 0.0354, 0)</f>
        <v>14.641499999999999</v>
      </c>
      <c r="D53" s="17">
        <f>14.5983 * CHOOSE(CONTROL!$C$15, $E$9, 100%, $G$9) + CHOOSE(CONTROL!$C$38, 0.0354, 0)</f>
        <v>14.633699999999999</v>
      </c>
      <c r="E53" s="17">
        <f>14.5983 * CHOOSE(CONTROL!$C$15, $E$9, 100%, $G$9) + CHOOSE(CONTROL!$C$38, 0.0354, 0)</f>
        <v>14.633699999999999</v>
      </c>
      <c r="F53" s="45">
        <f>15.3113 * CHOOSE(CONTROL!$C$15, $E$9, 100%, $G$9) + CHOOSE(CONTROL!$C$38, 0.0353, 0)</f>
        <v>15.346599999999999</v>
      </c>
      <c r="G53" s="17">
        <f>14.6045 * CHOOSE(CONTROL!$C$15, $E$9, 100%, $G$9) + CHOOSE(CONTROL!$C$38, 0.0354, 0)</f>
        <v>14.639899999999999</v>
      </c>
      <c r="H53" s="17">
        <f>14.6045 * CHOOSE(CONTROL!$C$15, $E$9, 100%, $G$9) + CHOOSE(CONTROL!$C$38, 0.0354, 0)</f>
        <v>14.639899999999999</v>
      </c>
      <c r="I53" s="17">
        <f>14.6061 * CHOOSE(CONTROL!$C$15, $E$9, 100%, $G$9) + CHOOSE(CONTROL!$C$38, 0.0354, 0)</f>
        <v>14.641499999999999</v>
      </c>
      <c r="J53" s="44">
        <f>102.9789</f>
        <v>102.9789</v>
      </c>
    </row>
    <row r="54" spans="1:10" ht="15" x14ac:dyDescent="0.2">
      <c r="A54" s="16">
        <v>42552</v>
      </c>
      <c r="B54" s="17">
        <f>15.1137 * CHOOSE(CONTROL!$C$15, $E$9, 100%, $G$9) + CHOOSE(CONTROL!$C$38, 0.0353, 0)</f>
        <v>15.148999999999999</v>
      </c>
      <c r="C54" s="17">
        <f>14.4073 * CHOOSE(CONTROL!$C$15, $E$9, 100%, $G$9) + CHOOSE(CONTROL!$C$38, 0.0354, 0)</f>
        <v>14.442699999999999</v>
      </c>
      <c r="D54" s="17">
        <f>14.3995 * CHOOSE(CONTROL!$C$15, $E$9, 100%, $G$9) + CHOOSE(CONTROL!$C$38, 0.0354, 0)</f>
        <v>14.434899999999999</v>
      </c>
      <c r="E54" s="17">
        <f>14.3995 * CHOOSE(CONTROL!$C$15, $E$9, 100%, $G$9) + CHOOSE(CONTROL!$C$38, 0.0354, 0)</f>
        <v>14.434899999999999</v>
      </c>
      <c r="F54" s="45">
        <f>15.1137 * CHOOSE(CONTROL!$C$15, $E$9, 100%, $G$9) + CHOOSE(CONTROL!$C$38, 0.0353, 0)</f>
        <v>15.148999999999999</v>
      </c>
      <c r="G54" s="17">
        <f>14.4057 * CHOOSE(CONTROL!$C$15, $E$9, 100%, $G$9) + CHOOSE(CONTROL!$C$38, 0.0354, 0)</f>
        <v>14.441099999999999</v>
      </c>
      <c r="H54" s="17">
        <f>14.4057 * CHOOSE(CONTROL!$C$15, $E$9, 100%, $G$9) + CHOOSE(CONTROL!$C$38, 0.0354, 0)</f>
        <v>14.441099999999999</v>
      </c>
      <c r="I54" s="17">
        <f>14.4073 * CHOOSE(CONTROL!$C$15, $E$9, 100%, $G$9) + CHOOSE(CONTROL!$C$38, 0.0354, 0)</f>
        <v>14.442699999999999</v>
      </c>
      <c r="J54" s="44">
        <f>102.7084</f>
        <v>102.7084</v>
      </c>
    </row>
    <row r="55" spans="1:10" ht="15" x14ac:dyDescent="0.2">
      <c r="A55" s="16">
        <v>42583</v>
      </c>
      <c r="B55" s="17">
        <f>15.2562 * CHOOSE(CONTROL!$C$15, $E$9, 100%, $G$9) + CHOOSE(CONTROL!$C$38, 0.0353, 0)</f>
        <v>15.291499999999999</v>
      </c>
      <c r="C55" s="17">
        <f>14.5487 * CHOOSE(CONTROL!$C$15, $E$9, 100%, $G$9) + CHOOSE(CONTROL!$C$38, 0.0354, 0)</f>
        <v>14.584099999999999</v>
      </c>
      <c r="D55" s="17">
        <f>14.5409 * CHOOSE(CONTROL!$C$15, $E$9, 100%, $G$9) + CHOOSE(CONTROL!$C$38, 0.0354, 0)</f>
        <v>14.5763</v>
      </c>
      <c r="E55" s="17">
        <f>14.5409 * CHOOSE(CONTROL!$C$15, $E$9, 100%, $G$9) + CHOOSE(CONTROL!$C$38, 0.0354, 0)</f>
        <v>14.5763</v>
      </c>
      <c r="F55" s="45">
        <f>15.2562 * CHOOSE(CONTROL!$C$15, $E$9, 100%, $G$9) + CHOOSE(CONTROL!$C$38, 0.0353, 0)</f>
        <v>15.291499999999999</v>
      </c>
      <c r="G55" s="17">
        <f>14.5472 * CHOOSE(CONTROL!$C$15, $E$9, 100%, $G$9) + CHOOSE(CONTROL!$C$38, 0.0354, 0)</f>
        <v>14.582599999999999</v>
      </c>
      <c r="H55" s="17">
        <f>14.5472 * CHOOSE(CONTROL!$C$15, $E$9, 100%, $G$9) + CHOOSE(CONTROL!$C$38, 0.0354, 0)</f>
        <v>14.582599999999999</v>
      </c>
      <c r="I55" s="17">
        <f>14.5487 * CHOOSE(CONTROL!$C$15, $E$9, 100%, $G$9) + CHOOSE(CONTROL!$C$38, 0.0354, 0)</f>
        <v>14.584099999999999</v>
      </c>
      <c r="J55" s="44">
        <f>100.524</f>
        <v>100.524</v>
      </c>
    </row>
    <row r="56" spans="1:10" ht="15" x14ac:dyDescent="0.2">
      <c r="A56" s="16">
        <v>42614</v>
      </c>
      <c r="B56" s="17">
        <f>15.5932 * CHOOSE(CONTROL!$C$15, $E$9, 100%, $G$9) + CHOOSE(CONTROL!$C$38, 0.0353, 0)</f>
        <v>15.628499999999999</v>
      </c>
      <c r="C56" s="17">
        <f>14.8845 * CHOOSE(CONTROL!$C$15, $E$9, 100%, $G$9) + CHOOSE(CONTROL!$C$38, 0.0354, 0)</f>
        <v>14.919899999999998</v>
      </c>
      <c r="D56" s="17">
        <f>14.8767 * CHOOSE(CONTROL!$C$15, $E$9, 100%, $G$9) + CHOOSE(CONTROL!$C$38, 0.0354, 0)</f>
        <v>14.912099999999999</v>
      </c>
      <c r="E56" s="17">
        <f>14.8767 * CHOOSE(CONTROL!$C$15, $E$9, 100%, $G$9) + CHOOSE(CONTROL!$C$38, 0.0354, 0)</f>
        <v>14.912099999999999</v>
      </c>
      <c r="F56" s="45">
        <f>15.5932 * CHOOSE(CONTROL!$C$15, $E$9, 100%, $G$9) + CHOOSE(CONTROL!$C$38, 0.0353, 0)</f>
        <v>15.628499999999999</v>
      </c>
      <c r="G56" s="17">
        <f>14.883 * CHOOSE(CONTROL!$C$15, $E$9, 100%, $G$9) + CHOOSE(CONTROL!$C$38, 0.0354, 0)</f>
        <v>14.918399999999998</v>
      </c>
      <c r="H56" s="17">
        <f>14.883 * CHOOSE(CONTROL!$C$15, $E$9, 100%, $G$9) + CHOOSE(CONTROL!$C$38, 0.0354, 0)</f>
        <v>14.918399999999998</v>
      </c>
      <c r="I56" s="17">
        <f>14.8845 * CHOOSE(CONTROL!$C$15, $E$9, 100%, $G$9) + CHOOSE(CONTROL!$C$38, 0.0354, 0)</f>
        <v>14.919899999999998</v>
      </c>
      <c r="J56" s="44">
        <f>97.3829</f>
        <v>97.382900000000006</v>
      </c>
    </row>
    <row r="57" spans="1:10" ht="15" x14ac:dyDescent="0.2">
      <c r="A57" s="16">
        <v>42644</v>
      </c>
      <c r="B57" s="17">
        <f>15.8815 * CHOOSE(CONTROL!$C$15, $E$9, 100%, $G$9) + CHOOSE(CONTROL!$C$38, 0.034, 0)</f>
        <v>15.915500000000002</v>
      </c>
      <c r="C57" s="17">
        <f>15.1717 * CHOOSE(CONTROL!$C$15, $E$9, 100%, $G$9) + CHOOSE(CONTROL!$C$38, 0.0342, 0)</f>
        <v>15.2059</v>
      </c>
      <c r="D57" s="17">
        <f>15.1639 * CHOOSE(CONTROL!$C$15, $E$9, 100%, $G$9) + CHOOSE(CONTROL!$C$38, 0.0342, 0)</f>
        <v>15.1981</v>
      </c>
      <c r="E57" s="17">
        <f>15.1639 * CHOOSE(CONTROL!$C$15, $E$9, 100%, $G$9) + CHOOSE(CONTROL!$C$38, 0.0342, 0)</f>
        <v>15.1981</v>
      </c>
      <c r="F57" s="45">
        <f>15.8815 * CHOOSE(CONTROL!$C$15, $E$9, 100%, $G$9) + CHOOSE(CONTROL!$C$38, 0.034, 0)</f>
        <v>15.915500000000002</v>
      </c>
      <c r="G57" s="17">
        <f>15.1702 * CHOOSE(CONTROL!$C$15, $E$9, 100%, $G$9) + CHOOSE(CONTROL!$C$38, 0.0342, 0)</f>
        <v>15.2044</v>
      </c>
      <c r="H57" s="17">
        <f>15.1702 * CHOOSE(CONTROL!$C$15, $E$9, 100%, $G$9) + CHOOSE(CONTROL!$C$38, 0.0342, 0)</f>
        <v>15.2044</v>
      </c>
      <c r="I57" s="17">
        <f>15.1717 * CHOOSE(CONTROL!$C$15, $E$9, 100%, $G$9) + CHOOSE(CONTROL!$C$38, 0.0342, 0)</f>
        <v>15.2059</v>
      </c>
      <c r="J57" s="44">
        <f>94.209</f>
        <v>94.209000000000003</v>
      </c>
    </row>
    <row r="58" spans="1:10" ht="15" x14ac:dyDescent="0.2">
      <c r="A58" s="16">
        <v>42675</v>
      </c>
      <c r="B58" s="17">
        <f>16.1282 * CHOOSE(CONTROL!$C$15, $E$9, 100%, $G$9) + CHOOSE(CONTROL!$C$38, 0.034, 0)</f>
        <v>16.162199999999999</v>
      </c>
      <c r="C58" s="17">
        <f>15.4173 * CHOOSE(CONTROL!$C$15, $E$9, 100%, $G$9) + CHOOSE(CONTROL!$C$38, 0.0342, 0)</f>
        <v>15.451499999999999</v>
      </c>
      <c r="D58" s="17">
        <f>15.4095 * CHOOSE(CONTROL!$C$15, $E$9, 100%, $G$9) + CHOOSE(CONTROL!$C$38, 0.0342, 0)</f>
        <v>15.4437</v>
      </c>
      <c r="E58" s="17">
        <f>15.4095 * CHOOSE(CONTROL!$C$15, $E$9, 100%, $G$9) + CHOOSE(CONTROL!$C$38, 0.0342, 0)</f>
        <v>15.4437</v>
      </c>
      <c r="F58" s="45">
        <f>16.1282 * CHOOSE(CONTROL!$C$15, $E$9, 100%, $G$9) + CHOOSE(CONTROL!$C$38, 0.034, 0)</f>
        <v>16.162199999999999</v>
      </c>
      <c r="G58" s="17">
        <f>15.4158 * CHOOSE(CONTROL!$C$15, $E$9, 100%, $G$9) + CHOOSE(CONTROL!$C$38, 0.0342, 0)</f>
        <v>15.450000000000001</v>
      </c>
      <c r="H58" s="17">
        <f>15.4158 * CHOOSE(CONTROL!$C$15, $E$9, 100%, $G$9) + CHOOSE(CONTROL!$C$38, 0.0342, 0)</f>
        <v>15.450000000000001</v>
      </c>
      <c r="I58" s="17">
        <f>15.4173 * CHOOSE(CONTROL!$C$15, $E$9, 100%, $G$9) + CHOOSE(CONTROL!$C$38, 0.0342, 0)</f>
        <v>15.451499999999999</v>
      </c>
      <c r="J58" s="44">
        <f>93.7304</f>
        <v>93.730400000000003</v>
      </c>
    </row>
    <row r="59" spans="1:10" ht="15" x14ac:dyDescent="0.2">
      <c r="A59" s="16">
        <v>42705</v>
      </c>
      <c r="B59" s="17">
        <f>16.8249 * CHOOSE(CONTROL!$C$15, $E$9, 100%, $G$9) + CHOOSE(CONTROL!$C$38, 0.034, 0)</f>
        <v>16.858899999999998</v>
      </c>
      <c r="C59" s="17">
        <f>16.1129 * CHOOSE(CONTROL!$C$15, $E$9, 100%, $G$9) + CHOOSE(CONTROL!$C$38, 0.0342, 0)</f>
        <v>16.147099999999998</v>
      </c>
      <c r="D59" s="17">
        <f>16.1051 * CHOOSE(CONTROL!$C$15, $E$9, 100%, $G$9) + CHOOSE(CONTROL!$C$38, 0.0342, 0)</f>
        <v>16.139299999999999</v>
      </c>
      <c r="E59" s="17">
        <f>16.1051 * CHOOSE(CONTROL!$C$15, $E$9, 100%, $G$9) + CHOOSE(CONTROL!$C$38, 0.0342, 0)</f>
        <v>16.139299999999999</v>
      </c>
      <c r="F59" s="45">
        <f>16.8249 * CHOOSE(CONTROL!$C$15, $E$9, 100%, $G$9) + CHOOSE(CONTROL!$C$38, 0.034, 0)</f>
        <v>16.858899999999998</v>
      </c>
      <c r="G59" s="17">
        <f>16.1113 * CHOOSE(CONTROL!$C$15, $E$9, 100%, $G$9) + CHOOSE(CONTROL!$C$38, 0.0342, 0)</f>
        <v>16.145499999999998</v>
      </c>
      <c r="H59" s="17">
        <f>16.1113 * CHOOSE(CONTROL!$C$15, $E$9, 100%, $G$9) + CHOOSE(CONTROL!$C$38, 0.0342, 0)</f>
        <v>16.145499999999998</v>
      </c>
      <c r="I59" s="17">
        <f>16.1129 * CHOOSE(CONTROL!$C$15, $E$9, 100%, $G$9) + CHOOSE(CONTROL!$C$38, 0.0342, 0)</f>
        <v>16.147099999999998</v>
      </c>
      <c r="J59" s="44">
        <f>91.1363</f>
        <v>91.136300000000006</v>
      </c>
    </row>
    <row r="60" spans="1:10" ht="15" x14ac:dyDescent="0.2">
      <c r="A60" s="16">
        <v>42736</v>
      </c>
      <c r="B60" s="17">
        <f>17.0862 * CHOOSE(CONTROL!$C$15, $E$9, 100%, $G$9) + CHOOSE(CONTROL!$C$38, 0.034, 0)</f>
        <v>17.120200000000001</v>
      </c>
      <c r="C60" s="17">
        <f>16.3995 * CHOOSE(CONTROL!$C$15, $E$9, 100%, $G$9) + CHOOSE(CONTROL!$C$38, 0.0342, 0)</f>
        <v>16.433699999999998</v>
      </c>
      <c r="D60" s="17">
        <f>16.3917 * CHOOSE(CONTROL!$C$15, $E$9, 100%, $G$9) + CHOOSE(CONTROL!$C$38, 0.0342, 0)</f>
        <v>16.425899999999999</v>
      </c>
      <c r="E60" s="17">
        <f>16.3917 * CHOOSE(CONTROL!$C$15, $E$9, 100%, $G$9) + CHOOSE(CONTROL!$C$38, 0.0342, 0)</f>
        <v>16.425899999999999</v>
      </c>
      <c r="F60" s="45">
        <f>17.0862 * CHOOSE(CONTROL!$C$15, $E$9, 100%, $G$9) + CHOOSE(CONTROL!$C$38, 0.034, 0)</f>
        <v>17.120200000000001</v>
      </c>
      <c r="G60" s="17">
        <f>16.3979 * CHOOSE(CONTROL!$C$15, $E$9, 100%, $G$9) + CHOOSE(CONTROL!$C$38, 0.0342, 0)</f>
        <v>16.432099999999998</v>
      </c>
      <c r="H60" s="17">
        <f>16.3979 * CHOOSE(CONTROL!$C$15, $E$9, 100%, $G$9) + CHOOSE(CONTROL!$C$38, 0.0342, 0)</f>
        <v>16.432099999999998</v>
      </c>
      <c r="I60" s="17">
        <f>16.3995 * CHOOSE(CONTROL!$C$15, $E$9, 100%, $G$9) + CHOOSE(CONTROL!$C$38, 0.0342, 0)</f>
        <v>16.433699999999998</v>
      </c>
      <c r="J60" s="44">
        <f>87.6696</f>
        <v>87.669600000000003</v>
      </c>
    </row>
    <row r="61" spans="1:10" ht="15" x14ac:dyDescent="0.2">
      <c r="A61" s="16">
        <v>42767</v>
      </c>
      <c r="B61" s="17">
        <f>17.3673 * CHOOSE(CONTROL!$C$15, $E$9, 100%, $G$9) + CHOOSE(CONTROL!$C$38, 0.034, 0)</f>
        <v>17.401299999999999</v>
      </c>
      <c r="C61" s="17">
        <f>16.6795 * CHOOSE(CONTROL!$C$15, $E$9, 100%, $G$9) + CHOOSE(CONTROL!$C$38, 0.0342, 0)</f>
        <v>16.713699999999999</v>
      </c>
      <c r="D61" s="17">
        <f>16.6717 * CHOOSE(CONTROL!$C$15, $E$9, 100%, $G$9) + CHOOSE(CONTROL!$C$38, 0.0342, 0)</f>
        <v>16.7059</v>
      </c>
      <c r="E61" s="17">
        <f>16.6717 * CHOOSE(CONTROL!$C$15, $E$9, 100%, $G$9) + CHOOSE(CONTROL!$C$38, 0.0342, 0)</f>
        <v>16.7059</v>
      </c>
      <c r="F61" s="45">
        <f>17.3673 * CHOOSE(CONTROL!$C$15, $E$9, 100%, $G$9) + CHOOSE(CONTROL!$C$38, 0.034, 0)</f>
        <v>17.401299999999999</v>
      </c>
      <c r="G61" s="17">
        <f>16.678 * CHOOSE(CONTROL!$C$15, $E$9, 100%, $G$9) + CHOOSE(CONTROL!$C$38, 0.0342, 0)</f>
        <v>16.712199999999999</v>
      </c>
      <c r="H61" s="17">
        <f>16.678 * CHOOSE(CONTROL!$C$15, $E$9, 100%, $G$9) + CHOOSE(CONTROL!$C$38, 0.0342, 0)</f>
        <v>16.712199999999999</v>
      </c>
      <c r="I61" s="17">
        <f>16.6795 * CHOOSE(CONTROL!$C$15, $E$9, 100%, $G$9) + CHOOSE(CONTROL!$C$38, 0.0342, 0)</f>
        <v>16.713699999999999</v>
      </c>
      <c r="J61" s="44">
        <f>87.606</f>
        <v>87.605999999999995</v>
      </c>
    </row>
    <row r="62" spans="1:10" ht="15" x14ac:dyDescent="0.2">
      <c r="A62" s="16">
        <v>42795</v>
      </c>
      <c r="B62" s="17">
        <f>16.8284 * CHOOSE(CONTROL!$C$15, $E$9, 100%, $G$9) + CHOOSE(CONTROL!$C$38, 0.034, 0)</f>
        <v>16.862399999999997</v>
      </c>
      <c r="C62" s="17">
        <f>16.1395 * CHOOSE(CONTROL!$C$15, $E$9, 100%, $G$9) + CHOOSE(CONTROL!$C$38, 0.0342, 0)</f>
        <v>16.1737</v>
      </c>
      <c r="D62" s="17">
        <f>16.1317 * CHOOSE(CONTROL!$C$15, $E$9, 100%, $G$9) + CHOOSE(CONTROL!$C$38, 0.0342, 0)</f>
        <v>16.165899999999997</v>
      </c>
      <c r="E62" s="17">
        <f>16.1317 * CHOOSE(CONTROL!$C$15, $E$9, 100%, $G$9) + CHOOSE(CONTROL!$C$38, 0.0342, 0)</f>
        <v>16.165899999999997</v>
      </c>
      <c r="F62" s="45">
        <f>16.8284 * CHOOSE(CONTROL!$C$15, $E$9, 100%, $G$9) + CHOOSE(CONTROL!$C$38, 0.034, 0)</f>
        <v>16.862399999999997</v>
      </c>
      <c r="G62" s="17">
        <f>16.1379 * CHOOSE(CONTROL!$C$15, $E$9, 100%, $G$9) + CHOOSE(CONTROL!$C$38, 0.0342, 0)</f>
        <v>16.172099999999997</v>
      </c>
      <c r="H62" s="17">
        <f>16.1379 * CHOOSE(CONTROL!$C$15, $E$9, 100%, $G$9) + CHOOSE(CONTROL!$C$38, 0.0342, 0)</f>
        <v>16.172099999999997</v>
      </c>
      <c r="I62" s="17">
        <f>16.1395 * CHOOSE(CONTROL!$C$15, $E$9, 100%, $G$9) + CHOOSE(CONTROL!$C$38, 0.0342, 0)</f>
        <v>16.1737</v>
      </c>
      <c r="J62" s="44">
        <f>92.4133</f>
        <v>92.413300000000007</v>
      </c>
    </row>
    <row r="63" spans="1:10" ht="15" x14ac:dyDescent="0.2">
      <c r="A63" s="16">
        <v>42826</v>
      </c>
      <c r="B63" s="17">
        <f>16.3049 * CHOOSE(CONTROL!$C$15, $E$9, 100%, $G$9) + CHOOSE(CONTROL!$C$38, 0.034, 0)</f>
        <v>16.338899999999999</v>
      </c>
      <c r="C63" s="17">
        <f>15.615 * CHOOSE(CONTROL!$C$15, $E$9, 100%, $G$9) + CHOOSE(CONTROL!$C$38, 0.0342, 0)</f>
        <v>15.6492</v>
      </c>
      <c r="D63" s="17">
        <f>15.6072 * CHOOSE(CONTROL!$C$15, $E$9, 100%, $G$9) + CHOOSE(CONTROL!$C$38, 0.0342, 0)</f>
        <v>15.641400000000001</v>
      </c>
      <c r="E63" s="17">
        <f>15.6072 * CHOOSE(CONTROL!$C$15, $E$9, 100%, $G$9) + CHOOSE(CONTROL!$C$38, 0.0342, 0)</f>
        <v>15.641400000000001</v>
      </c>
      <c r="F63" s="45">
        <f>16.3049 * CHOOSE(CONTROL!$C$15, $E$9, 100%, $G$9) + CHOOSE(CONTROL!$C$38, 0.034, 0)</f>
        <v>16.338899999999999</v>
      </c>
      <c r="G63" s="17">
        <f>15.6134 * CHOOSE(CONTROL!$C$15, $E$9, 100%, $G$9) + CHOOSE(CONTROL!$C$38, 0.0342, 0)</f>
        <v>15.647600000000001</v>
      </c>
      <c r="H63" s="17">
        <f>15.6134 * CHOOSE(CONTROL!$C$15, $E$9, 100%, $G$9) + CHOOSE(CONTROL!$C$38, 0.0342, 0)</f>
        <v>15.647600000000001</v>
      </c>
      <c r="I63" s="17">
        <f>15.615 * CHOOSE(CONTROL!$C$15, $E$9, 100%, $G$9) + CHOOSE(CONTROL!$C$38, 0.0342, 0)</f>
        <v>15.6492</v>
      </c>
      <c r="J63" s="44">
        <f>98.6159</f>
        <v>98.615899999999996</v>
      </c>
    </row>
    <row r="64" spans="1:10" ht="15" x14ac:dyDescent="0.2">
      <c r="A64" s="16">
        <v>42856</v>
      </c>
      <c r="B64" s="17">
        <f>15.7557 * CHOOSE(CONTROL!$C$15, $E$9, 100%, $G$9) + CHOOSE(CONTROL!$C$38, 0.0353, 0)</f>
        <v>15.790999999999999</v>
      </c>
      <c r="C64" s="17">
        <f>15.0647 * CHOOSE(CONTROL!$C$15, $E$9, 100%, $G$9) + CHOOSE(CONTROL!$C$38, 0.0354, 0)</f>
        <v>15.100099999999999</v>
      </c>
      <c r="D64" s="17">
        <f>15.0569 * CHOOSE(CONTROL!$C$15, $E$9, 100%, $G$9) + CHOOSE(CONTROL!$C$38, 0.0354, 0)</f>
        <v>15.0923</v>
      </c>
      <c r="E64" s="17">
        <f>15.0569 * CHOOSE(CONTROL!$C$15, $E$9, 100%, $G$9) + CHOOSE(CONTROL!$C$38, 0.0354, 0)</f>
        <v>15.0923</v>
      </c>
      <c r="F64" s="45">
        <f>15.7557 * CHOOSE(CONTROL!$C$15, $E$9, 100%, $G$9) + CHOOSE(CONTROL!$C$38, 0.0353, 0)</f>
        <v>15.790999999999999</v>
      </c>
      <c r="G64" s="17">
        <f>15.0631 * CHOOSE(CONTROL!$C$15, $E$9, 100%, $G$9) + CHOOSE(CONTROL!$C$38, 0.0354, 0)</f>
        <v>15.0985</v>
      </c>
      <c r="H64" s="17">
        <f>15.0631 * CHOOSE(CONTROL!$C$15, $E$9, 100%, $G$9) + CHOOSE(CONTROL!$C$38, 0.0354, 0)</f>
        <v>15.0985</v>
      </c>
      <c r="I64" s="17">
        <f>15.0647 * CHOOSE(CONTROL!$C$15, $E$9, 100%, $G$9) + CHOOSE(CONTROL!$C$38, 0.0354, 0)</f>
        <v>15.100099999999999</v>
      </c>
      <c r="J64" s="44">
        <f>102.1352</f>
        <v>102.1352</v>
      </c>
    </row>
    <row r="65" spans="1:10" ht="15" x14ac:dyDescent="0.2">
      <c r="A65" s="16">
        <v>42887</v>
      </c>
      <c r="B65" s="17">
        <f>15.3784 * CHOOSE(CONTROL!$C$15, $E$9, 100%, $G$9) + CHOOSE(CONTROL!$C$38, 0.0353, 0)</f>
        <v>15.413699999999999</v>
      </c>
      <c r="C65" s="17">
        <f>14.6862 * CHOOSE(CONTROL!$C$15, $E$9, 100%, $G$9) + CHOOSE(CONTROL!$C$38, 0.0354, 0)</f>
        <v>14.721599999999999</v>
      </c>
      <c r="D65" s="17">
        <f>14.6784 * CHOOSE(CONTROL!$C$15, $E$9, 100%, $G$9) + CHOOSE(CONTROL!$C$38, 0.0354, 0)</f>
        <v>14.713799999999999</v>
      </c>
      <c r="E65" s="17">
        <f>14.6784 * CHOOSE(CONTROL!$C$15, $E$9, 100%, $G$9) + CHOOSE(CONTROL!$C$38, 0.0354, 0)</f>
        <v>14.713799999999999</v>
      </c>
      <c r="F65" s="45">
        <f>15.3784 * CHOOSE(CONTROL!$C$15, $E$9, 100%, $G$9) + CHOOSE(CONTROL!$C$38, 0.0353, 0)</f>
        <v>15.413699999999999</v>
      </c>
      <c r="G65" s="17">
        <f>14.6847 * CHOOSE(CONTROL!$C$15, $E$9, 100%, $G$9) + CHOOSE(CONTROL!$C$38, 0.0354, 0)</f>
        <v>14.720099999999999</v>
      </c>
      <c r="H65" s="17">
        <f>14.6847 * CHOOSE(CONTROL!$C$15, $E$9, 100%, $G$9) + CHOOSE(CONTROL!$C$38, 0.0354, 0)</f>
        <v>14.720099999999999</v>
      </c>
      <c r="I65" s="17">
        <f>14.6862 * CHOOSE(CONTROL!$C$15, $E$9, 100%, $G$9) + CHOOSE(CONTROL!$C$38, 0.0354, 0)</f>
        <v>14.721599999999999</v>
      </c>
      <c r="J65" s="44">
        <f>103.8203</f>
        <v>103.8203</v>
      </c>
    </row>
    <row r="66" spans="1:10" ht="15" x14ac:dyDescent="0.2">
      <c r="A66" s="16">
        <v>42917</v>
      </c>
      <c r="B66" s="17">
        <f>15.1751 * CHOOSE(CONTROL!$C$15, $E$9, 100%, $G$9) + CHOOSE(CONTROL!$C$38, 0.0353, 0)</f>
        <v>15.2104</v>
      </c>
      <c r="C66" s="17">
        <f>14.4819 * CHOOSE(CONTROL!$C$15, $E$9, 100%, $G$9) + CHOOSE(CONTROL!$C$38, 0.0354, 0)</f>
        <v>14.517299999999999</v>
      </c>
      <c r="D66" s="17">
        <f>14.4741 * CHOOSE(CONTROL!$C$15, $E$9, 100%, $G$9) + CHOOSE(CONTROL!$C$38, 0.0354, 0)</f>
        <v>14.509499999999999</v>
      </c>
      <c r="E66" s="17">
        <f>14.4741 * CHOOSE(CONTROL!$C$15, $E$9, 100%, $G$9) + CHOOSE(CONTROL!$C$38, 0.0354, 0)</f>
        <v>14.509499999999999</v>
      </c>
      <c r="F66" s="45">
        <f>15.1751 * CHOOSE(CONTROL!$C$15, $E$9, 100%, $G$9) + CHOOSE(CONTROL!$C$38, 0.0353, 0)</f>
        <v>15.2104</v>
      </c>
      <c r="G66" s="17">
        <f>14.4803 * CHOOSE(CONTROL!$C$15, $E$9, 100%, $G$9) + CHOOSE(CONTROL!$C$38, 0.0354, 0)</f>
        <v>14.515699999999999</v>
      </c>
      <c r="H66" s="17">
        <f>14.4803 * CHOOSE(CONTROL!$C$15, $E$9, 100%, $G$9) + CHOOSE(CONTROL!$C$38, 0.0354, 0)</f>
        <v>14.515699999999999</v>
      </c>
      <c r="I66" s="17">
        <f>14.4819 * CHOOSE(CONTROL!$C$15, $E$9, 100%, $G$9) + CHOOSE(CONTROL!$C$38, 0.0354, 0)</f>
        <v>14.517299999999999</v>
      </c>
      <c r="J66" s="44">
        <f>103.5476</f>
        <v>103.5476</v>
      </c>
    </row>
    <row r="67" spans="1:10" ht="15" x14ac:dyDescent="0.2">
      <c r="A67" s="16">
        <v>42948</v>
      </c>
      <c r="B67" s="17">
        <f>15.3207 * CHOOSE(CONTROL!$C$15, $E$9, 100%, $G$9) + CHOOSE(CONTROL!$C$38, 0.0353, 0)</f>
        <v>15.356</v>
      </c>
      <c r="C67" s="17">
        <f>14.6263 * CHOOSE(CONTROL!$C$15, $E$9, 100%, $G$9) + CHOOSE(CONTROL!$C$38, 0.0354, 0)</f>
        <v>14.6617</v>
      </c>
      <c r="D67" s="17">
        <f>14.6185 * CHOOSE(CONTROL!$C$15, $E$9, 100%, $G$9) + CHOOSE(CONTROL!$C$38, 0.0354, 0)</f>
        <v>14.653899999999998</v>
      </c>
      <c r="E67" s="17">
        <f>14.6185 * CHOOSE(CONTROL!$C$15, $E$9, 100%, $G$9) + CHOOSE(CONTROL!$C$38, 0.0354, 0)</f>
        <v>14.653899999999998</v>
      </c>
      <c r="F67" s="45">
        <f>15.3207 * CHOOSE(CONTROL!$C$15, $E$9, 100%, $G$9) + CHOOSE(CONTROL!$C$38, 0.0353, 0)</f>
        <v>15.356</v>
      </c>
      <c r="G67" s="17">
        <f>14.6247 * CHOOSE(CONTROL!$C$15, $E$9, 100%, $G$9) + CHOOSE(CONTROL!$C$38, 0.0354, 0)</f>
        <v>14.6601</v>
      </c>
      <c r="H67" s="17">
        <f>14.6247 * CHOOSE(CONTROL!$C$15, $E$9, 100%, $G$9) + CHOOSE(CONTROL!$C$38, 0.0354, 0)</f>
        <v>14.6601</v>
      </c>
      <c r="I67" s="17">
        <f>14.6263 * CHOOSE(CONTROL!$C$15, $E$9, 100%, $G$9) + CHOOSE(CONTROL!$C$38, 0.0354, 0)</f>
        <v>14.6617</v>
      </c>
      <c r="J67" s="44">
        <f>101.3454</f>
        <v>101.3454</v>
      </c>
    </row>
    <row r="68" spans="1:10" ht="15" x14ac:dyDescent="0.2">
      <c r="A68" s="16">
        <v>42979</v>
      </c>
      <c r="B68" s="17">
        <f>15.6654 * CHOOSE(CONTROL!$C$15, $E$9, 100%, $G$9) + CHOOSE(CONTROL!$C$38, 0.0353, 0)</f>
        <v>15.700699999999999</v>
      </c>
      <c r="C68" s="17">
        <f>14.97 * CHOOSE(CONTROL!$C$15, $E$9, 100%, $G$9) + CHOOSE(CONTROL!$C$38, 0.0354, 0)</f>
        <v>15.0054</v>
      </c>
      <c r="D68" s="17">
        <f>14.9621 * CHOOSE(CONTROL!$C$15, $E$9, 100%, $G$9) + CHOOSE(CONTROL!$C$38, 0.0354, 0)</f>
        <v>14.997499999999999</v>
      </c>
      <c r="E68" s="17">
        <f>14.9621 * CHOOSE(CONTROL!$C$15, $E$9, 100%, $G$9) + CHOOSE(CONTROL!$C$38, 0.0354, 0)</f>
        <v>14.997499999999999</v>
      </c>
      <c r="F68" s="45">
        <f>15.6654 * CHOOSE(CONTROL!$C$15, $E$9, 100%, $G$9) + CHOOSE(CONTROL!$C$38, 0.0353, 0)</f>
        <v>15.700699999999999</v>
      </c>
      <c r="G68" s="17">
        <f>14.9684 * CHOOSE(CONTROL!$C$15, $E$9, 100%, $G$9) + CHOOSE(CONTROL!$C$38, 0.0354, 0)</f>
        <v>15.0038</v>
      </c>
      <c r="H68" s="17">
        <f>14.9684 * CHOOSE(CONTROL!$C$15, $E$9, 100%, $G$9) + CHOOSE(CONTROL!$C$38, 0.0354, 0)</f>
        <v>15.0038</v>
      </c>
      <c r="I68" s="17">
        <f>14.97 * CHOOSE(CONTROL!$C$15, $E$9, 100%, $G$9) + CHOOSE(CONTROL!$C$38, 0.0354, 0)</f>
        <v>15.0054</v>
      </c>
      <c r="J68" s="44">
        <f>98.1787</f>
        <v>98.178700000000006</v>
      </c>
    </row>
    <row r="69" spans="1:10" ht="15" x14ac:dyDescent="0.2">
      <c r="A69" s="16">
        <v>43009</v>
      </c>
      <c r="B69" s="17">
        <f>15.9603 * CHOOSE(CONTROL!$C$15, $E$9, 100%, $G$9) + CHOOSE(CONTROL!$C$38, 0.034, 0)</f>
        <v>15.994300000000001</v>
      </c>
      <c r="C69" s="17">
        <f>15.2637 * CHOOSE(CONTROL!$C$15, $E$9, 100%, $G$9) + CHOOSE(CONTROL!$C$38, 0.0342, 0)</f>
        <v>15.2979</v>
      </c>
      <c r="D69" s="17">
        <f>15.2559 * CHOOSE(CONTROL!$C$15, $E$9, 100%, $G$9) + CHOOSE(CONTROL!$C$38, 0.0342, 0)</f>
        <v>15.290100000000001</v>
      </c>
      <c r="E69" s="17">
        <f>15.2559 * CHOOSE(CONTROL!$C$15, $E$9, 100%, $G$9) + CHOOSE(CONTROL!$C$38, 0.0342, 0)</f>
        <v>15.290100000000001</v>
      </c>
      <c r="F69" s="45">
        <f>15.9603 * CHOOSE(CONTROL!$C$15, $E$9, 100%, $G$9) + CHOOSE(CONTROL!$C$38, 0.034, 0)</f>
        <v>15.994300000000001</v>
      </c>
      <c r="G69" s="17">
        <f>15.2622 * CHOOSE(CONTROL!$C$15, $E$9, 100%, $G$9) + CHOOSE(CONTROL!$C$38, 0.0342, 0)</f>
        <v>15.2964</v>
      </c>
      <c r="H69" s="17">
        <f>15.2622 * CHOOSE(CONTROL!$C$15, $E$9, 100%, $G$9) + CHOOSE(CONTROL!$C$38, 0.0342, 0)</f>
        <v>15.2964</v>
      </c>
      <c r="I69" s="17">
        <f>15.2637 * CHOOSE(CONTROL!$C$15, $E$9, 100%, $G$9) + CHOOSE(CONTROL!$C$38, 0.0342, 0)</f>
        <v>15.2979</v>
      </c>
      <c r="J69" s="44">
        <f>94.9788</f>
        <v>94.978800000000007</v>
      </c>
    </row>
    <row r="70" spans="1:10" ht="15" x14ac:dyDescent="0.2">
      <c r="A70" s="16">
        <v>43040</v>
      </c>
      <c r="B70" s="17">
        <f>16.2126 * CHOOSE(CONTROL!$C$15, $E$9, 100%, $G$9) + CHOOSE(CONTROL!$C$38, 0.034, 0)</f>
        <v>16.246599999999997</v>
      </c>
      <c r="C70" s="17">
        <f>15.5149 * CHOOSE(CONTROL!$C$15, $E$9, 100%, $G$9) + CHOOSE(CONTROL!$C$38, 0.0342, 0)</f>
        <v>15.549100000000001</v>
      </c>
      <c r="D70" s="17">
        <f>15.5071 * CHOOSE(CONTROL!$C$15, $E$9, 100%, $G$9) + CHOOSE(CONTROL!$C$38, 0.0342, 0)</f>
        <v>15.5413</v>
      </c>
      <c r="E70" s="17">
        <f>15.5071 * CHOOSE(CONTROL!$C$15, $E$9, 100%, $G$9) + CHOOSE(CONTROL!$C$38, 0.0342, 0)</f>
        <v>15.5413</v>
      </c>
      <c r="F70" s="45">
        <f>16.2126 * CHOOSE(CONTROL!$C$15, $E$9, 100%, $G$9) + CHOOSE(CONTROL!$C$38, 0.034, 0)</f>
        <v>16.246599999999997</v>
      </c>
      <c r="G70" s="17">
        <f>15.5133 * CHOOSE(CONTROL!$C$15, $E$9, 100%, $G$9) + CHOOSE(CONTROL!$C$38, 0.0342, 0)</f>
        <v>15.547499999999999</v>
      </c>
      <c r="H70" s="17">
        <f>15.5133 * CHOOSE(CONTROL!$C$15, $E$9, 100%, $G$9) + CHOOSE(CONTROL!$C$38, 0.0342, 0)</f>
        <v>15.547499999999999</v>
      </c>
      <c r="I70" s="17">
        <f>15.5149 * CHOOSE(CONTROL!$C$15, $E$9, 100%, $G$9) + CHOOSE(CONTROL!$C$38, 0.0342, 0)</f>
        <v>15.549100000000001</v>
      </c>
      <c r="J70" s="44">
        <f>94.4963</f>
        <v>94.496300000000005</v>
      </c>
    </row>
    <row r="71" spans="1:10" ht="15" x14ac:dyDescent="0.2">
      <c r="A71" s="16">
        <v>43070</v>
      </c>
      <c r="B71" s="17">
        <f>16.9261 * CHOOSE(CONTROL!$C$15, $E$9, 100%, $G$9) + CHOOSE(CONTROL!$C$38, 0.034, 0)</f>
        <v>16.960100000000001</v>
      </c>
      <c r="C71" s="17">
        <f>16.2273 * CHOOSE(CONTROL!$C$15, $E$9, 100%, $G$9) + CHOOSE(CONTROL!$C$38, 0.0342, 0)</f>
        <v>16.261499999999998</v>
      </c>
      <c r="D71" s="17">
        <f>16.2195 * CHOOSE(CONTROL!$C$15, $E$9, 100%, $G$9) + CHOOSE(CONTROL!$C$38, 0.0342, 0)</f>
        <v>16.253699999999998</v>
      </c>
      <c r="E71" s="17">
        <f>16.2195 * CHOOSE(CONTROL!$C$15, $E$9, 100%, $G$9) + CHOOSE(CONTROL!$C$38, 0.0342, 0)</f>
        <v>16.253699999999998</v>
      </c>
      <c r="F71" s="45">
        <f>16.9261 * CHOOSE(CONTROL!$C$15, $E$9, 100%, $G$9) + CHOOSE(CONTROL!$C$38, 0.034, 0)</f>
        <v>16.960100000000001</v>
      </c>
      <c r="G71" s="17">
        <f>16.2257 * CHOOSE(CONTROL!$C$15, $E$9, 100%, $G$9) + CHOOSE(CONTROL!$C$38, 0.0342, 0)</f>
        <v>16.259899999999998</v>
      </c>
      <c r="H71" s="17">
        <f>16.2257 * CHOOSE(CONTROL!$C$15, $E$9, 100%, $G$9) + CHOOSE(CONTROL!$C$38, 0.0342, 0)</f>
        <v>16.259899999999998</v>
      </c>
      <c r="I71" s="17">
        <f>16.2273 * CHOOSE(CONTROL!$C$15, $E$9, 100%, $G$9) + CHOOSE(CONTROL!$C$38, 0.0342, 0)</f>
        <v>16.261499999999998</v>
      </c>
      <c r="J71" s="44">
        <f>91.881</f>
        <v>91.881</v>
      </c>
    </row>
    <row r="72" spans="1:10" ht="15" x14ac:dyDescent="0.2">
      <c r="A72" s="16">
        <v>43101</v>
      </c>
      <c r="B72" s="17">
        <f>18.2277 * CHOOSE(CONTROL!$C$15, $E$9, 100%, $G$9) + CHOOSE(CONTROL!$C$38, 0.034, 0)</f>
        <v>18.261699999999998</v>
      </c>
      <c r="C72" s="17">
        <f>17.6935 * CHOOSE(CONTROL!$C$15, $E$9, 100%, $G$9) + CHOOSE(CONTROL!$C$38, 0.0342, 0)</f>
        <v>17.727699999999999</v>
      </c>
      <c r="D72" s="17">
        <f>17.6857 * CHOOSE(CONTROL!$C$15, $E$9, 100%, $G$9) + CHOOSE(CONTROL!$C$38, 0.0342, 0)</f>
        <v>17.719899999999999</v>
      </c>
      <c r="E72" s="17">
        <f>17.6857 * CHOOSE(CONTROL!$C$15, $E$9, 100%, $G$9) + CHOOSE(CONTROL!$C$38, 0.0342, 0)</f>
        <v>17.719899999999999</v>
      </c>
      <c r="F72" s="45">
        <f>18.2277 * CHOOSE(CONTROL!$C$15, $E$9, 100%, $G$9) + CHOOSE(CONTROL!$C$38, 0.034, 0)</f>
        <v>18.261699999999998</v>
      </c>
      <c r="G72" s="17">
        <f>17.692 * CHOOSE(CONTROL!$C$15, $E$9, 100%, $G$9) + CHOOSE(CONTROL!$C$38, 0.0342, 0)</f>
        <v>17.726199999999999</v>
      </c>
      <c r="H72" s="17">
        <f>17.692 * CHOOSE(CONTROL!$C$15, $E$9, 100%, $G$9) + CHOOSE(CONTROL!$C$38, 0.0342, 0)</f>
        <v>17.726199999999999</v>
      </c>
      <c r="I72" s="17">
        <f>17.6935 * CHOOSE(CONTROL!$C$15, $E$9, 100%, $G$9) + CHOOSE(CONTROL!$C$38, 0.0342, 0)</f>
        <v>17.727699999999999</v>
      </c>
      <c r="J72" s="44">
        <f>100.9401</f>
        <v>100.9401</v>
      </c>
    </row>
    <row r="73" spans="1:10" ht="15" x14ac:dyDescent="0.2">
      <c r="A73" s="16">
        <v>43132</v>
      </c>
      <c r="B73" s="17">
        <f>18.5174 * CHOOSE(CONTROL!$C$15, $E$9, 100%, $G$9) + CHOOSE(CONTROL!$C$38, 0.034, 0)</f>
        <v>18.551399999999997</v>
      </c>
      <c r="C73" s="17">
        <f>17.9824 * CHOOSE(CONTROL!$C$15, $E$9, 100%, $G$9) + CHOOSE(CONTROL!$C$38, 0.0342, 0)</f>
        <v>18.016599999999997</v>
      </c>
      <c r="D73" s="17">
        <f>17.9746 * CHOOSE(CONTROL!$C$15, $E$9, 100%, $G$9) + CHOOSE(CONTROL!$C$38, 0.0342, 0)</f>
        <v>18.008799999999997</v>
      </c>
      <c r="E73" s="17">
        <f>17.9746 * CHOOSE(CONTROL!$C$15, $E$9, 100%, $G$9) + CHOOSE(CONTROL!$C$38, 0.0342, 0)</f>
        <v>18.008799999999997</v>
      </c>
      <c r="F73" s="45">
        <f>18.5174 * CHOOSE(CONTROL!$C$15, $E$9, 100%, $G$9) + CHOOSE(CONTROL!$C$38, 0.034, 0)</f>
        <v>18.551399999999997</v>
      </c>
      <c r="G73" s="17">
        <f>17.9809 * CHOOSE(CONTROL!$C$15, $E$9, 100%, $G$9) + CHOOSE(CONTROL!$C$38, 0.0342, 0)</f>
        <v>18.015099999999997</v>
      </c>
      <c r="H73" s="17">
        <f>17.9809 * CHOOSE(CONTROL!$C$15, $E$9, 100%, $G$9) + CHOOSE(CONTROL!$C$38, 0.0342, 0)</f>
        <v>18.015099999999997</v>
      </c>
      <c r="I73" s="17">
        <f>17.9824 * CHOOSE(CONTROL!$C$15, $E$9, 100%, $G$9) + CHOOSE(CONTROL!$C$38, 0.0342, 0)</f>
        <v>18.016599999999997</v>
      </c>
      <c r="J73" s="44">
        <f>100.8669</f>
        <v>100.8669</v>
      </c>
    </row>
    <row r="74" spans="1:10" ht="15" x14ac:dyDescent="0.2">
      <c r="A74" s="16">
        <v>43160</v>
      </c>
      <c r="B74" s="17">
        <f>17.9665 * CHOOSE(CONTROL!$C$15, $E$9, 100%, $G$9) + CHOOSE(CONTROL!$C$38, 0.034, 0)</f>
        <v>18.000499999999999</v>
      </c>
      <c r="C74" s="17">
        <f>17.4307 * CHOOSE(CONTROL!$C$15, $E$9, 100%, $G$9) + CHOOSE(CONTROL!$C$38, 0.0342, 0)</f>
        <v>17.4649</v>
      </c>
      <c r="D74" s="17">
        <f>17.4229 * CHOOSE(CONTROL!$C$15, $E$9, 100%, $G$9) + CHOOSE(CONTROL!$C$38, 0.0342, 0)</f>
        <v>17.457099999999997</v>
      </c>
      <c r="E74" s="17">
        <f>17.4229 * CHOOSE(CONTROL!$C$15, $E$9, 100%, $G$9) + CHOOSE(CONTROL!$C$38, 0.0342, 0)</f>
        <v>17.457099999999997</v>
      </c>
      <c r="F74" s="45">
        <f>17.9665 * CHOOSE(CONTROL!$C$15, $E$9, 100%, $G$9) + CHOOSE(CONTROL!$C$38, 0.034, 0)</f>
        <v>18.000499999999999</v>
      </c>
      <c r="G74" s="17">
        <f>17.4292 * CHOOSE(CONTROL!$C$15, $E$9, 100%, $G$9) + CHOOSE(CONTROL!$C$38, 0.0342, 0)</f>
        <v>17.4634</v>
      </c>
      <c r="H74" s="17">
        <f>17.4292 * CHOOSE(CONTROL!$C$15, $E$9, 100%, $G$9) + CHOOSE(CONTROL!$C$38, 0.0342, 0)</f>
        <v>17.4634</v>
      </c>
      <c r="I74" s="17">
        <f>17.4307 * CHOOSE(CONTROL!$C$15, $E$9, 100%, $G$9) + CHOOSE(CONTROL!$C$38, 0.0342, 0)</f>
        <v>17.4649</v>
      </c>
      <c r="J74" s="44">
        <f>106.4019</f>
        <v>106.4019</v>
      </c>
    </row>
    <row r="75" spans="1:10" ht="15" x14ac:dyDescent="0.2">
      <c r="A75" s="16">
        <v>43191</v>
      </c>
      <c r="B75" s="17">
        <f>17.4315 * CHOOSE(CONTROL!$C$15, $E$9, 100%, $G$9) + CHOOSE(CONTROL!$C$38, 0.034, 0)</f>
        <v>17.465499999999999</v>
      </c>
      <c r="C75" s="17">
        <f>16.895 * CHOOSE(CONTROL!$C$15, $E$9, 100%, $G$9) + CHOOSE(CONTROL!$C$38, 0.0342, 0)</f>
        <v>16.929199999999998</v>
      </c>
      <c r="D75" s="17">
        <f>16.8872 * CHOOSE(CONTROL!$C$15, $E$9, 100%, $G$9) + CHOOSE(CONTROL!$C$38, 0.0342, 0)</f>
        <v>16.921399999999998</v>
      </c>
      <c r="E75" s="17">
        <f>16.8872 * CHOOSE(CONTROL!$C$15, $E$9, 100%, $G$9) + CHOOSE(CONTROL!$C$38, 0.0342, 0)</f>
        <v>16.921399999999998</v>
      </c>
      <c r="F75" s="45">
        <f>17.4315 * CHOOSE(CONTROL!$C$15, $E$9, 100%, $G$9) + CHOOSE(CONTROL!$C$38, 0.034, 0)</f>
        <v>17.465499999999999</v>
      </c>
      <c r="G75" s="17">
        <f>16.8934 * CHOOSE(CONTROL!$C$15, $E$9, 100%, $G$9) + CHOOSE(CONTROL!$C$38, 0.0342, 0)</f>
        <v>16.927599999999998</v>
      </c>
      <c r="H75" s="17">
        <f>16.8934 * CHOOSE(CONTROL!$C$15, $E$9, 100%, $G$9) + CHOOSE(CONTROL!$C$38, 0.0342, 0)</f>
        <v>16.927599999999998</v>
      </c>
      <c r="I75" s="17">
        <f>16.895 * CHOOSE(CONTROL!$C$15, $E$9, 100%, $G$9) + CHOOSE(CONTROL!$C$38, 0.0342, 0)</f>
        <v>16.929199999999998</v>
      </c>
      <c r="J75" s="44">
        <f>113.5434</f>
        <v>113.54340000000001</v>
      </c>
    </row>
    <row r="76" spans="1:10" ht="15" x14ac:dyDescent="0.2">
      <c r="A76" s="16">
        <v>43221</v>
      </c>
      <c r="B76" s="17">
        <f>16.8701 * CHOOSE(CONTROL!$C$15, $E$9, 100%, $G$9) + CHOOSE(CONTROL!$C$38, 0.0353, 0)</f>
        <v>16.9054</v>
      </c>
      <c r="C76" s="17">
        <f>16.3327 * CHOOSE(CONTROL!$C$15, $E$9, 100%, $G$9) + CHOOSE(CONTROL!$C$38, 0.0354, 0)</f>
        <v>16.368099999999998</v>
      </c>
      <c r="D76" s="17">
        <f>16.3249 * CHOOSE(CONTROL!$C$15, $E$9, 100%, $G$9) + CHOOSE(CONTROL!$C$38, 0.0354, 0)</f>
        <v>16.360299999999999</v>
      </c>
      <c r="E76" s="17">
        <f>16.3249 * CHOOSE(CONTROL!$C$15, $E$9, 100%, $G$9) + CHOOSE(CONTROL!$C$38, 0.0354, 0)</f>
        <v>16.360299999999999</v>
      </c>
      <c r="F76" s="45">
        <f>16.8701 * CHOOSE(CONTROL!$C$15, $E$9, 100%, $G$9) + CHOOSE(CONTROL!$C$38, 0.0353, 0)</f>
        <v>16.9054</v>
      </c>
      <c r="G76" s="17">
        <f>16.3312 * CHOOSE(CONTROL!$C$15, $E$9, 100%, $G$9) + CHOOSE(CONTROL!$C$38, 0.0354, 0)</f>
        <v>16.366599999999998</v>
      </c>
      <c r="H76" s="17">
        <f>16.3312 * CHOOSE(CONTROL!$C$15, $E$9, 100%, $G$9) + CHOOSE(CONTROL!$C$38, 0.0354, 0)</f>
        <v>16.366599999999998</v>
      </c>
      <c r="I76" s="17">
        <f>16.3327 * CHOOSE(CONTROL!$C$15, $E$9, 100%, $G$9) + CHOOSE(CONTROL!$C$38, 0.0354, 0)</f>
        <v>16.368099999999998</v>
      </c>
      <c r="J76" s="44">
        <f>117.5955</f>
        <v>117.5955</v>
      </c>
    </row>
    <row r="77" spans="1:10" ht="15" x14ac:dyDescent="0.2">
      <c r="A77" s="16">
        <v>43252</v>
      </c>
      <c r="B77" s="17">
        <f>16.4848 * CHOOSE(CONTROL!$C$15, $E$9, 100%, $G$9) + CHOOSE(CONTROL!$C$38, 0.0353, 0)</f>
        <v>16.520099999999999</v>
      </c>
      <c r="C77" s="17">
        <f>15.9467 * CHOOSE(CONTROL!$C$15, $E$9, 100%, $G$9) + CHOOSE(CONTROL!$C$38, 0.0354, 0)</f>
        <v>15.982099999999999</v>
      </c>
      <c r="D77" s="17">
        <f>15.9389 * CHOOSE(CONTROL!$C$15, $E$9, 100%, $G$9) + CHOOSE(CONTROL!$C$38, 0.0354, 0)</f>
        <v>15.974299999999999</v>
      </c>
      <c r="E77" s="17">
        <f>15.9389 * CHOOSE(CONTROL!$C$15, $E$9, 100%, $G$9) + CHOOSE(CONTROL!$C$38, 0.0354, 0)</f>
        <v>15.974299999999999</v>
      </c>
      <c r="F77" s="45">
        <f>16.4848 * CHOOSE(CONTROL!$C$15, $E$9, 100%, $G$9) + CHOOSE(CONTROL!$C$38, 0.0353, 0)</f>
        <v>16.520099999999999</v>
      </c>
      <c r="G77" s="17">
        <f>15.9451 * CHOOSE(CONTROL!$C$15, $E$9, 100%, $G$9) + CHOOSE(CONTROL!$C$38, 0.0354, 0)</f>
        <v>15.980499999999999</v>
      </c>
      <c r="H77" s="17">
        <f>15.9451 * CHOOSE(CONTROL!$C$15, $E$9, 100%, $G$9) + CHOOSE(CONTROL!$C$38, 0.0354, 0)</f>
        <v>15.980499999999999</v>
      </c>
      <c r="I77" s="17">
        <f>15.9467 * CHOOSE(CONTROL!$C$15, $E$9, 100%, $G$9) + CHOOSE(CONTROL!$C$38, 0.0354, 0)</f>
        <v>15.982099999999999</v>
      </c>
      <c r="J77" s="44">
        <f>119.5356</f>
        <v>119.5356</v>
      </c>
    </row>
    <row r="78" spans="1:10" ht="15" x14ac:dyDescent="0.2">
      <c r="A78" s="16">
        <v>43282</v>
      </c>
      <c r="B78" s="17">
        <f>16.278 * CHOOSE(CONTROL!$C$15, $E$9, 100%, $G$9) + CHOOSE(CONTROL!$C$38, 0.0353, 0)</f>
        <v>16.313299999999998</v>
      </c>
      <c r="C78" s="17">
        <f>15.7391 * CHOOSE(CONTROL!$C$15, $E$9, 100%, $G$9) + CHOOSE(CONTROL!$C$38, 0.0354, 0)</f>
        <v>15.7745</v>
      </c>
      <c r="D78" s="17">
        <f>15.7313 * CHOOSE(CONTROL!$C$15, $E$9, 100%, $G$9) + CHOOSE(CONTROL!$C$38, 0.0354, 0)</f>
        <v>15.766699999999998</v>
      </c>
      <c r="E78" s="17">
        <f>15.7313 * CHOOSE(CONTROL!$C$15, $E$9, 100%, $G$9) + CHOOSE(CONTROL!$C$38, 0.0354, 0)</f>
        <v>15.766699999999998</v>
      </c>
      <c r="F78" s="45">
        <f>16.278 * CHOOSE(CONTROL!$C$15, $E$9, 100%, $G$9) + CHOOSE(CONTROL!$C$38, 0.0353, 0)</f>
        <v>16.313299999999998</v>
      </c>
      <c r="G78" s="17">
        <f>15.7376 * CHOOSE(CONTROL!$C$15, $E$9, 100%, $G$9) + CHOOSE(CONTROL!$C$38, 0.0354, 0)</f>
        <v>15.773</v>
      </c>
      <c r="H78" s="17">
        <f>15.7376 * CHOOSE(CONTROL!$C$15, $E$9, 100%, $G$9) + CHOOSE(CONTROL!$C$38, 0.0354, 0)</f>
        <v>15.773</v>
      </c>
      <c r="I78" s="17">
        <f>15.7391 * CHOOSE(CONTROL!$C$15, $E$9, 100%, $G$9) + CHOOSE(CONTROL!$C$38, 0.0354, 0)</f>
        <v>15.7745</v>
      </c>
      <c r="J78" s="44">
        <f>119.2216</f>
        <v>119.2216</v>
      </c>
    </row>
    <row r="79" spans="1:10" ht="15" x14ac:dyDescent="0.2">
      <c r="A79" s="16">
        <v>43313</v>
      </c>
      <c r="B79" s="17">
        <f>16.4287 * CHOOSE(CONTROL!$C$15, $E$9, 100%, $G$9) + CHOOSE(CONTROL!$C$38, 0.0353, 0)</f>
        <v>16.463999999999999</v>
      </c>
      <c r="C79" s="17">
        <f>15.889 * CHOOSE(CONTROL!$C$15, $E$9, 100%, $G$9) + CHOOSE(CONTROL!$C$38, 0.0354, 0)</f>
        <v>15.924399999999999</v>
      </c>
      <c r="D79" s="17">
        <f>15.8812 * CHOOSE(CONTROL!$C$15, $E$9, 100%, $G$9) + CHOOSE(CONTROL!$C$38, 0.0354, 0)</f>
        <v>15.916599999999999</v>
      </c>
      <c r="E79" s="17">
        <f>15.8812 * CHOOSE(CONTROL!$C$15, $E$9, 100%, $G$9) + CHOOSE(CONTROL!$C$38, 0.0354, 0)</f>
        <v>15.916599999999999</v>
      </c>
      <c r="F79" s="45">
        <f>16.4287 * CHOOSE(CONTROL!$C$15, $E$9, 100%, $G$9) + CHOOSE(CONTROL!$C$38, 0.0353, 0)</f>
        <v>16.463999999999999</v>
      </c>
      <c r="G79" s="17">
        <f>15.8875 * CHOOSE(CONTROL!$C$15, $E$9, 100%, $G$9) + CHOOSE(CONTROL!$C$38, 0.0354, 0)</f>
        <v>15.922899999999998</v>
      </c>
      <c r="H79" s="17">
        <f>15.8875 * CHOOSE(CONTROL!$C$15, $E$9, 100%, $G$9) + CHOOSE(CONTROL!$C$38, 0.0354, 0)</f>
        <v>15.922899999999998</v>
      </c>
      <c r="I79" s="17">
        <f>15.889 * CHOOSE(CONTROL!$C$15, $E$9, 100%, $G$9) + CHOOSE(CONTROL!$C$38, 0.0354, 0)</f>
        <v>15.924399999999999</v>
      </c>
      <c r="J79" s="44">
        <f>116.6861</f>
        <v>116.6861</v>
      </c>
    </row>
    <row r="80" spans="1:10" ht="15" x14ac:dyDescent="0.2">
      <c r="A80" s="16">
        <v>43344</v>
      </c>
      <c r="B80" s="17">
        <f>16.7836 * CHOOSE(CONTROL!$C$15, $E$9, 100%, $G$9) + CHOOSE(CONTROL!$C$38, 0.0353, 0)</f>
        <v>16.818899999999999</v>
      </c>
      <c r="C80" s="17">
        <f>16.2431 * CHOOSE(CONTROL!$C$15, $E$9, 100%, $G$9) + CHOOSE(CONTROL!$C$38, 0.0354, 0)</f>
        <v>16.278499999999998</v>
      </c>
      <c r="D80" s="17">
        <f>16.2353 * CHOOSE(CONTROL!$C$15, $E$9, 100%, $G$9) + CHOOSE(CONTROL!$C$38, 0.0354, 0)</f>
        <v>16.270699999999998</v>
      </c>
      <c r="E80" s="17">
        <f>16.2353 * CHOOSE(CONTROL!$C$15, $E$9, 100%, $G$9) + CHOOSE(CONTROL!$C$38, 0.0354, 0)</f>
        <v>16.270699999999998</v>
      </c>
      <c r="F80" s="45">
        <f>16.7836 * CHOOSE(CONTROL!$C$15, $E$9, 100%, $G$9) + CHOOSE(CONTROL!$C$38, 0.0353, 0)</f>
        <v>16.818899999999999</v>
      </c>
      <c r="G80" s="17">
        <f>16.2416 * CHOOSE(CONTROL!$C$15, $E$9, 100%, $G$9) + CHOOSE(CONTROL!$C$38, 0.0354, 0)</f>
        <v>16.276999999999997</v>
      </c>
      <c r="H80" s="17">
        <f>16.2416 * CHOOSE(CONTROL!$C$15, $E$9, 100%, $G$9) + CHOOSE(CONTROL!$C$38, 0.0354, 0)</f>
        <v>16.276999999999997</v>
      </c>
      <c r="I80" s="17">
        <f>16.2431 * CHOOSE(CONTROL!$C$15, $E$9, 100%, $G$9) + CHOOSE(CONTROL!$C$38, 0.0354, 0)</f>
        <v>16.278499999999998</v>
      </c>
      <c r="J80" s="44">
        <f>113.04</f>
        <v>113.04</v>
      </c>
    </row>
    <row r="81" spans="1:10" ht="15" x14ac:dyDescent="0.2">
      <c r="A81" s="16">
        <v>43374</v>
      </c>
      <c r="B81" s="17">
        <f>17.0874 * CHOOSE(CONTROL!$C$15, $E$9, 100%, $G$9) + CHOOSE(CONTROL!$C$38, 0.034, 0)</f>
        <v>17.121399999999998</v>
      </c>
      <c r="C81" s="17">
        <f>16.5461 * CHOOSE(CONTROL!$C$15, $E$9, 100%, $G$9) + CHOOSE(CONTROL!$C$38, 0.0342, 0)</f>
        <v>16.580299999999998</v>
      </c>
      <c r="D81" s="17">
        <f>16.5383 * CHOOSE(CONTROL!$C$15, $E$9, 100%, $G$9) + CHOOSE(CONTROL!$C$38, 0.0342, 0)</f>
        <v>16.572499999999998</v>
      </c>
      <c r="E81" s="17">
        <f>16.5383 * CHOOSE(CONTROL!$C$15, $E$9, 100%, $G$9) + CHOOSE(CONTROL!$C$38, 0.0342, 0)</f>
        <v>16.572499999999998</v>
      </c>
      <c r="F81" s="45">
        <f>17.0874 * CHOOSE(CONTROL!$C$15, $E$9, 100%, $G$9) + CHOOSE(CONTROL!$C$38, 0.034, 0)</f>
        <v>17.121399999999998</v>
      </c>
      <c r="G81" s="17">
        <f>16.5446 * CHOOSE(CONTROL!$C$15, $E$9, 100%, $G$9) + CHOOSE(CONTROL!$C$38, 0.0342, 0)</f>
        <v>16.578799999999998</v>
      </c>
      <c r="H81" s="17">
        <f>16.5446 * CHOOSE(CONTROL!$C$15, $E$9, 100%, $G$9) + CHOOSE(CONTROL!$C$38, 0.0342, 0)</f>
        <v>16.578799999999998</v>
      </c>
      <c r="I81" s="17">
        <f>16.5461 * CHOOSE(CONTROL!$C$15, $E$9, 100%, $G$9) + CHOOSE(CONTROL!$C$38, 0.0342, 0)</f>
        <v>16.580299999999998</v>
      </c>
      <c r="J81" s="44">
        <f>109.3557</f>
        <v>109.3557</v>
      </c>
    </row>
    <row r="82" spans="1:10" ht="15" x14ac:dyDescent="0.2">
      <c r="A82" s="16">
        <v>43405</v>
      </c>
      <c r="B82" s="17">
        <f>17.3475 * CHOOSE(CONTROL!$C$15, $E$9, 100%, $G$9) + CHOOSE(CONTROL!$C$38, 0.034, 0)</f>
        <v>17.381499999999999</v>
      </c>
      <c r="C82" s="17">
        <f>16.8055 * CHOOSE(CONTROL!$C$15, $E$9, 100%, $G$9) + CHOOSE(CONTROL!$C$38, 0.0342, 0)</f>
        <v>16.839699999999997</v>
      </c>
      <c r="D82" s="17">
        <f>16.7976 * CHOOSE(CONTROL!$C$15, $E$9, 100%, $G$9) + CHOOSE(CONTROL!$C$38, 0.0342, 0)</f>
        <v>16.831799999999998</v>
      </c>
      <c r="E82" s="17">
        <f>16.7976 * CHOOSE(CONTROL!$C$15, $E$9, 100%, $G$9) + CHOOSE(CONTROL!$C$38, 0.0342, 0)</f>
        <v>16.831799999999998</v>
      </c>
      <c r="F82" s="45">
        <f>17.3475 * CHOOSE(CONTROL!$C$15, $E$9, 100%, $G$9) + CHOOSE(CONTROL!$C$38, 0.034, 0)</f>
        <v>17.381499999999999</v>
      </c>
      <c r="G82" s="17">
        <f>16.8039 * CHOOSE(CONTROL!$C$15, $E$9, 100%, $G$9) + CHOOSE(CONTROL!$C$38, 0.0342, 0)</f>
        <v>16.838099999999997</v>
      </c>
      <c r="H82" s="17">
        <f>16.8039 * CHOOSE(CONTROL!$C$15, $E$9, 100%, $G$9) + CHOOSE(CONTROL!$C$38, 0.0342, 0)</f>
        <v>16.838099999999997</v>
      </c>
      <c r="I82" s="17">
        <f>16.8055 * CHOOSE(CONTROL!$C$15, $E$9, 100%, $G$9) + CHOOSE(CONTROL!$C$38, 0.0342, 0)</f>
        <v>16.839699999999997</v>
      </c>
      <c r="J82" s="44">
        <f>108.8002</f>
        <v>108.8002</v>
      </c>
    </row>
    <row r="83" spans="1:10" ht="15" x14ac:dyDescent="0.2">
      <c r="A83" s="16">
        <v>43435</v>
      </c>
      <c r="B83" s="17">
        <f>18.0804 * CHOOSE(CONTROL!$C$15, $E$9, 100%, $G$9) + CHOOSE(CONTROL!$C$38, 0.034, 0)</f>
        <v>18.1144</v>
      </c>
      <c r="C83" s="17">
        <f>17.5375 * CHOOSE(CONTROL!$C$15, $E$9, 100%, $G$9) + CHOOSE(CONTROL!$C$38, 0.0342, 0)</f>
        <v>17.5717</v>
      </c>
      <c r="D83" s="17">
        <f>17.5297 * CHOOSE(CONTROL!$C$15, $E$9, 100%, $G$9) + CHOOSE(CONTROL!$C$38, 0.0342, 0)</f>
        <v>17.563899999999997</v>
      </c>
      <c r="E83" s="17">
        <f>17.5297 * CHOOSE(CONTROL!$C$15, $E$9, 100%, $G$9) + CHOOSE(CONTROL!$C$38, 0.0342, 0)</f>
        <v>17.563899999999997</v>
      </c>
      <c r="F83" s="45">
        <f>18.0804 * CHOOSE(CONTROL!$C$15, $E$9, 100%, $G$9) + CHOOSE(CONTROL!$C$38, 0.034, 0)</f>
        <v>18.1144</v>
      </c>
      <c r="G83" s="17">
        <f>17.536 * CHOOSE(CONTROL!$C$15, $E$9, 100%, $G$9) + CHOOSE(CONTROL!$C$38, 0.0342, 0)</f>
        <v>17.5702</v>
      </c>
      <c r="H83" s="17">
        <f>17.536 * CHOOSE(CONTROL!$C$15, $E$9, 100%, $G$9) + CHOOSE(CONTROL!$C$38, 0.0342, 0)</f>
        <v>17.5702</v>
      </c>
      <c r="I83" s="17">
        <f>17.5375 * CHOOSE(CONTROL!$C$15, $E$9, 100%, $G$9) + CHOOSE(CONTROL!$C$38, 0.0342, 0)</f>
        <v>17.5717</v>
      </c>
      <c r="J83" s="44">
        <f>105.789</f>
        <v>105.789</v>
      </c>
    </row>
    <row r="84" spans="1:10" ht="15" x14ac:dyDescent="0.2">
      <c r="A84" s="16">
        <v>43466</v>
      </c>
      <c r="B84" s="17">
        <f>18.7068 * CHOOSE(CONTROL!$C$15, $E$9, 100%, $G$9) + CHOOSE(CONTROL!$C$38, 0.034, 0)</f>
        <v>18.7408</v>
      </c>
      <c r="C84" s="17">
        <f>18.151 * CHOOSE(CONTROL!$C$15, $E$9, 100%, $G$9) + CHOOSE(CONTROL!$C$38, 0.0342, 0)</f>
        <v>18.185199999999998</v>
      </c>
      <c r="D84" s="17">
        <f>18.1432 * CHOOSE(CONTROL!$C$15, $E$9, 100%, $G$9) + CHOOSE(CONTROL!$C$38, 0.0342, 0)</f>
        <v>18.177399999999999</v>
      </c>
      <c r="E84" s="17">
        <f>18.1432 * CHOOSE(CONTROL!$C$15, $E$9, 100%, $G$9) + CHOOSE(CONTROL!$C$38, 0.0342, 0)</f>
        <v>18.177399999999999</v>
      </c>
      <c r="F84" s="45">
        <f>18.7068 * CHOOSE(CONTROL!$C$15, $E$9, 100%, $G$9) + CHOOSE(CONTROL!$C$38, 0.034, 0)</f>
        <v>18.7408</v>
      </c>
      <c r="G84" s="17">
        <f>18.1494 * CHOOSE(CONTROL!$C$15, $E$9, 100%, $G$9) + CHOOSE(CONTROL!$C$38, 0.0342, 0)</f>
        <v>18.183599999999998</v>
      </c>
      <c r="H84" s="17">
        <f>18.1494 * CHOOSE(CONTROL!$C$15, $E$9, 100%, $G$9) + CHOOSE(CONTROL!$C$38, 0.0342, 0)</f>
        <v>18.183599999999998</v>
      </c>
      <c r="I84" s="17">
        <f>18.151 * CHOOSE(CONTROL!$C$15, $E$9, 100%, $G$9) + CHOOSE(CONTROL!$C$38, 0.0342, 0)</f>
        <v>18.185199999999998</v>
      </c>
      <c r="J84" s="44">
        <f>103.269</f>
        <v>103.26900000000001</v>
      </c>
    </row>
    <row r="85" spans="1:10" ht="15" x14ac:dyDescent="0.2">
      <c r="A85" s="16">
        <v>43497</v>
      </c>
      <c r="B85" s="17">
        <f>19.0038 * CHOOSE(CONTROL!$C$15, $E$9, 100%, $G$9) + CHOOSE(CONTROL!$C$38, 0.034, 0)</f>
        <v>19.037799999999997</v>
      </c>
      <c r="C85" s="17">
        <f>18.4472 * CHOOSE(CONTROL!$C$15, $E$9, 100%, $G$9) + CHOOSE(CONTROL!$C$38, 0.0342, 0)</f>
        <v>18.481399999999997</v>
      </c>
      <c r="D85" s="17">
        <f>18.4394 * CHOOSE(CONTROL!$C$15, $E$9, 100%, $G$9) + CHOOSE(CONTROL!$C$38, 0.0342, 0)</f>
        <v>18.473599999999998</v>
      </c>
      <c r="E85" s="17">
        <f>18.4394 * CHOOSE(CONTROL!$C$15, $E$9, 100%, $G$9) + CHOOSE(CONTROL!$C$38, 0.0342, 0)</f>
        <v>18.473599999999998</v>
      </c>
      <c r="F85" s="45">
        <f>19.0038 * CHOOSE(CONTROL!$C$15, $E$9, 100%, $G$9) + CHOOSE(CONTROL!$C$38, 0.034, 0)</f>
        <v>19.037799999999997</v>
      </c>
      <c r="G85" s="17">
        <f>18.4456 * CHOOSE(CONTROL!$C$15, $E$9, 100%, $G$9) + CHOOSE(CONTROL!$C$38, 0.0342, 0)</f>
        <v>18.479799999999997</v>
      </c>
      <c r="H85" s="17">
        <f>18.4456 * CHOOSE(CONTROL!$C$15, $E$9, 100%, $G$9) + CHOOSE(CONTROL!$C$38, 0.0342, 0)</f>
        <v>18.479799999999997</v>
      </c>
      <c r="I85" s="17">
        <f>18.4472 * CHOOSE(CONTROL!$C$15, $E$9, 100%, $G$9) + CHOOSE(CONTROL!$C$38, 0.0342, 0)</f>
        <v>18.481399999999997</v>
      </c>
      <c r="J85" s="44">
        <f>103.194</f>
        <v>103.194</v>
      </c>
    </row>
    <row r="86" spans="1:10" ht="15" x14ac:dyDescent="0.2">
      <c r="A86" s="16">
        <v>43525</v>
      </c>
      <c r="B86" s="17">
        <f>18.4392 * CHOOSE(CONTROL!$C$15, $E$9, 100%, $G$9) + CHOOSE(CONTROL!$C$38, 0.034, 0)</f>
        <v>18.473199999999999</v>
      </c>
      <c r="C86" s="17">
        <f>17.8817 * CHOOSE(CONTROL!$C$15, $E$9, 100%, $G$9) + CHOOSE(CONTROL!$C$38, 0.0342, 0)</f>
        <v>17.915899999999997</v>
      </c>
      <c r="D86" s="17">
        <f>17.8739 * CHOOSE(CONTROL!$C$15, $E$9, 100%, $G$9) + CHOOSE(CONTROL!$C$38, 0.0342, 0)</f>
        <v>17.908099999999997</v>
      </c>
      <c r="E86" s="17">
        <f>17.8739 * CHOOSE(CONTROL!$C$15, $E$9, 100%, $G$9) + CHOOSE(CONTROL!$C$38, 0.0342, 0)</f>
        <v>17.908099999999997</v>
      </c>
      <c r="F86" s="45">
        <f>18.4392 * CHOOSE(CONTROL!$C$15, $E$9, 100%, $G$9) + CHOOSE(CONTROL!$C$38, 0.034, 0)</f>
        <v>18.473199999999999</v>
      </c>
      <c r="G86" s="17">
        <f>17.8802 * CHOOSE(CONTROL!$C$15, $E$9, 100%, $G$9) + CHOOSE(CONTROL!$C$38, 0.0342, 0)</f>
        <v>17.914399999999997</v>
      </c>
      <c r="H86" s="17">
        <f>17.8802 * CHOOSE(CONTROL!$C$15, $E$9, 100%, $G$9) + CHOOSE(CONTROL!$C$38, 0.0342, 0)</f>
        <v>17.914399999999997</v>
      </c>
      <c r="I86" s="17">
        <f>17.8817 * CHOOSE(CONTROL!$C$15, $E$9, 100%, $G$9) + CHOOSE(CONTROL!$C$38, 0.0342, 0)</f>
        <v>17.915899999999997</v>
      </c>
      <c r="J86" s="44">
        <f>108.8567</f>
        <v>108.8567</v>
      </c>
    </row>
    <row r="87" spans="1:10" ht="15" x14ac:dyDescent="0.2">
      <c r="A87" s="16">
        <v>43556</v>
      </c>
      <c r="B87" s="17">
        <f>17.8909 * CHOOSE(CONTROL!$C$15, $E$9, 100%, $G$9) + CHOOSE(CONTROL!$C$38, 0.034, 0)</f>
        <v>17.924899999999997</v>
      </c>
      <c r="C87" s="17">
        <f>17.3326 * CHOOSE(CONTROL!$C$15, $E$9, 100%, $G$9) + CHOOSE(CONTROL!$C$38, 0.0342, 0)</f>
        <v>17.366799999999998</v>
      </c>
      <c r="D87" s="17">
        <f>17.3248 * CHOOSE(CONTROL!$C$15, $E$9, 100%, $G$9) + CHOOSE(CONTROL!$C$38, 0.0342, 0)</f>
        <v>17.358999999999998</v>
      </c>
      <c r="E87" s="17">
        <f>17.3248 * CHOOSE(CONTROL!$C$15, $E$9, 100%, $G$9) + CHOOSE(CONTROL!$C$38, 0.0342, 0)</f>
        <v>17.358999999999998</v>
      </c>
      <c r="F87" s="45">
        <f>17.8909 * CHOOSE(CONTROL!$C$15, $E$9, 100%, $G$9) + CHOOSE(CONTROL!$C$38, 0.034, 0)</f>
        <v>17.924899999999997</v>
      </c>
      <c r="G87" s="17">
        <f>17.3311 * CHOOSE(CONTROL!$C$15, $E$9, 100%, $G$9) + CHOOSE(CONTROL!$C$38, 0.0342, 0)</f>
        <v>17.365299999999998</v>
      </c>
      <c r="H87" s="17">
        <f>17.3311 * CHOOSE(CONTROL!$C$15, $E$9, 100%, $G$9) + CHOOSE(CONTROL!$C$38, 0.0342, 0)</f>
        <v>17.365299999999998</v>
      </c>
      <c r="I87" s="17">
        <f>17.3326 * CHOOSE(CONTROL!$C$15, $E$9, 100%, $G$9) + CHOOSE(CONTROL!$C$38, 0.0342, 0)</f>
        <v>17.366799999999998</v>
      </c>
      <c r="J87" s="44">
        <f>116.163</f>
        <v>116.163</v>
      </c>
    </row>
    <row r="88" spans="1:10" ht="15" x14ac:dyDescent="0.2">
      <c r="A88" s="16">
        <v>43586</v>
      </c>
      <c r="B88" s="17">
        <f>17.3155 * CHOOSE(CONTROL!$C$15, $E$9, 100%, $G$9) + CHOOSE(CONTROL!$C$38, 0.0353, 0)</f>
        <v>17.3508</v>
      </c>
      <c r="C88" s="17">
        <f>16.7564 * CHOOSE(CONTROL!$C$15, $E$9, 100%, $G$9) + CHOOSE(CONTROL!$C$38, 0.0354, 0)</f>
        <v>16.791799999999999</v>
      </c>
      <c r="D88" s="17">
        <f>16.7486 * CHOOSE(CONTROL!$C$15, $E$9, 100%, $G$9) + CHOOSE(CONTROL!$C$38, 0.0354, 0)</f>
        <v>16.783999999999999</v>
      </c>
      <c r="E88" s="17">
        <f>16.7486 * CHOOSE(CONTROL!$C$15, $E$9, 100%, $G$9) + CHOOSE(CONTROL!$C$38, 0.0354, 0)</f>
        <v>16.783999999999999</v>
      </c>
      <c r="F88" s="45">
        <f>17.3155 * CHOOSE(CONTROL!$C$15, $E$9, 100%, $G$9) + CHOOSE(CONTROL!$C$38, 0.0353, 0)</f>
        <v>17.3508</v>
      </c>
      <c r="G88" s="17">
        <f>16.7548 * CHOOSE(CONTROL!$C$15, $E$9, 100%, $G$9) + CHOOSE(CONTROL!$C$38, 0.0354, 0)</f>
        <v>16.790199999999999</v>
      </c>
      <c r="H88" s="17">
        <f>16.7548 * CHOOSE(CONTROL!$C$15, $E$9, 100%, $G$9) + CHOOSE(CONTROL!$C$38, 0.0354, 0)</f>
        <v>16.790199999999999</v>
      </c>
      <c r="I88" s="17">
        <f>16.7564 * CHOOSE(CONTROL!$C$15, $E$9, 100%, $G$9) + CHOOSE(CONTROL!$C$38, 0.0354, 0)</f>
        <v>16.791799999999999</v>
      </c>
      <c r="J88" s="44">
        <f>120.3085</f>
        <v>120.3085</v>
      </c>
    </row>
    <row r="89" spans="1:10" ht="15" x14ac:dyDescent="0.2">
      <c r="A89" s="16">
        <v>43617</v>
      </c>
      <c r="B89" s="17">
        <f>16.9207 * CHOOSE(CONTROL!$C$15, $E$9, 100%, $G$9) + CHOOSE(CONTROL!$C$38, 0.0353, 0)</f>
        <v>16.956</v>
      </c>
      <c r="C89" s="17">
        <f>16.3608 * CHOOSE(CONTROL!$C$15, $E$9, 100%, $G$9) + CHOOSE(CONTROL!$C$38, 0.0354, 0)</f>
        <v>16.3962</v>
      </c>
      <c r="D89" s="17">
        <f>16.3529 * CHOOSE(CONTROL!$C$15, $E$9, 100%, $G$9) + CHOOSE(CONTROL!$C$38, 0.0354, 0)</f>
        <v>16.388300000000001</v>
      </c>
      <c r="E89" s="17">
        <f>16.3529 * CHOOSE(CONTROL!$C$15, $E$9, 100%, $G$9) + CHOOSE(CONTROL!$C$38, 0.0354, 0)</f>
        <v>16.388300000000001</v>
      </c>
      <c r="F89" s="45">
        <f>16.9207 * CHOOSE(CONTROL!$C$15, $E$9, 100%, $G$9) + CHOOSE(CONTROL!$C$38, 0.0353, 0)</f>
        <v>16.956</v>
      </c>
      <c r="G89" s="17">
        <f>16.3592 * CHOOSE(CONTROL!$C$15, $E$9, 100%, $G$9) + CHOOSE(CONTROL!$C$38, 0.0354, 0)</f>
        <v>16.394600000000001</v>
      </c>
      <c r="H89" s="17">
        <f>16.3592 * CHOOSE(CONTROL!$C$15, $E$9, 100%, $G$9) + CHOOSE(CONTROL!$C$38, 0.0354, 0)</f>
        <v>16.394600000000001</v>
      </c>
      <c r="I89" s="17">
        <f>16.3608 * CHOOSE(CONTROL!$C$15, $E$9, 100%, $G$9) + CHOOSE(CONTROL!$C$38, 0.0354, 0)</f>
        <v>16.3962</v>
      </c>
      <c r="J89" s="44">
        <f>122.2934</f>
        <v>122.29340000000001</v>
      </c>
    </row>
    <row r="90" spans="1:10" ht="15" x14ac:dyDescent="0.2">
      <c r="A90" s="16">
        <v>43647</v>
      </c>
      <c r="B90" s="17">
        <f>16.7088 * CHOOSE(CONTROL!$C$15, $E$9, 100%, $G$9) + CHOOSE(CONTROL!$C$38, 0.0353, 0)</f>
        <v>16.7441</v>
      </c>
      <c r="C90" s="17">
        <f>16.1481 * CHOOSE(CONTROL!$C$15, $E$9, 100%, $G$9) + CHOOSE(CONTROL!$C$38, 0.0354, 0)</f>
        <v>16.183499999999999</v>
      </c>
      <c r="D90" s="17">
        <f>16.1402 * CHOOSE(CONTROL!$C$15, $E$9, 100%, $G$9) + CHOOSE(CONTROL!$C$38, 0.0354, 0)</f>
        <v>16.175599999999999</v>
      </c>
      <c r="E90" s="17">
        <f>16.1402 * CHOOSE(CONTROL!$C$15, $E$9, 100%, $G$9) + CHOOSE(CONTROL!$C$38, 0.0354, 0)</f>
        <v>16.175599999999999</v>
      </c>
      <c r="F90" s="45">
        <f>16.7088 * CHOOSE(CONTROL!$C$15, $E$9, 100%, $G$9) + CHOOSE(CONTROL!$C$38, 0.0353, 0)</f>
        <v>16.7441</v>
      </c>
      <c r="G90" s="17">
        <f>16.1465 * CHOOSE(CONTROL!$C$15, $E$9, 100%, $G$9) + CHOOSE(CONTROL!$C$38, 0.0354, 0)</f>
        <v>16.181899999999999</v>
      </c>
      <c r="H90" s="17">
        <f>16.1465 * CHOOSE(CONTROL!$C$15, $E$9, 100%, $G$9) + CHOOSE(CONTROL!$C$38, 0.0354, 0)</f>
        <v>16.181899999999999</v>
      </c>
      <c r="I90" s="17">
        <f>16.1481 * CHOOSE(CONTROL!$C$15, $E$9, 100%, $G$9) + CHOOSE(CONTROL!$C$38, 0.0354, 0)</f>
        <v>16.183499999999999</v>
      </c>
      <c r="J90" s="44">
        <f>121.9722</f>
        <v>121.9722</v>
      </c>
    </row>
    <row r="91" spans="1:10" ht="15" x14ac:dyDescent="0.2">
      <c r="A91" s="16">
        <v>43678</v>
      </c>
      <c r="B91" s="17">
        <f>16.8633 * CHOOSE(CONTROL!$C$15, $E$9, 100%, $G$9) + CHOOSE(CONTROL!$C$38, 0.0353, 0)</f>
        <v>16.898599999999998</v>
      </c>
      <c r="C91" s="17">
        <f>16.3018 * CHOOSE(CONTROL!$C$15, $E$9, 100%, $G$9) + CHOOSE(CONTROL!$C$38, 0.0354, 0)</f>
        <v>16.337199999999999</v>
      </c>
      <c r="D91" s="17">
        <f>16.2939 * CHOOSE(CONTROL!$C$15, $E$9, 100%, $G$9) + CHOOSE(CONTROL!$C$38, 0.0354, 0)</f>
        <v>16.3293</v>
      </c>
      <c r="E91" s="17">
        <f>16.2939 * CHOOSE(CONTROL!$C$15, $E$9, 100%, $G$9) + CHOOSE(CONTROL!$C$38, 0.0354, 0)</f>
        <v>16.3293</v>
      </c>
      <c r="F91" s="45">
        <f>16.8633 * CHOOSE(CONTROL!$C$15, $E$9, 100%, $G$9) + CHOOSE(CONTROL!$C$38, 0.0353, 0)</f>
        <v>16.898599999999998</v>
      </c>
      <c r="G91" s="17">
        <f>16.3002 * CHOOSE(CONTROL!$C$15, $E$9, 100%, $G$9) + CHOOSE(CONTROL!$C$38, 0.0354, 0)</f>
        <v>16.335599999999999</v>
      </c>
      <c r="H91" s="17">
        <f>16.3002 * CHOOSE(CONTROL!$C$15, $E$9, 100%, $G$9) + CHOOSE(CONTROL!$C$38, 0.0354, 0)</f>
        <v>16.335599999999999</v>
      </c>
      <c r="I91" s="17">
        <f>16.3018 * CHOOSE(CONTROL!$C$15, $E$9, 100%, $G$9) + CHOOSE(CONTROL!$C$38, 0.0354, 0)</f>
        <v>16.337199999999999</v>
      </c>
      <c r="J91" s="44">
        <f>119.3781</f>
        <v>119.3781</v>
      </c>
    </row>
    <row r="92" spans="1:10" ht="15" x14ac:dyDescent="0.2">
      <c r="A92" s="16">
        <v>43709</v>
      </c>
      <c r="B92" s="17">
        <f>17.2272 * CHOOSE(CONTROL!$C$15, $E$9, 100%, $G$9) + CHOOSE(CONTROL!$C$38, 0.0353, 0)</f>
        <v>17.262499999999999</v>
      </c>
      <c r="C92" s="17">
        <f>16.6648 * CHOOSE(CONTROL!$C$15, $E$9, 100%, $G$9) + CHOOSE(CONTROL!$C$38, 0.0354, 0)</f>
        <v>16.700199999999999</v>
      </c>
      <c r="D92" s="17">
        <f>16.657 * CHOOSE(CONTROL!$C$15, $E$9, 100%, $G$9) + CHOOSE(CONTROL!$C$38, 0.0354, 0)</f>
        <v>16.692399999999999</v>
      </c>
      <c r="E92" s="17">
        <f>16.657 * CHOOSE(CONTROL!$C$15, $E$9, 100%, $G$9) + CHOOSE(CONTROL!$C$38, 0.0354, 0)</f>
        <v>16.692399999999999</v>
      </c>
      <c r="F92" s="45">
        <f>17.2272 * CHOOSE(CONTROL!$C$15, $E$9, 100%, $G$9) + CHOOSE(CONTROL!$C$38, 0.0353, 0)</f>
        <v>17.262499999999999</v>
      </c>
      <c r="G92" s="17">
        <f>16.6632 * CHOOSE(CONTROL!$C$15, $E$9, 100%, $G$9) + CHOOSE(CONTROL!$C$38, 0.0354, 0)</f>
        <v>16.698599999999999</v>
      </c>
      <c r="H92" s="17">
        <f>16.6632 * CHOOSE(CONTROL!$C$15, $E$9, 100%, $G$9) + CHOOSE(CONTROL!$C$38, 0.0354, 0)</f>
        <v>16.698599999999999</v>
      </c>
      <c r="I92" s="17">
        <f>16.6648 * CHOOSE(CONTROL!$C$15, $E$9, 100%, $G$9) + CHOOSE(CONTROL!$C$38, 0.0354, 0)</f>
        <v>16.700199999999999</v>
      </c>
      <c r="J92" s="44">
        <f>115.648</f>
        <v>115.648</v>
      </c>
    </row>
    <row r="93" spans="1:10" ht="15" x14ac:dyDescent="0.2">
      <c r="A93" s="16">
        <v>43739</v>
      </c>
      <c r="B93" s="17">
        <f>17.5387 * CHOOSE(CONTROL!$C$15, $E$9, 100%, $G$9) + CHOOSE(CONTROL!$C$38, 0.034, 0)</f>
        <v>17.572699999999998</v>
      </c>
      <c r="C93" s="17">
        <f>16.9754 * CHOOSE(CONTROL!$C$15, $E$9, 100%, $G$9) + CHOOSE(CONTROL!$C$38, 0.0342, 0)</f>
        <v>17.009599999999999</v>
      </c>
      <c r="D93" s="17">
        <f>16.9676 * CHOOSE(CONTROL!$C$15, $E$9, 100%, $G$9) + CHOOSE(CONTROL!$C$38, 0.0342, 0)</f>
        <v>17.001799999999999</v>
      </c>
      <c r="E93" s="17">
        <f>16.9676 * CHOOSE(CONTROL!$C$15, $E$9, 100%, $G$9) + CHOOSE(CONTROL!$C$38, 0.0342, 0)</f>
        <v>17.001799999999999</v>
      </c>
      <c r="F93" s="45">
        <f>17.5387 * CHOOSE(CONTROL!$C$15, $E$9, 100%, $G$9) + CHOOSE(CONTROL!$C$38, 0.034, 0)</f>
        <v>17.572699999999998</v>
      </c>
      <c r="G93" s="17">
        <f>16.9738 * CHOOSE(CONTROL!$C$15, $E$9, 100%, $G$9) + CHOOSE(CONTROL!$C$38, 0.0342, 0)</f>
        <v>17.007999999999999</v>
      </c>
      <c r="H93" s="17">
        <f>16.9738 * CHOOSE(CONTROL!$C$15, $E$9, 100%, $G$9) + CHOOSE(CONTROL!$C$38, 0.0342, 0)</f>
        <v>17.007999999999999</v>
      </c>
      <c r="I93" s="17">
        <f>16.9754 * CHOOSE(CONTROL!$C$15, $E$9, 100%, $G$9) + CHOOSE(CONTROL!$C$38, 0.0342, 0)</f>
        <v>17.009599999999999</v>
      </c>
      <c r="J93" s="44">
        <f>111.8787</f>
        <v>111.87869999999999</v>
      </c>
    </row>
    <row r="94" spans="1:10" ht="15" x14ac:dyDescent="0.2">
      <c r="A94" s="16">
        <v>43770</v>
      </c>
      <c r="B94" s="17">
        <f>17.8054 * CHOOSE(CONTROL!$C$15, $E$9, 100%, $G$9) + CHOOSE(CONTROL!$C$38, 0.034, 0)</f>
        <v>17.839399999999998</v>
      </c>
      <c r="C94" s="17">
        <f>17.2413 * CHOOSE(CONTROL!$C$15, $E$9, 100%, $G$9) + CHOOSE(CONTROL!$C$38, 0.0342, 0)</f>
        <v>17.275499999999997</v>
      </c>
      <c r="D94" s="17">
        <f>17.2335 * CHOOSE(CONTROL!$C$15, $E$9, 100%, $G$9) + CHOOSE(CONTROL!$C$38, 0.0342, 0)</f>
        <v>17.267699999999998</v>
      </c>
      <c r="E94" s="17">
        <f>17.2335 * CHOOSE(CONTROL!$C$15, $E$9, 100%, $G$9) + CHOOSE(CONTROL!$C$38, 0.0342, 0)</f>
        <v>17.267699999999998</v>
      </c>
      <c r="F94" s="45">
        <f>17.8054 * CHOOSE(CONTROL!$C$15, $E$9, 100%, $G$9) + CHOOSE(CONTROL!$C$38, 0.034, 0)</f>
        <v>17.839399999999998</v>
      </c>
      <c r="G94" s="17">
        <f>17.2397 * CHOOSE(CONTROL!$C$15, $E$9, 100%, $G$9) + CHOOSE(CONTROL!$C$38, 0.0342, 0)</f>
        <v>17.273899999999998</v>
      </c>
      <c r="H94" s="17">
        <f>17.2397 * CHOOSE(CONTROL!$C$15, $E$9, 100%, $G$9) + CHOOSE(CONTROL!$C$38, 0.0342, 0)</f>
        <v>17.273899999999998</v>
      </c>
      <c r="I94" s="17">
        <f>17.2413 * CHOOSE(CONTROL!$C$15, $E$9, 100%, $G$9) + CHOOSE(CONTROL!$C$38, 0.0342, 0)</f>
        <v>17.275499999999997</v>
      </c>
      <c r="J94" s="44">
        <f>111.3104</f>
        <v>111.3104</v>
      </c>
    </row>
    <row r="95" spans="1:10" ht="15" x14ac:dyDescent="0.2">
      <c r="A95" s="16">
        <v>43800</v>
      </c>
      <c r="B95" s="17">
        <f>18.5566 * CHOOSE(CONTROL!$C$15, $E$9, 100%, $G$9) + CHOOSE(CONTROL!$C$38, 0.034, 0)</f>
        <v>18.590599999999998</v>
      </c>
      <c r="C95" s="17">
        <f>17.9917 * CHOOSE(CONTROL!$C$15, $E$9, 100%, $G$9) + CHOOSE(CONTROL!$C$38, 0.0342, 0)</f>
        <v>18.0259</v>
      </c>
      <c r="D95" s="17">
        <f>17.9839 * CHOOSE(CONTROL!$C$15, $E$9, 100%, $G$9) + CHOOSE(CONTROL!$C$38, 0.0342, 0)</f>
        <v>18.018099999999997</v>
      </c>
      <c r="E95" s="17">
        <f>17.9839 * CHOOSE(CONTROL!$C$15, $E$9, 100%, $G$9) + CHOOSE(CONTROL!$C$38, 0.0342, 0)</f>
        <v>18.018099999999997</v>
      </c>
      <c r="F95" s="45">
        <f>18.5566 * CHOOSE(CONTROL!$C$15, $E$9, 100%, $G$9) + CHOOSE(CONTROL!$C$38, 0.034, 0)</f>
        <v>18.590599999999998</v>
      </c>
      <c r="G95" s="17">
        <f>17.9901 * CHOOSE(CONTROL!$C$15, $E$9, 100%, $G$9) + CHOOSE(CONTROL!$C$38, 0.0342, 0)</f>
        <v>18.0243</v>
      </c>
      <c r="H95" s="17">
        <f>17.9901 * CHOOSE(CONTROL!$C$15, $E$9, 100%, $G$9) + CHOOSE(CONTROL!$C$38, 0.0342, 0)</f>
        <v>18.0243</v>
      </c>
      <c r="I95" s="17">
        <f>17.9917 * CHOOSE(CONTROL!$C$15, $E$9, 100%, $G$9) + CHOOSE(CONTROL!$C$38, 0.0342, 0)</f>
        <v>18.0259</v>
      </c>
      <c r="J95" s="44">
        <f>108.2297</f>
        <v>108.22969999999999</v>
      </c>
    </row>
    <row r="96" spans="1:10" ht="15" x14ac:dyDescent="0.2">
      <c r="A96" s="16">
        <v>43831</v>
      </c>
      <c r="B96" s="17">
        <f>19.3044 * CHOOSE(CONTROL!$C$15, $E$9, 100%, $G$9) + CHOOSE(CONTROL!$C$38, 0.034, 0)</f>
        <v>19.3384</v>
      </c>
      <c r="C96" s="17">
        <f>18.6046 * CHOOSE(CONTROL!$C$15, $E$9, 100%, $G$9) + CHOOSE(CONTROL!$C$38, 0.0342, 0)</f>
        <v>18.6388</v>
      </c>
      <c r="D96" s="17">
        <f>18.5968 * CHOOSE(CONTROL!$C$15, $E$9, 100%, $G$9) + CHOOSE(CONTROL!$C$38, 0.0342, 0)</f>
        <v>18.631</v>
      </c>
      <c r="E96" s="17">
        <f>18.5968 * CHOOSE(CONTROL!$C$15, $E$9, 100%, $G$9) + CHOOSE(CONTROL!$C$38, 0.0342, 0)</f>
        <v>18.631</v>
      </c>
      <c r="F96" s="45">
        <f>19.3044 * CHOOSE(CONTROL!$C$15, $E$9, 100%, $G$9) + CHOOSE(CONTROL!$C$38, 0.034, 0)</f>
        <v>19.3384</v>
      </c>
      <c r="G96" s="17">
        <f>18.6031 * CHOOSE(CONTROL!$C$15, $E$9, 100%, $G$9) + CHOOSE(CONTROL!$C$38, 0.0342, 0)</f>
        <v>18.6373</v>
      </c>
      <c r="H96" s="17">
        <f>18.6031 * CHOOSE(CONTROL!$C$15, $E$9, 100%, $G$9) + CHOOSE(CONTROL!$C$38, 0.0342, 0)</f>
        <v>18.6373</v>
      </c>
      <c r="I96" s="17">
        <f>18.6046 * CHOOSE(CONTROL!$C$15, $E$9, 100%, $G$9) + CHOOSE(CONTROL!$C$38, 0.0342, 0)</f>
        <v>18.6388</v>
      </c>
      <c r="J96" s="44">
        <f>105.5959</f>
        <v>105.5959</v>
      </c>
    </row>
    <row r="97" spans="1:10" ht="15" x14ac:dyDescent="0.2">
      <c r="A97" s="16">
        <v>43862</v>
      </c>
      <c r="B97" s="17">
        <f>19.6091 * CHOOSE(CONTROL!$C$15, $E$9, 100%, $G$9) + CHOOSE(CONTROL!$C$38, 0.034, 0)</f>
        <v>19.6431</v>
      </c>
      <c r="C97" s="17">
        <f>18.9082 * CHOOSE(CONTROL!$C$15, $E$9, 100%, $G$9) + CHOOSE(CONTROL!$C$38, 0.0342, 0)</f>
        <v>18.942399999999999</v>
      </c>
      <c r="D97" s="17">
        <f>18.9004 * CHOOSE(CONTROL!$C$15, $E$9, 100%, $G$9) + CHOOSE(CONTROL!$C$38, 0.0342, 0)</f>
        <v>18.9346</v>
      </c>
      <c r="E97" s="17">
        <f>18.9004 * CHOOSE(CONTROL!$C$15, $E$9, 100%, $G$9) + CHOOSE(CONTROL!$C$38, 0.0342, 0)</f>
        <v>18.9346</v>
      </c>
      <c r="F97" s="45">
        <f>19.6091 * CHOOSE(CONTROL!$C$15, $E$9, 100%, $G$9) + CHOOSE(CONTROL!$C$38, 0.034, 0)</f>
        <v>19.6431</v>
      </c>
      <c r="G97" s="17">
        <f>18.9067 * CHOOSE(CONTROL!$C$15, $E$9, 100%, $G$9) + CHOOSE(CONTROL!$C$38, 0.0342, 0)</f>
        <v>18.940899999999999</v>
      </c>
      <c r="H97" s="17">
        <f>18.9067 * CHOOSE(CONTROL!$C$15, $E$9, 100%, $G$9) + CHOOSE(CONTROL!$C$38, 0.0342, 0)</f>
        <v>18.940899999999999</v>
      </c>
      <c r="I97" s="17">
        <f>18.9082 * CHOOSE(CONTROL!$C$15, $E$9, 100%, $G$9) + CHOOSE(CONTROL!$C$38, 0.0342, 0)</f>
        <v>18.942399999999999</v>
      </c>
      <c r="J97" s="44">
        <f>105.5193</f>
        <v>105.5193</v>
      </c>
    </row>
    <row r="98" spans="1:10" ht="15" x14ac:dyDescent="0.2">
      <c r="A98" s="16">
        <v>43891</v>
      </c>
      <c r="B98" s="17">
        <f>19.0307 * CHOOSE(CONTROL!$C$15, $E$9, 100%, $G$9) + CHOOSE(CONTROL!$C$38, 0.034, 0)</f>
        <v>19.064699999999998</v>
      </c>
      <c r="C98" s="17">
        <f>18.3287 * CHOOSE(CONTROL!$C$15, $E$9, 100%, $G$9) + CHOOSE(CONTROL!$C$38, 0.0342, 0)</f>
        <v>18.3629</v>
      </c>
      <c r="D98" s="17">
        <f>18.3209 * CHOOSE(CONTROL!$C$15, $E$9, 100%, $G$9) + CHOOSE(CONTROL!$C$38, 0.0342, 0)</f>
        <v>18.3551</v>
      </c>
      <c r="E98" s="17">
        <f>18.3209 * CHOOSE(CONTROL!$C$15, $E$9, 100%, $G$9) + CHOOSE(CONTROL!$C$38, 0.0342, 0)</f>
        <v>18.3551</v>
      </c>
      <c r="F98" s="45">
        <f>19.0307 * CHOOSE(CONTROL!$C$15, $E$9, 100%, $G$9) + CHOOSE(CONTROL!$C$38, 0.034, 0)</f>
        <v>19.064699999999998</v>
      </c>
      <c r="G98" s="17">
        <f>18.3271 * CHOOSE(CONTROL!$C$15, $E$9, 100%, $G$9) + CHOOSE(CONTROL!$C$38, 0.0342, 0)</f>
        <v>18.3613</v>
      </c>
      <c r="H98" s="17">
        <f>18.3271 * CHOOSE(CONTROL!$C$15, $E$9, 100%, $G$9) + CHOOSE(CONTROL!$C$38, 0.0342, 0)</f>
        <v>18.3613</v>
      </c>
      <c r="I98" s="17">
        <f>18.3287 * CHOOSE(CONTROL!$C$15, $E$9, 100%, $G$9) + CHOOSE(CONTROL!$C$38, 0.0342, 0)</f>
        <v>18.3629</v>
      </c>
      <c r="J98" s="44">
        <f>111.3096</f>
        <v>111.3096</v>
      </c>
    </row>
    <row r="99" spans="1:10" ht="15" x14ac:dyDescent="0.2">
      <c r="A99" s="16">
        <v>43922</v>
      </c>
      <c r="B99" s="17">
        <f>18.469 * CHOOSE(CONTROL!$C$15, $E$9, 100%, $G$9) + CHOOSE(CONTROL!$C$38, 0.034, 0)</f>
        <v>18.503</v>
      </c>
      <c r="C99" s="17">
        <f>17.7659 * CHOOSE(CONTROL!$C$15, $E$9, 100%, $G$9) + CHOOSE(CONTROL!$C$38, 0.0342, 0)</f>
        <v>17.800099999999997</v>
      </c>
      <c r="D99" s="17">
        <f>17.7581 * CHOOSE(CONTROL!$C$15, $E$9, 100%, $G$9) + CHOOSE(CONTROL!$C$38, 0.0342, 0)</f>
        <v>17.792299999999997</v>
      </c>
      <c r="E99" s="17">
        <f>17.7581 * CHOOSE(CONTROL!$C$15, $E$9, 100%, $G$9) + CHOOSE(CONTROL!$C$38, 0.0342, 0)</f>
        <v>17.792299999999997</v>
      </c>
      <c r="F99" s="45">
        <f>18.469 * CHOOSE(CONTROL!$C$15, $E$9, 100%, $G$9) + CHOOSE(CONTROL!$C$38, 0.034, 0)</f>
        <v>18.503</v>
      </c>
      <c r="G99" s="17">
        <f>17.7643 * CHOOSE(CONTROL!$C$15, $E$9, 100%, $G$9) + CHOOSE(CONTROL!$C$38, 0.0342, 0)</f>
        <v>17.798499999999997</v>
      </c>
      <c r="H99" s="17">
        <f>17.7643 * CHOOSE(CONTROL!$C$15, $E$9, 100%, $G$9) + CHOOSE(CONTROL!$C$38, 0.0342, 0)</f>
        <v>17.798499999999997</v>
      </c>
      <c r="I99" s="17">
        <f>17.7659 * CHOOSE(CONTROL!$C$15, $E$9, 100%, $G$9) + CHOOSE(CONTROL!$C$38, 0.0342, 0)</f>
        <v>17.800099999999997</v>
      </c>
      <c r="J99" s="44">
        <f>118.7805</f>
        <v>118.7805</v>
      </c>
    </row>
    <row r="100" spans="1:10" ht="15" x14ac:dyDescent="0.2">
      <c r="A100" s="16">
        <v>43952</v>
      </c>
      <c r="B100" s="17">
        <f>17.8795 * CHOOSE(CONTROL!$C$15, $E$9, 100%, $G$9) + CHOOSE(CONTROL!$C$38, 0.0353, 0)</f>
        <v>17.9148</v>
      </c>
      <c r="C100" s="17">
        <f>17.1753 * CHOOSE(CONTROL!$C$15, $E$9, 100%, $G$9) + CHOOSE(CONTROL!$C$38, 0.0354, 0)</f>
        <v>17.210699999999999</v>
      </c>
      <c r="D100" s="17">
        <f>17.1675 * CHOOSE(CONTROL!$C$15, $E$9, 100%, $G$9) + CHOOSE(CONTROL!$C$38, 0.0354, 0)</f>
        <v>17.2029</v>
      </c>
      <c r="E100" s="17">
        <f>17.1675 * CHOOSE(CONTROL!$C$15, $E$9, 100%, $G$9) + CHOOSE(CONTROL!$C$38, 0.0354, 0)</f>
        <v>17.2029</v>
      </c>
      <c r="F100" s="45">
        <f>17.8795 * CHOOSE(CONTROL!$C$15, $E$9, 100%, $G$9) + CHOOSE(CONTROL!$C$38, 0.0353, 0)</f>
        <v>17.9148</v>
      </c>
      <c r="G100" s="17">
        <f>17.1737 * CHOOSE(CONTROL!$C$15, $E$9, 100%, $G$9) + CHOOSE(CONTROL!$C$38, 0.0354, 0)</f>
        <v>17.209099999999999</v>
      </c>
      <c r="H100" s="17">
        <f>17.1737 * CHOOSE(CONTROL!$C$15, $E$9, 100%, $G$9) + CHOOSE(CONTROL!$C$38, 0.0354, 0)</f>
        <v>17.209099999999999</v>
      </c>
      <c r="I100" s="17">
        <f>17.1753 * CHOOSE(CONTROL!$C$15, $E$9, 100%, $G$9) + CHOOSE(CONTROL!$C$38, 0.0354, 0)</f>
        <v>17.210699999999999</v>
      </c>
      <c r="J100" s="44">
        <f>123.0194</f>
        <v>123.0194</v>
      </c>
    </row>
    <row r="101" spans="1:10" ht="15" x14ac:dyDescent="0.2">
      <c r="A101" s="16">
        <v>43983</v>
      </c>
      <c r="B101" s="17">
        <f>17.4751 * CHOOSE(CONTROL!$C$15, $E$9, 100%, $G$9) + CHOOSE(CONTROL!$C$38, 0.0353, 0)</f>
        <v>17.510400000000001</v>
      </c>
      <c r="C101" s="17">
        <f>16.7698 * CHOOSE(CONTROL!$C$15, $E$9, 100%, $G$9) + CHOOSE(CONTROL!$C$38, 0.0354, 0)</f>
        <v>16.805199999999999</v>
      </c>
      <c r="D101" s="17">
        <f>16.7619 * CHOOSE(CONTROL!$C$15, $E$9, 100%, $G$9) + CHOOSE(CONTROL!$C$38, 0.0354, 0)</f>
        <v>16.7973</v>
      </c>
      <c r="E101" s="17">
        <f>16.7619 * CHOOSE(CONTROL!$C$15, $E$9, 100%, $G$9) + CHOOSE(CONTROL!$C$38, 0.0354, 0)</f>
        <v>16.7973</v>
      </c>
      <c r="F101" s="45">
        <f>17.4751 * CHOOSE(CONTROL!$C$15, $E$9, 100%, $G$9) + CHOOSE(CONTROL!$C$38, 0.0353, 0)</f>
        <v>17.510400000000001</v>
      </c>
      <c r="G101" s="17">
        <f>16.7682 * CHOOSE(CONTROL!$C$15, $E$9, 100%, $G$9) + CHOOSE(CONTROL!$C$38, 0.0354, 0)</f>
        <v>16.803599999999999</v>
      </c>
      <c r="H101" s="17">
        <f>16.7682 * CHOOSE(CONTROL!$C$15, $E$9, 100%, $G$9) + CHOOSE(CONTROL!$C$38, 0.0354, 0)</f>
        <v>16.803599999999999</v>
      </c>
      <c r="I101" s="17">
        <f>16.7698 * CHOOSE(CONTROL!$C$15, $E$9, 100%, $G$9) + CHOOSE(CONTROL!$C$38, 0.0354, 0)</f>
        <v>16.805199999999999</v>
      </c>
      <c r="J101" s="44">
        <f>125.049</f>
        <v>125.04900000000001</v>
      </c>
    </row>
    <row r="102" spans="1:10" ht="15" x14ac:dyDescent="0.2">
      <c r="A102" s="16">
        <v>44013</v>
      </c>
      <c r="B102" s="17">
        <f>17.2583 * CHOOSE(CONTROL!$C$15, $E$9, 100%, $G$9) + CHOOSE(CONTROL!$C$38, 0.0353, 0)</f>
        <v>17.293599999999998</v>
      </c>
      <c r="C102" s="17">
        <f>16.5518 * CHOOSE(CONTROL!$C$15, $E$9, 100%, $G$9) + CHOOSE(CONTROL!$C$38, 0.0354, 0)</f>
        <v>16.587199999999999</v>
      </c>
      <c r="D102" s="17">
        <f>16.5439 * CHOOSE(CONTROL!$C$15, $E$9, 100%, $G$9) + CHOOSE(CONTROL!$C$38, 0.0354, 0)</f>
        <v>16.5793</v>
      </c>
      <c r="E102" s="17">
        <f>16.5439 * CHOOSE(CONTROL!$C$15, $E$9, 100%, $G$9) + CHOOSE(CONTROL!$C$38, 0.0354, 0)</f>
        <v>16.5793</v>
      </c>
      <c r="F102" s="45">
        <f>17.2583 * CHOOSE(CONTROL!$C$15, $E$9, 100%, $G$9) + CHOOSE(CONTROL!$C$38, 0.0353, 0)</f>
        <v>17.293599999999998</v>
      </c>
      <c r="G102" s="17">
        <f>16.5502 * CHOOSE(CONTROL!$C$15, $E$9, 100%, $G$9) + CHOOSE(CONTROL!$C$38, 0.0354, 0)</f>
        <v>16.585599999999999</v>
      </c>
      <c r="H102" s="17">
        <f>16.5502 * CHOOSE(CONTROL!$C$15, $E$9, 100%, $G$9) + CHOOSE(CONTROL!$C$38, 0.0354, 0)</f>
        <v>16.585599999999999</v>
      </c>
      <c r="I102" s="17">
        <f>16.5518 * CHOOSE(CONTROL!$C$15, $E$9, 100%, $G$9) + CHOOSE(CONTROL!$C$38, 0.0354, 0)</f>
        <v>16.587199999999999</v>
      </c>
      <c r="J102" s="44">
        <f>124.7206</f>
        <v>124.7206</v>
      </c>
    </row>
    <row r="103" spans="1:10" ht="15" x14ac:dyDescent="0.2">
      <c r="A103" s="16">
        <v>44044</v>
      </c>
      <c r="B103" s="17">
        <f>17.417 * CHOOSE(CONTROL!$C$15, $E$9, 100%, $G$9) + CHOOSE(CONTROL!$C$38, 0.0353, 0)</f>
        <v>17.452300000000001</v>
      </c>
      <c r="C103" s="17">
        <f>16.7093 * CHOOSE(CONTROL!$C$15, $E$9, 100%, $G$9) + CHOOSE(CONTROL!$C$38, 0.0354, 0)</f>
        <v>16.744699999999998</v>
      </c>
      <c r="D103" s="17">
        <f>16.7015 * CHOOSE(CONTROL!$C$15, $E$9, 100%, $G$9) + CHOOSE(CONTROL!$C$38, 0.0354, 0)</f>
        <v>16.736899999999999</v>
      </c>
      <c r="E103" s="17">
        <f>16.7015 * CHOOSE(CONTROL!$C$15, $E$9, 100%, $G$9) + CHOOSE(CONTROL!$C$38, 0.0354, 0)</f>
        <v>16.736899999999999</v>
      </c>
      <c r="F103" s="45">
        <f>17.417 * CHOOSE(CONTROL!$C$15, $E$9, 100%, $G$9) + CHOOSE(CONTROL!$C$38, 0.0353, 0)</f>
        <v>17.452300000000001</v>
      </c>
      <c r="G103" s="17">
        <f>16.7078 * CHOOSE(CONTROL!$C$15, $E$9, 100%, $G$9) + CHOOSE(CONTROL!$C$38, 0.0354, 0)</f>
        <v>16.743199999999998</v>
      </c>
      <c r="H103" s="17">
        <f>16.7078 * CHOOSE(CONTROL!$C$15, $E$9, 100%, $G$9) + CHOOSE(CONTROL!$C$38, 0.0354, 0)</f>
        <v>16.743199999999998</v>
      </c>
      <c r="I103" s="17">
        <f>16.7093 * CHOOSE(CONTROL!$C$15, $E$9, 100%, $G$9) + CHOOSE(CONTROL!$C$38, 0.0354, 0)</f>
        <v>16.744699999999998</v>
      </c>
      <c r="J103" s="44">
        <f>122.0681</f>
        <v>122.0681</v>
      </c>
    </row>
    <row r="104" spans="1:10" ht="15" x14ac:dyDescent="0.2">
      <c r="A104" s="16">
        <v>44075</v>
      </c>
      <c r="B104" s="17">
        <f>17.7902 * CHOOSE(CONTROL!$C$15, $E$9, 100%, $G$9) + CHOOSE(CONTROL!$C$38, 0.0353, 0)</f>
        <v>17.825499999999998</v>
      </c>
      <c r="C104" s="17">
        <f>17.0814 * CHOOSE(CONTROL!$C$15, $E$9, 100%, $G$9) + CHOOSE(CONTROL!$C$38, 0.0354, 0)</f>
        <v>17.116799999999998</v>
      </c>
      <c r="D104" s="17">
        <f>17.0736 * CHOOSE(CONTROL!$C$15, $E$9, 100%, $G$9) + CHOOSE(CONTROL!$C$38, 0.0354, 0)</f>
        <v>17.108999999999998</v>
      </c>
      <c r="E104" s="17">
        <f>17.0736 * CHOOSE(CONTROL!$C$15, $E$9, 100%, $G$9) + CHOOSE(CONTROL!$C$38, 0.0354, 0)</f>
        <v>17.108999999999998</v>
      </c>
      <c r="F104" s="45">
        <f>17.7902 * CHOOSE(CONTROL!$C$15, $E$9, 100%, $G$9) + CHOOSE(CONTROL!$C$38, 0.0353, 0)</f>
        <v>17.825499999999998</v>
      </c>
      <c r="G104" s="17">
        <f>17.0799 * CHOOSE(CONTROL!$C$15, $E$9, 100%, $G$9) + CHOOSE(CONTROL!$C$38, 0.0354, 0)</f>
        <v>17.115299999999998</v>
      </c>
      <c r="H104" s="17">
        <f>17.0799 * CHOOSE(CONTROL!$C$15, $E$9, 100%, $G$9) + CHOOSE(CONTROL!$C$38, 0.0354, 0)</f>
        <v>17.115299999999998</v>
      </c>
      <c r="I104" s="17">
        <f>17.0814 * CHOOSE(CONTROL!$C$15, $E$9, 100%, $G$9) + CHOOSE(CONTROL!$C$38, 0.0354, 0)</f>
        <v>17.116799999999998</v>
      </c>
      <c r="J104" s="44">
        <f>118.2538</f>
        <v>118.2538</v>
      </c>
    </row>
    <row r="105" spans="1:10" ht="15" x14ac:dyDescent="0.2">
      <c r="A105" s="16">
        <v>44105</v>
      </c>
      <c r="B105" s="17">
        <f>18.1098 * CHOOSE(CONTROL!$C$15, $E$9, 100%, $G$9) + CHOOSE(CONTROL!$C$38, 0.034, 0)</f>
        <v>18.143799999999999</v>
      </c>
      <c r="C105" s="17">
        <f>17.3999 * CHOOSE(CONTROL!$C$15, $E$9, 100%, $G$9) + CHOOSE(CONTROL!$C$38, 0.0342, 0)</f>
        <v>17.434099999999997</v>
      </c>
      <c r="D105" s="17">
        <f>17.3921 * CHOOSE(CONTROL!$C$15, $E$9, 100%, $G$9) + CHOOSE(CONTROL!$C$38, 0.0342, 0)</f>
        <v>17.426299999999998</v>
      </c>
      <c r="E105" s="17">
        <f>17.3921 * CHOOSE(CONTROL!$C$15, $E$9, 100%, $G$9) + CHOOSE(CONTROL!$C$38, 0.0342, 0)</f>
        <v>17.426299999999998</v>
      </c>
      <c r="F105" s="45">
        <f>18.1098 * CHOOSE(CONTROL!$C$15, $E$9, 100%, $G$9) + CHOOSE(CONTROL!$C$38, 0.034, 0)</f>
        <v>18.143799999999999</v>
      </c>
      <c r="G105" s="17">
        <f>17.3983 * CHOOSE(CONTROL!$C$15, $E$9, 100%, $G$9) + CHOOSE(CONTROL!$C$38, 0.0342, 0)</f>
        <v>17.432499999999997</v>
      </c>
      <c r="H105" s="17">
        <f>17.3983 * CHOOSE(CONTROL!$C$15, $E$9, 100%, $G$9) + CHOOSE(CONTROL!$C$38, 0.0342, 0)</f>
        <v>17.432499999999997</v>
      </c>
      <c r="I105" s="17">
        <f>17.3999 * CHOOSE(CONTROL!$C$15, $E$9, 100%, $G$9) + CHOOSE(CONTROL!$C$38, 0.0342, 0)</f>
        <v>17.434099999999997</v>
      </c>
      <c r="J105" s="44">
        <f>114.3996</f>
        <v>114.39960000000001</v>
      </c>
    </row>
    <row r="106" spans="1:10" ht="15" x14ac:dyDescent="0.2">
      <c r="A106" s="16">
        <v>44136</v>
      </c>
      <c r="B106" s="17">
        <f>18.3835 * CHOOSE(CONTROL!$C$15, $E$9, 100%, $G$9) + CHOOSE(CONTROL!$C$38, 0.034, 0)</f>
        <v>18.4175</v>
      </c>
      <c r="C106" s="17">
        <f>17.6724 * CHOOSE(CONTROL!$C$15, $E$9, 100%, $G$9) + CHOOSE(CONTROL!$C$38, 0.0342, 0)</f>
        <v>17.706599999999998</v>
      </c>
      <c r="D106" s="17">
        <f>17.6646 * CHOOSE(CONTROL!$C$15, $E$9, 100%, $G$9) + CHOOSE(CONTROL!$C$38, 0.0342, 0)</f>
        <v>17.698799999999999</v>
      </c>
      <c r="E106" s="17">
        <f>17.6646 * CHOOSE(CONTROL!$C$15, $E$9, 100%, $G$9) + CHOOSE(CONTROL!$C$38, 0.0342, 0)</f>
        <v>17.698799999999999</v>
      </c>
      <c r="F106" s="45">
        <f>18.3835 * CHOOSE(CONTROL!$C$15, $E$9, 100%, $G$9) + CHOOSE(CONTROL!$C$38, 0.034, 0)</f>
        <v>18.4175</v>
      </c>
      <c r="G106" s="17">
        <f>17.6708 * CHOOSE(CONTROL!$C$15, $E$9, 100%, $G$9) + CHOOSE(CONTROL!$C$38, 0.0342, 0)</f>
        <v>17.704999999999998</v>
      </c>
      <c r="H106" s="17">
        <f>17.6708 * CHOOSE(CONTROL!$C$15, $E$9, 100%, $G$9) + CHOOSE(CONTROL!$C$38, 0.0342, 0)</f>
        <v>17.704999999999998</v>
      </c>
      <c r="I106" s="17">
        <f>17.6724 * CHOOSE(CONTROL!$C$15, $E$9, 100%, $G$9) + CHOOSE(CONTROL!$C$38, 0.0342, 0)</f>
        <v>17.706599999999998</v>
      </c>
      <c r="J106" s="44">
        <f>113.8185</f>
        <v>113.8185</v>
      </c>
    </row>
    <row r="107" spans="1:10" ht="15" x14ac:dyDescent="0.2">
      <c r="A107" s="16">
        <v>44166</v>
      </c>
      <c r="B107" s="17">
        <f>19.1538 * CHOOSE(CONTROL!$C$15, $E$9, 100%, $G$9) + CHOOSE(CONTROL!$C$38, 0.034, 0)</f>
        <v>19.187799999999999</v>
      </c>
      <c r="C107" s="17">
        <f>18.4416 * CHOOSE(CONTROL!$C$15, $E$9, 100%, $G$9) + CHOOSE(CONTROL!$C$38, 0.0342, 0)</f>
        <v>18.4758</v>
      </c>
      <c r="D107" s="17">
        <f>18.4338 * CHOOSE(CONTROL!$C$15, $E$9, 100%, $G$9) + CHOOSE(CONTROL!$C$38, 0.0342, 0)</f>
        <v>18.468</v>
      </c>
      <c r="E107" s="17">
        <f>18.4338 * CHOOSE(CONTROL!$C$15, $E$9, 100%, $G$9) + CHOOSE(CONTROL!$C$38, 0.0342, 0)</f>
        <v>18.468</v>
      </c>
      <c r="F107" s="45">
        <f>19.1538 * CHOOSE(CONTROL!$C$15, $E$9, 100%, $G$9) + CHOOSE(CONTROL!$C$38, 0.034, 0)</f>
        <v>19.187799999999999</v>
      </c>
      <c r="G107" s="17">
        <f>18.4401 * CHOOSE(CONTROL!$C$15, $E$9, 100%, $G$9) + CHOOSE(CONTROL!$C$38, 0.0342, 0)</f>
        <v>18.474299999999999</v>
      </c>
      <c r="H107" s="17">
        <f>18.4401 * CHOOSE(CONTROL!$C$15, $E$9, 100%, $G$9) + CHOOSE(CONTROL!$C$38, 0.0342, 0)</f>
        <v>18.474299999999999</v>
      </c>
      <c r="I107" s="17">
        <f>18.4416 * CHOOSE(CONTROL!$C$15, $E$9, 100%, $G$9) + CHOOSE(CONTROL!$C$38, 0.0342, 0)</f>
        <v>18.4758</v>
      </c>
      <c r="J107" s="44">
        <f>110.6684</f>
        <v>110.66840000000001</v>
      </c>
    </row>
    <row r="108" spans="1:10" ht="15" x14ac:dyDescent="0.2">
      <c r="A108" s="16">
        <v>44197</v>
      </c>
      <c r="B108" s="17">
        <f>20.3954 * CHOOSE(CONTROL!$C$15, $E$9, 100%, $G$9) + CHOOSE(CONTROL!$C$38, 0.034, 0)</f>
        <v>20.429399999999998</v>
      </c>
      <c r="C108" s="17">
        <f>19.3371 * CHOOSE(CONTROL!$C$15, $E$9, 100%, $G$9) + CHOOSE(CONTROL!$C$38, 0.0342, 0)</f>
        <v>19.371299999999998</v>
      </c>
      <c r="D108" s="17">
        <f>19.3292 * CHOOSE(CONTROL!$C$15, $E$9, 100%, $G$9) + CHOOSE(CONTROL!$C$38, 0.0342, 0)</f>
        <v>19.363399999999999</v>
      </c>
      <c r="E108" s="17">
        <f>19.3292 * CHOOSE(CONTROL!$C$15, $E$9, 100%, $G$9) + CHOOSE(CONTROL!$C$38, 0.0342, 0)</f>
        <v>19.363399999999999</v>
      </c>
      <c r="F108" s="45">
        <f>20.3954 * CHOOSE(CONTROL!$C$15, $E$9, 100%, $G$9) + CHOOSE(CONTROL!$C$38, 0.034, 0)</f>
        <v>20.429399999999998</v>
      </c>
      <c r="G108" s="17">
        <f>19.3355 * CHOOSE(CONTROL!$C$15, $E$9, 100%, $G$9) + CHOOSE(CONTROL!$C$38, 0.0342, 0)</f>
        <v>19.369699999999998</v>
      </c>
      <c r="H108" s="17">
        <f>19.3355 * CHOOSE(CONTROL!$C$15, $E$9, 100%, $G$9) + CHOOSE(CONTROL!$C$38, 0.0342, 0)</f>
        <v>19.369699999999998</v>
      </c>
      <c r="I108" s="17">
        <f>19.3371 * CHOOSE(CONTROL!$C$15, $E$9, 100%, $G$9) + CHOOSE(CONTROL!$C$38, 0.0342, 0)</f>
        <v>19.371299999999998</v>
      </c>
      <c r="J108" s="44">
        <f>110.9959</f>
        <v>110.99590000000001</v>
      </c>
    </row>
    <row r="109" spans="1:10" ht="15" x14ac:dyDescent="0.2">
      <c r="A109" s="16">
        <v>44228</v>
      </c>
      <c r="B109" s="17">
        <f>20.709 * CHOOSE(CONTROL!$C$15, $E$9, 100%, $G$9) + CHOOSE(CONTROL!$C$38, 0.034, 0)</f>
        <v>20.742999999999999</v>
      </c>
      <c r="C109" s="17">
        <f>19.6488 * CHOOSE(CONTROL!$C$15, $E$9, 100%, $G$9) + CHOOSE(CONTROL!$C$38, 0.0342, 0)</f>
        <v>19.683</v>
      </c>
      <c r="D109" s="17">
        <f>19.641 * CHOOSE(CONTROL!$C$15, $E$9, 100%, $G$9) + CHOOSE(CONTROL!$C$38, 0.0342, 0)</f>
        <v>19.675199999999997</v>
      </c>
      <c r="E109" s="17">
        <f>19.641 * CHOOSE(CONTROL!$C$15, $E$9, 100%, $G$9) + CHOOSE(CONTROL!$C$38, 0.0342, 0)</f>
        <v>19.675199999999997</v>
      </c>
      <c r="F109" s="45">
        <f>20.709 * CHOOSE(CONTROL!$C$15, $E$9, 100%, $G$9) + CHOOSE(CONTROL!$C$38, 0.034, 0)</f>
        <v>20.742999999999999</v>
      </c>
      <c r="G109" s="17">
        <f>19.6473 * CHOOSE(CONTROL!$C$15, $E$9, 100%, $G$9) + CHOOSE(CONTROL!$C$38, 0.0342, 0)</f>
        <v>19.6815</v>
      </c>
      <c r="H109" s="17">
        <f>19.6473 * CHOOSE(CONTROL!$C$15, $E$9, 100%, $G$9) + CHOOSE(CONTROL!$C$38, 0.0342, 0)</f>
        <v>19.6815</v>
      </c>
      <c r="I109" s="17">
        <f>19.6488 * CHOOSE(CONTROL!$C$15, $E$9, 100%, $G$9) + CHOOSE(CONTROL!$C$38, 0.0342, 0)</f>
        <v>19.683</v>
      </c>
      <c r="J109" s="44">
        <f>110.9153</f>
        <v>110.9153</v>
      </c>
    </row>
    <row r="110" spans="1:10" ht="15" x14ac:dyDescent="0.2">
      <c r="A110" s="16">
        <v>44256</v>
      </c>
      <c r="B110" s="17">
        <f>20.1174 * CHOOSE(CONTROL!$C$15, $E$9, 100%, $G$9) + CHOOSE(CONTROL!$C$38, 0.034, 0)</f>
        <v>20.151399999999999</v>
      </c>
      <c r="C110" s="17">
        <f>19.0554 * CHOOSE(CONTROL!$C$15, $E$9, 100%, $G$9) + CHOOSE(CONTROL!$C$38, 0.0342, 0)</f>
        <v>19.089599999999997</v>
      </c>
      <c r="D110" s="17">
        <f>19.0475 * CHOOSE(CONTROL!$C$15, $E$9, 100%, $G$9) + CHOOSE(CONTROL!$C$38, 0.0342, 0)</f>
        <v>19.081699999999998</v>
      </c>
      <c r="E110" s="17">
        <f>19.0475 * CHOOSE(CONTROL!$C$15, $E$9, 100%, $G$9) + CHOOSE(CONTROL!$C$38, 0.0342, 0)</f>
        <v>19.081699999999998</v>
      </c>
      <c r="F110" s="45">
        <f>20.1174 * CHOOSE(CONTROL!$C$15, $E$9, 100%, $G$9) + CHOOSE(CONTROL!$C$38, 0.034, 0)</f>
        <v>20.151399999999999</v>
      </c>
      <c r="G110" s="17">
        <f>19.0538 * CHOOSE(CONTROL!$C$15, $E$9, 100%, $G$9) + CHOOSE(CONTROL!$C$38, 0.0342, 0)</f>
        <v>19.087999999999997</v>
      </c>
      <c r="H110" s="17">
        <f>19.0538 * CHOOSE(CONTROL!$C$15, $E$9, 100%, $G$9) + CHOOSE(CONTROL!$C$38, 0.0342, 0)</f>
        <v>19.087999999999997</v>
      </c>
      <c r="I110" s="17">
        <f>19.0554 * CHOOSE(CONTROL!$C$15, $E$9, 100%, $G$9) + CHOOSE(CONTROL!$C$38, 0.0342, 0)</f>
        <v>19.089599999999997</v>
      </c>
      <c r="J110" s="44">
        <f>117.0017</f>
        <v>117.0017</v>
      </c>
    </row>
    <row r="111" spans="1:10" ht="15" x14ac:dyDescent="0.2">
      <c r="A111" s="16">
        <v>44287</v>
      </c>
      <c r="B111" s="17">
        <f>19.5429 * CHOOSE(CONTROL!$C$15, $E$9, 100%, $G$9) + CHOOSE(CONTROL!$C$38, 0.034, 0)</f>
        <v>19.576899999999998</v>
      </c>
      <c r="C111" s="17">
        <f>18.4791 * CHOOSE(CONTROL!$C$15, $E$9, 100%, $G$9) + CHOOSE(CONTROL!$C$38, 0.0342, 0)</f>
        <v>18.513299999999997</v>
      </c>
      <c r="D111" s="17">
        <f>18.4712 * CHOOSE(CONTROL!$C$15, $E$9, 100%, $G$9) + CHOOSE(CONTROL!$C$38, 0.0342, 0)</f>
        <v>18.505399999999998</v>
      </c>
      <c r="E111" s="17">
        <f>18.4712 * CHOOSE(CONTROL!$C$15, $E$9, 100%, $G$9) + CHOOSE(CONTROL!$C$38, 0.0342, 0)</f>
        <v>18.505399999999998</v>
      </c>
      <c r="F111" s="45">
        <f>19.5429 * CHOOSE(CONTROL!$C$15, $E$9, 100%, $G$9) + CHOOSE(CONTROL!$C$38, 0.034, 0)</f>
        <v>19.576899999999998</v>
      </c>
      <c r="G111" s="17">
        <f>18.4775 * CHOOSE(CONTROL!$C$15, $E$9, 100%, $G$9) + CHOOSE(CONTROL!$C$38, 0.0342, 0)</f>
        <v>18.511699999999998</v>
      </c>
      <c r="H111" s="17">
        <f>18.4775 * CHOOSE(CONTROL!$C$15, $E$9, 100%, $G$9) + CHOOSE(CONTROL!$C$38, 0.0342, 0)</f>
        <v>18.511699999999998</v>
      </c>
      <c r="I111" s="17">
        <f>18.4791 * CHOOSE(CONTROL!$C$15, $E$9, 100%, $G$9) + CHOOSE(CONTROL!$C$38, 0.0342, 0)</f>
        <v>18.513299999999997</v>
      </c>
      <c r="J111" s="44">
        <f>124.8547</f>
        <v>124.85469999999999</v>
      </c>
    </row>
    <row r="112" spans="1:10" ht="15" x14ac:dyDescent="0.2">
      <c r="A112" s="16">
        <v>44317</v>
      </c>
      <c r="B112" s="17">
        <f>18.94 * CHOOSE(CONTROL!$C$15, $E$9, 100%, $G$9) + CHOOSE(CONTROL!$C$38, 0.0353, 0)</f>
        <v>18.975300000000001</v>
      </c>
      <c r="C112" s="17">
        <f>17.8743 * CHOOSE(CONTROL!$C$15, $E$9, 100%, $G$9) + CHOOSE(CONTROL!$C$38, 0.0354, 0)</f>
        <v>17.909700000000001</v>
      </c>
      <c r="D112" s="17">
        <f>17.8665 * CHOOSE(CONTROL!$C$15, $E$9, 100%, $G$9) + CHOOSE(CONTROL!$C$38, 0.0354, 0)</f>
        <v>17.901899999999998</v>
      </c>
      <c r="E112" s="17">
        <f>17.8665 * CHOOSE(CONTROL!$C$15, $E$9, 100%, $G$9) + CHOOSE(CONTROL!$C$38, 0.0354, 0)</f>
        <v>17.901899999999998</v>
      </c>
      <c r="F112" s="45">
        <f>18.94 * CHOOSE(CONTROL!$C$15, $E$9, 100%, $G$9) + CHOOSE(CONTROL!$C$38, 0.0353, 0)</f>
        <v>18.975300000000001</v>
      </c>
      <c r="G112" s="17">
        <f>17.8727 * CHOOSE(CONTROL!$C$15, $E$9, 100%, $G$9) + CHOOSE(CONTROL!$C$38, 0.0354, 0)</f>
        <v>17.908099999999997</v>
      </c>
      <c r="H112" s="17">
        <f>17.8727 * CHOOSE(CONTROL!$C$15, $E$9, 100%, $G$9) + CHOOSE(CONTROL!$C$38, 0.0354, 0)</f>
        <v>17.908099999999997</v>
      </c>
      <c r="I112" s="17">
        <f>17.8743 * CHOOSE(CONTROL!$C$15, $E$9, 100%, $G$9) + CHOOSE(CONTROL!$C$38, 0.0354, 0)</f>
        <v>17.909700000000001</v>
      </c>
      <c r="J112" s="44">
        <f>129.3104</f>
        <v>129.31039999999999</v>
      </c>
    </row>
    <row r="113" spans="1:10" ht="15" x14ac:dyDescent="0.2">
      <c r="A113" s="16">
        <v>44348</v>
      </c>
      <c r="B113" s="17">
        <f>18.5268 * CHOOSE(CONTROL!$C$15, $E$9, 100%, $G$9) + CHOOSE(CONTROL!$C$38, 0.0353, 0)</f>
        <v>18.562100000000001</v>
      </c>
      <c r="C113" s="17">
        <f>17.4592 * CHOOSE(CONTROL!$C$15, $E$9, 100%, $G$9) + CHOOSE(CONTROL!$C$38, 0.0354, 0)</f>
        <v>17.494599999999998</v>
      </c>
      <c r="D113" s="17">
        <f>17.4514 * CHOOSE(CONTROL!$C$15, $E$9, 100%, $G$9) + CHOOSE(CONTROL!$C$38, 0.0354, 0)</f>
        <v>17.486799999999999</v>
      </c>
      <c r="E113" s="17">
        <f>17.4514 * CHOOSE(CONTROL!$C$15, $E$9, 100%, $G$9) + CHOOSE(CONTROL!$C$38, 0.0354, 0)</f>
        <v>17.486799999999999</v>
      </c>
      <c r="F113" s="45">
        <f>18.5268 * CHOOSE(CONTROL!$C$15, $E$9, 100%, $G$9) + CHOOSE(CONTROL!$C$38, 0.0353, 0)</f>
        <v>18.562100000000001</v>
      </c>
      <c r="G113" s="17">
        <f>17.4576 * CHOOSE(CONTROL!$C$15, $E$9, 100%, $G$9) + CHOOSE(CONTROL!$C$38, 0.0354, 0)</f>
        <v>17.492999999999999</v>
      </c>
      <c r="H113" s="17">
        <f>17.4576 * CHOOSE(CONTROL!$C$15, $E$9, 100%, $G$9) + CHOOSE(CONTROL!$C$38, 0.0354, 0)</f>
        <v>17.492999999999999</v>
      </c>
      <c r="I113" s="17">
        <f>17.4592 * CHOOSE(CONTROL!$C$15, $E$9, 100%, $G$9) + CHOOSE(CONTROL!$C$38, 0.0354, 0)</f>
        <v>17.494599999999998</v>
      </c>
      <c r="J113" s="44">
        <f>131.4438</f>
        <v>131.44380000000001</v>
      </c>
    </row>
    <row r="114" spans="1:10" ht="15" x14ac:dyDescent="0.2">
      <c r="A114" s="16">
        <v>44378</v>
      </c>
      <c r="B114" s="17">
        <f>18.3058 * CHOOSE(CONTROL!$C$15, $E$9, 100%, $G$9) + CHOOSE(CONTROL!$C$38, 0.0353, 0)</f>
        <v>18.341100000000001</v>
      </c>
      <c r="C114" s="17">
        <f>17.2363 * CHOOSE(CONTROL!$C$15, $E$9, 100%, $G$9) + CHOOSE(CONTROL!$C$38, 0.0354, 0)</f>
        <v>17.271699999999999</v>
      </c>
      <c r="D114" s="17">
        <f>17.2285 * CHOOSE(CONTROL!$C$15, $E$9, 100%, $G$9) + CHOOSE(CONTROL!$C$38, 0.0354, 0)</f>
        <v>17.2639</v>
      </c>
      <c r="E114" s="17">
        <f>17.2285 * CHOOSE(CONTROL!$C$15, $E$9, 100%, $G$9) + CHOOSE(CONTROL!$C$38, 0.0354, 0)</f>
        <v>17.2639</v>
      </c>
      <c r="F114" s="45">
        <f>18.3058 * CHOOSE(CONTROL!$C$15, $E$9, 100%, $G$9) + CHOOSE(CONTROL!$C$38, 0.0353, 0)</f>
        <v>18.341100000000001</v>
      </c>
      <c r="G114" s="17">
        <f>17.2348 * CHOOSE(CONTROL!$C$15, $E$9, 100%, $G$9) + CHOOSE(CONTROL!$C$38, 0.0354, 0)</f>
        <v>17.270199999999999</v>
      </c>
      <c r="H114" s="17">
        <f>17.2348 * CHOOSE(CONTROL!$C$15, $E$9, 100%, $G$9) + CHOOSE(CONTROL!$C$38, 0.0354, 0)</f>
        <v>17.270199999999999</v>
      </c>
      <c r="I114" s="17">
        <f>17.2363 * CHOOSE(CONTROL!$C$15, $E$9, 100%, $G$9) + CHOOSE(CONTROL!$C$38, 0.0354, 0)</f>
        <v>17.271699999999999</v>
      </c>
      <c r="J114" s="44">
        <f>131.0985</f>
        <v>131.0985</v>
      </c>
    </row>
    <row r="115" spans="1:10" ht="15" x14ac:dyDescent="0.2">
      <c r="A115" s="16">
        <v>44409</v>
      </c>
      <c r="B115" s="17">
        <f>18.4698 * CHOOSE(CONTROL!$C$15, $E$9, 100%, $G$9) + CHOOSE(CONTROL!$C$38, 0.0353, 0)</f>
        <v>18.505099999999999</v>
      </c>
      <c r="C115" s="17">
        <f>17.3984 * CHOOSE(CONTROL!$C$15, $E$9, 100%, $G$9) + CHOOSE(CONTROL!$C$38, 0.0354, 0)</f>
        <v>17.433799999999998</v>
      </c>
      <c r="D115" s="17">
        <f>17.3906 * CHOOSE(CONTROL!$C$15, $E$9, 100%, $G$9) + CHOOSE(CONTROL!$C$38, 0.0354, 0)</f>
        <v>17.425999999999998</v>
      </c>
      <c r="E115" s="17">
        <f>17.3906 * CHOOSE(CONTROL!$C$15, $E$9, 100%, $G$9) + CHOOSE(CONTROL!$C$38, 0.0354, 0)</f>
        <v>17.425999999999998</v>
      </c>
      <c r="F115" s="45">
        <f>18.4698 * CHOOSE(CONTROL!$C$15, $E$9, 100%, $G$9) + CHOOSE(CONTROL!$C$38, 0.0353, 0)</f>
        <v>18.505099999999999</v>
      </c>
      <c r="G115" s="17">
        <f>17.3968 * CHOOSE(CONTROL!$C$15, $E$9, 100%, $G$9) + CHOOSE(CONTROL!$C$38, 0.0354, 0)</f>
        <v>17.432199999999998</v>
      </c>
      <c r="H115" s="17">
        <f>17.3968 * CHOOSE(CONTROL!$C$15, $E$9, 100%, $G$9) + CHOOSE(CONTROL!$C$38, 0.0354, 0)</f>
        <v>17.432199999999998</v>
      </c>
      <c r="I115" s="17">
        <f>17.3984 * CHOOSE(CONTROL!$C$15, $E$9, 100%, $G$9) + CHOOSE(CONTROL!$C$38, 0.0354, 0)</f>
        <v>17.433799999999998</v>
      </c>
      <c r="J115" s="44">
        <f>128.3104</f>
        <v>128.31039999999999</v>
      </c>
    </row>
    <row r="116" spans="1:10" ht="15" x14ac:dyDescent="0.2">
      <c r="A116" s="16">
        <v>44440</v>
      </c>
      <c r="B116" s="17">
        <f>18.8537 * CHOOSE(CONTROL!$C$15, $E$9, 100%, $G$9) + CHOOSE(CONTROL!$C$38, 0.0353, 0)</f>
        <v>18.888999999999999</v>
      </c>
      <c r="C116" s="17">
        <f>17.7804 * CHOOSE(CONTROL!$C$15, $E$9, 100%, $G$9) + CHOOSE(CONTROL!$C$38, 0.0354, 0)</f>
        <v>17.815799999999999</v>
      </c>
      <c r="D116" s="17">
        <f>17.7726 * CHOOSE(CONTROL!$C$15, $E$9, 100%, $G$9) + CHOOSE(CONTROL!$C$38, 0.0354, 0)</f>
        <v>17.808</v>
      </c>
      <c r="E116" s="17">
        <f>17.7726 * CHOOSE(CONTROL!$C$15, $E$9, 100%, $G$9) + CHOOSE(CONTROL!$C$38, 0.0354, 0)</f>
        <v>17.808</v>
      </c>
      <c r="F116" s="45">
        <f>18.8537 * CHOOSE(CONTROL!$C$15, $E$9, 100%, $G$9) + CHOOSE(CONTROL!$C$38, 0.0353, 0)</f>
        <v>18.888999999999999</v>
      </c>
      <c r="G116" s="17">
        <f>17.7788 * CHOOSE(CONTROL!$C$15, $E$9, 100%, $G$9) + CHOOSE(CONTROL!$C$38, 0.0354, 0)</f>
        <v>17.8142</v>
      </c>
      <c r="H116" s="17">
        <f>17.7788 * CHOOSE(CONTROL!$C$15, $E$9, 100%, $G$9) + CHOOSE(CONTROL!$C$38, 0.0354, 0)</f>
        <v>17.8142</v>
      </c>
      <c r="I116" s="17">
        <f>17.7804 * CHOOSE(CONTROL!$C$15, $E$9, 100%, $G$9) + CHOOSE(CONTROL!$C$38, 0.0354, 0)</f>
        <v>17.815799999999999</v>
      </c>
      <c r="J116" s="44">
        <f>124.3011</f>
        <v>124.30110000000001</v>
      </c>
    </row>
    <row r="117" spans="1:10" ht="15" x14ac:dyDescent="0.2">
      <c r="A117" s="16">
        <v>44470</v>
      </c>
      <c r="B117" s="17">
        <f>19.1825 * CHOOSE(CONTROL!$C$15, $E$9, 100%, $G$9) + CHOOSE(CONTROL!$C$38, 0.034, 0)</f>
        <v>19.2165</v>
      </c>
      <c r="C117" s="17">
        <f>18.1074 * CHOOSE(CONTROL!$C$15, $E$9, 100%, $G$9) + CHOOSE(CONTROL!$C$38, 0.0342, 0)</f>
        <v>18.141599999999997</v>
      </c>
      <c r="D117" s="17">
        <f>18.0996 * CHOOSE(CONTROL!$C$15, $E$9, 100%, $G$9) + CHOOSE(CONTROL!$C$38, 0.0342, 0)</f>
        <v>18.133799999999997</v>
      </c>
      <c r="E117" s="17">
        <f>18.0996 * CHOOSE(CONTROL!$C$15, $E$9, 100%, $G$9) + CHOOSE(CONTROL!$C$38, 0.0342, 0)</f>
        <v>18.133799999999997</v>
      </c>
      <c r="F117" s="45">
        <f>19.1825 * CHOOSE(CONTROL!$C$15, $E$9, 100%, $G$9) + CHOOSE(CONTROL!$C$38, 0.034, 0)</f>
        <v>19.2165</v>
      </c>
      <c r="G117" s="17">
        <f>18.1058 * CHOOSE(CONTROL!$C$15, $E$9, 100%, $G$9) + CHOOSE(CONTROL!$C$38, 0.0342, 0)</f>
        <v>18.139999999999997</v>
      </c>
      <c r="H117" s="17">
        <f>18.1058 * CHOOSE(CONTROL!$C$15, $E$9, 100%, $G$9) + CHOOSE(CONTROL!$C$38, 0.0342, 0)</f>
        <v>18.139999999999997</v>
      </c>
      <c r="I117" s="17">
        <f>18.1074 * CHOOSE(CONTROL!$C$15, $E$9, 100%, $G$9) + CHOOSE(CONTROL!$C$38, 0.0342, 0)</f>
        <v>18.141599999999997</v>
      </c>
      <c r="J117" s="44">
        <f>120.2498</f>
        <v>120.24979999999999</v>
      </c>
    </row>
    <row r="118" spans="1:10" ht="15" x14ac:dyDescent="0.2">
      <c r="A118" s="16">
        <v>44501</v>
      </c>
      <c r="B118" s="17">
        <f>19.4644 * CHOOSE(CONTROL!$C$15, $E$9, 100%, $G$9) + CHOOSE(CONTROL!$C$38, 0.034, 0)</f>
        <v>19.4984</v>
      </c>
      <c r="C118" s="17">
        <f>18.3873 * CHOOSE(CONTROL!$C$15, $E$9, 100%, $G$9) + CHOOSE(CONTROL!$C$38, 0.0342, 0)</f>
        <v>18.421499999999998</v>
      </c>
      <c r="D118" s="17">
        <f>18.3795 * CHOOSE(CONTROL!$C$15, $E$9, 100%, $G$9) + CHOOSE(CONTROL!$C$38, 0.0342, 0)</f>
        <v>18.413699999999999</v>
      </c>
      <c r="E118" s="17">
        <f>18.3795 * CHOOSE(CONTROL!$C$15, $E$9, 100%, $G$9) + CHOOSE(CONTROL!$C$38, 0.0342, 0)</f>
        <v>18.413699999999999</v>
      </c>
      <c r="F118" s="45">
        <f>19.4644 * CHOOSE(CONTROL!$C$15, $E$9, 100%, $G$9) + CHOOSE(CONTROL!$C$38, 0.034, 0)</f>
        <v>19.4984</v>
      </c>
      <c r="G118" s="17">
        <f>18.3857 * CHOOSE(CONTROL!$C$15, $E$9, 100%, $G$9) + CHOOSE(CONTROL!$C$38, 0.0342, 0)</f>
        <v>18.419899999999998</v>
      </c>
      <c r="H118" s="17">
        <f>18.3857 * CHOOSE(CONTROL!$C$15, $E$9, 100%, $G$9) + CHOOSE(CONTROL!$C$38, 0.0342, 0)</f>
        <v>18.419899999999998</v>
      </c>
      <c r="I118" s="17">
        <f>18.3873 * CHOOSE(CONTROL!$C$15, $E$9, 100%, $G$9) + CHOOSE(CONTROL!$C$38, 0.0342, 0)</f>
        <v>18.421499999999998</v>
      </c>
      <c r="J118" s="44">
        <f>119.6389</f>
        <v>119.63890000000001</v>
      </c>
    </row>
    <row r="119" spans="1:10" ht="15" x14ac:dyDescent="0.2">
      <c r="A119" s="16">
        <v>44531</v>
      </c>
      <c r="B119" s="17">
        <f>20.2553 * CHOOSE(CONTROL!$C$15, $E$9, 100%, $G$9) + CHOOSE(CONTROL!$C$38, 0.034, 0)</f>
        <v>20.289299999999997</v>
      </c>
      <c r="C119" s="17">
        <f>19.1763 * CHOOSE(CONTROL!$C$15, $E$9, 100%, $G$9) + CHOOSE(CONTROL!$C$38, 0.0342, 0)</f>
        <v>19.2105</v>
      </c>
      <c r="D119" s="17">
        <f>19.1685 * CHOOSE(CONTROL!$C$15, $E$9, 100%, $G$9) + CHOOSE(CONTROL!$C$38, 0.0342, 0)</f>
        <v>19.2027</v>
      </c>
      <c r="E119" s="17">
        <f>19.1685 * CHOOSE(CONTROL!$C$15, $E$9, 100%, $G$9) + CHOOSE(CONTROL!$C$38, 0.0342, 0)</f>
        <v>19.2027</v>
      </c>
      <c r="F119" s="45">
        <f>20.2553 * CHOOSE(CONTROL!$C$15, $E$9, 100%, $G$9) + CHOOSE(CONTROL!$C$38, 0.034, 0)</f>
        <v>20.289299999999997</v>
      </c>
      <c r="G119" s="17">
        <f>19.1748 * CHOOSE(CONTROL!$C$15, $E$9, 100%, $G$9) + CHOOSE(CONTROL!$C$38, 0.0342, 0)</f>
        <v>19.209</v>
      </c>
      <c r="H119" s="17">
        <f>19.1748 * CHOOSE(CONTROL!$C$15, $E$9, 100%, $G$9) + CHOOSE(CONTROL!$C$38, 0.0342, 0)</f>
        <v>19.209</v>
      </c>
      <c r="I119" s="17">
        <f>19.1763 * CHOOSE(CONTROL!$C$15, $E$9, 100%, $G$9) + CHOOSE(CONTROL!$C$38, 0.0342, 0)</f>
        <v>19.2105</v>
      </c>
      <c r="J119" s="44">
        <f>116.3278</f>
        <v>116.3278</v>
      </c>
    </row>
    <row r="120" spans="1:10" ht="15" x14ac:dyDescent="0.2">
      <c r="A120" s="16">
        <v>44562</v>
      </c>
      <c r="B120" s="17">
        <f>21.2567 * CHOOSE(CONTROL!$C$15, $E$9, 100%, $G$9) + CHOOSE(CONTROL!$C$38, 0.034, 0)</f>
        <v>21.290699999999998</v>
      </c>
      <c r="C120" s="17">
        <f>20.1886 * CHOOSE(CONTROL!$C$15, $E$9, 100%, $G$9) + CHOOSE(CONTROL!$C$38, 0.0342, 0)</f>
        <v>20.222799999999999</v>
      </c>
      <c r="D120" s="17">
        <f>20.1808 * CHOOSE(CONTROL!$C$15, $E$9, 100%, $G$9) + CHOOSE(CONTROL!$C$38, 0.0342, 0)</f>
        <v>20.215</v>
      </c>
      <c r="E120" s="17">
        <f>20.1808 * CHOOSE(CONTROL!$C$15, $E$9, 100%, $G$9) + CHOOSE(CONTROL!$C$38, 0.0342, 0)</f>
        <v>20.215</v>
      </c>
      <c r="F120" s="45">
        <f>21.2567 * CHOOSE(CONTROL!$C$15, $E$9, 100%, $G$9) + CHOOSE(CONTROL!$C$38, 0.034, 0)</f>
        <v>21.290699999999998</v>
      </c>
      <c r="G120" s="17">
        <f>20.1871 * CHOOSE(CONTROL!$C$15, $E$9, 100%, $G$9) + CHOOSE(CONTROL!$C$38, 0.0342, 0)</f>
        <v>20.221299999999999</v>
      </c>
      <c r="H120" s="17">
        <f>20.1871 * CHOOSE(CONTROL!$C$15, $E$9, 100%, $G$9) + CHOOSE(CONTROL!$C$38, 0.0342, 0)</f>
        <v>20.221299999999999</v>
      </c>
      <c r="I120" s="17">
        <f>20.1886 * CHOOSE(CONTROL!$C$15, $E$9, 100%, $G$9) + CHOOSE(CONTROL!$C$38, 0.0342, 0)</f>
        <v>20.222799999999999</v>
      </c>
      <c r="J120" s="44">
        <f>116.6657</f>
        <v>116.6657</v>
      </c>
    </row>
    <row r="121" spans="1:10" ht="15" x14ac:dyDescent="0.2">
      <c r="A121" s="16">
        <v>44593</v>
      </c>
      <c r="B121" s="17">
        <f>21.5789 * CHOOSE(CONTROL!$C$15, $E$9, 100%, $G$9) + CHOOSE(CONTROL!$C$38, 0.034, 0)</f>
        <v>21.6129</v>
      </c>
      <c r="C121" s="17">
        <f>20.509 * CHOOSE(CONTROL!$C$15, $E$9, 100%, $G$9) + CHOOSE(CONTROL!$C$38, 0.0342, 0)</f>
        <v>20.543199999999999</v>
      </c>
      <c r="D121" s="17">
        <f>20.5012 * CHOOSE(CONTROL!$C$15, $E$9, 100%, $G$9) + CHOOSE(CONTROL!$C$38, 0.0342, 0)</f>
        <v>20.535399999999999</v>
      </c>
      <c r="E121" s="17">
        <f>20.5012 * CHOOSE(CONTROL!$C$15, $E$9, 100%, $G$9) + CHOOSE(CONTROL!$C$38, 0.0342, 0)</f>
        <v>20.535399999999999</v>
      </c>
      <c r="F121" s="45">
        <f>21.5789 * CHOOSE(CONTROL!$C$15, $E$9, 100%, $G$9) + CHOOSE(CONTROL!$C$38, 0.034, 0)</f>
        <v>21.6129</v>
      </c>
      <c r="G121" s="17">
        <f>20.5074 * CHOOSE(CONTROL!$C$15, $E$9, 100%, $G$9) + CHOOSE(CONTROL!$C$38, 0.0342, 0)</f>
        <v>20.541599999999999</v>
      </c>
      <c r="H121" s="17">
        <f>20.5074 * CHOOSE(CONTROL!$C$15, $E$9, 100%, $G$9) + CHOOSE(CONTROL!$C$38, 0.0342, 0)</f>
        <v>20.541599999999999</v>
      </c>
      <c r="I121" s="17">
        <f>20.509 * CHOOSE(CONTROL!$C$15, $E$9, 100%, $G$9) + CHOOSE(CONTROL!$C$38, 0.0342, 0)</f>
        <v>20.543199999999999</v>
      </c>
      <c r="J121" s="44">
        <f>116.5811</f>
        <v>116.58110000000001</v>
      </c>
    </row>
    <row r="122" spans="1:10" ht="15" x14ac:dyDescent="0.2">
      <c r="A122" s="16">
        <v>44621</v>
      </c>
      <c r="B122" s="17">
        <f>20.9733 * CHOOSE(CONTROL!$C$15, $E$9, 100%, $G$9) + CHOOSE(CONTROL!$C$38, 0.034, 0)</f>
        <v>21.007299999999997</v>
      </c>
      <c r="C122" s="17">
        <f>19.9015 * CHOOSE(CONTROL!$C$15, $E$9, 100%, $G$9) + CHOOSE(CONTROL!$C$38, 0.0342, 0)</f>
        <v>19.935699999999997</v>
      </c>
      <c r="D122" s="17">
        <f>19.8937 * CHOOSE(CONTROL!$C$15, $E$9, 100%, $G$9) + CHOOSE(CONTROL!$C$38, 0.0342, 0)</f>
        <v>19.927899999999998</v>
      </c>
      <c r="E122" s="17">
        <f>19.8937 * CHOOSE(CONTROL!$C$15, $E$9, 100%, $G$9) + CHOOSE(CONTROL!$C$38, 0.0342, 0)</f>
        <v>19.927899999999998</v>
      </c>
      <c r="F122" s="45">
        <f>20.9733 * CHOOSE(CONTROL!$C$15, $E$9, 100%, $G$9) + CHOOSE(CONTROL!$C$38, 0.034, 0)</f>
        <v>21.007299999999997</v>
      </c>
      <c r="G122" s="17">
        <f>19.8999 * CHOOSE(CONTROL!$C$15, $E$9, 100%, $G$9) + CHOOSE(CONTROL!$C$38, 0.0342, 0)</f>
        <v>19.934099999999997</v>
      </c>
      <c r="H122" s="17">
        <f>19.8999 * CHOOSE(CONTROL!$C$15, $E$9, 100%, $G$9) + CHOOSE(CONTROL!$C$38, 0.0342, 0)</f>
        <v>19.934099999999997</v>
      </c>
      <c r="I122" s="17">
        <f>19.9015 * CHOOSE(CONTROL!$C$15, $E$9, 100%, $G$9) + CHOOSE(CONTROL!$C$38, 0.0342, 0)</f>
        <v>19.935699999999997</v>
      </c>
      <c r="J122" s="44">
        <f>122.9784</f>
        <v>122.97839999999999</v>
      </c>
    </row>
    <row r="123" spans="1:10" ht="15" x14ac:dyDescent="0.2">
      <c r="A123" s="16">
        <v>44652</v>
      </c>
      <c r="B123" s="17">
        <f>20.3852 * CHOOSE(CONTROL!$C$15, $E$9, 100%, $G$9) + CHOOSE(CONTROL!$C$38, 0.034, 0)</f>
        <v>20.4192</v>
      </c>
      <c r="C123" s="17">
        <f>19.3116 * CHOOSE(CONTROL!$C$15, $E$9, 100%, $G$9) + CHOOSE(CONTROL!$C$38, 0.0342, 0)</f>
        <v>19.345799999999997</v>
      </c>
      <c r="D123" s="17">
        <f>19.3037 * CHOOSE(CONTROL!$C$15, $E$9, 100%, $G$9) + CHOOSE(CONTROL!$C$38, 0.0342, 0)</f>
        <v>19.337899999999998</v>
      </c>
      <c r="E123" s="17">
        <f>19.3037 * CHOOSE(CONTROL!$C$15, $E$9, 100%, $G$9) + CHOOSE(CONTROL!$C$38, 0.0342, 0)</f>
        <v>19.337899999999998</v>
      </c>
      <c r="F123" s="45">
        <f>20.3852 * CHOOSE(CONTROL!$C$15, $E$9, 100%, $G$9) + CHOOSE(CONTROL!$C$38, 0.034, 0)</f>
        <v>20.4192</v>
      </c>
      <c r="G123" s="17">
        <f>19.31 * CHOOSE(CONTROL!$C$15, $E$9, 100%, $G$9) + CHOOSE(CONTROL!$C$38, 0.0342, 0)</f>
        <v>19.344199999999997</v>
      </c>
      <c r="H123" s="17">
        <f>19.31 * CHOOSE(CONTROL!$C$15, $E$9, 100%, $G$9) + CHOOSE(CONTROL!$C$38, 0.0342, 0)</f>
        <v>19.344199999999997</v>
      </c>
      <c r="I123" s="17">
        <f>19.3116 * CHOOSE(CONTROL!$C$15, $E$9, 100%, $G$9) + CHOOSE(CONTROL!$C$38, 0.0342, 0)</f>
        <v>19.345799999999997</v>
      </c>
      <c r="J123" s="44">
        <f>131.2325</f>
        <v>131.23249999999999</v>
      </c>
    </row>
    <row r="124" spans="1:10" ht="15" x14ac:dyDescent="0.2">
      <c r="A124" s="16">
        <v>44682</v>
      </c>
      <c r="B124" s="17">
        <f>19.768 * CHOOSE(CONTROL!$C$15, $E$9, 100%, $G$9) + CHOOSE(CONTROL!$C$38, 0.0353, 0)</f>
        <v>19.8033</v>
      </c>
      <c r="C124" s="17">
        <f>18.6924 * CHOOSE(CONTROL!$C$15, $E$9, 100%, $G$9) + CHOOSE(CONTROL!$C$38, 0.0354, 0)</f>
        <v>18.727799999999998</v>
      </c>
      <c r="D124" s="17">
        <f>18.6846 * CHOOSE(CONTROL!$C$15, $E$9, 100%, $G$9) + CHOOSE(CONTROL!$C$38, 0.0354, 0)</f>
        <v>18.72</v>
      </c>
      <c r="E124" s="17">
        <f>18.6846 * CHOOSE(CONTROL!$C$15, $E$9, 100%, $G$9) + CHOOSE(CONTROL!$C$38, 0.0354, 0)</f>
        <v>18.72</v>
      </c>
      <c r="F124" s="45">
        <f>19.768 * CHOOSE(CONTROL!$C$15, $E$9, 100%, $G$9) + CHOOSE(CONTROL!$C$38, 0.0353, 0)</f>
        <v>19.8033</v>
      </c>
      <c r="G124" s="17">
        <f>18.6909 * CHOOSE(CONTROL!$C$15, $E$9, 100%, $G$9) + CHOOSE(CONTROL!$C$38, 0.0354, 0)</f>
        <v>18.726299999999998</v>
      </c>
      <c r="H124" s="17">
        <f>18.6909 * CHOOSE(CONTROL!$C$15, $E$9, 100%, $G$9) + CHOOSE(CONTROL!$C$38, 0.0354, 0)</f>
        <v>18.726299999999998</v>
      </c>
      <c r="I124" s="17">
        <f>18.6924 * CHOOSE(CONTROL!$C$15, $E$9, 100%, $G$9) + CHOOSE(CONTROL!$C$38, 0.0354, 0)</f>
        <v>18.727799999999998</v>
      </c>
      <c r="J124" s="44">
        <f>135.9158</f>
        <v>135.91579999999999</v>
      </c>
    </row>
    <row r="125" spans="1:10" ht="15" x14ac:dyDescent="0.2">
      <c r="A125" s="16">
        <v>44713</v>
      </c>
      <c r="B125" s="17">
        <f>19.3452 * CHOOSE(CONTROL!$C$15, $E$9, 100%, $G$9) + CHOOSE(CONTROL!$C$38, 0.0353, 0)</f>
        <v>19.380499999999998</v>
      </c>
      <c r="C125" s="17">
        <f>18.2678 * CHOOSE(CONTROL!$C$15, $E$9, 100%, $G$9) + CHOOSE(CONTROL!$C$38, 0.0354, 0)</f>
        <v>18.3032</v>
      </c>
      <c r="D125" s="17">
        <f>18.2599 * CHOOSE(CONTROL!$C$15, $E$9, 100%, $G$9) + CHOOSE(CONTROL!$C$38, 0.0354, 0)</f>
        <v>18.295299999999997</v>
      </c>
      <c r="E125" s="17">
        <f>18.2599 * CHOOSE(CONTROL!$C$15, $E$9, 100%, $G$9) + CHOOSE(CONTROL!$C$38, 0.0354, 0)</f>
        <v>18.295299999999997</v>
      </c>
      <c r="F125" s="45">
        <f>19.3452 * CHOOSE(CONTROL!$C$15, $E$9, 100%, $G$9) + CHOOSE(CONTROL!$C$38, 0.0353, 0)</f>
        <v>19.380499999999998</v>
      </c>
      <c r="G125" s="17">
        <f>18.2662 * CHOOSE(CONTROL!$C$15, $E$9, 100%, $G$9) + CHOOSE(CONTROL!$C$38, 0.0354, 0)</f>
        <v>18.301600000000001</v>
      </c>
      <c r="H125" s="17">
        <f>18.2662 * CHOOSE(CONTROL!$C$15, $E$9, 100%, $G$9) + CHOOSE(CONTROL!$C$38, 0.0354, 0)</f>
        <v>18.301600000000001</v>
      </c>
      <c r="I125" s="17">
        <f>18.2678 * CHOOSE(CONTROL!$C$15, $E$9, 100%, $G$9) + CHOOSE(CONTROL!$C$38, 0.0354, 0)</f>
        <v>18.3032</v>
      </c>
      <c r="J125" s="44">
        <f>138.1582</f>
        <v>138.15819999999999</v>
      </c>
    </row>
    <row r="126" spans="1:10" ht="15" x14ac:dyDescent="0.2">
      <c r="A126" s="16">
        <v>44743</v>
      </c>
      <c r="B126" s="17">
        <f>19.1195 * CHOOSE(CONTROL!$C$15, $E$9, 100%, $G$9) + CHOOSE(CONTROL!$C$38, 0.0353, 0)</f>
        <v>19.154799999999998</v>
      </c>
      <c r="C126" s="17">
        <f>18.0401 * CHOOSE(CONTROL!$C$15, $E$9, 100%, $G$9) + CHOOSE(CONTROL!$C$38, 0.0354, 0)</f>
        <v>18.075499999999998</v>
      </c>
      <c r="D126" s="17">
        <f>18.0323 * CHOOSE(CONTROL!$C$15, $E$9, 100%, $G$9) + CHOOSE(CONTROL!$C$38, 0.0354, 0)</f>
        <v>18.067699999999999</v>
      </c>
      <c r="E126" s="17">
        <f>18.0323 * CHOOSE(CONTROL!$C$15, $E$9, 100%, $G$9) + CHOOSE(CONTROL!$C$38, 0.0354, 0)</f>
        <v>18.067699999999999</v>
      </c>
      <c r="F126" s="45">
        <f>19.1195 * CHOOSE(CONTROL!$C$15, $E$9, 100%, $G$9) + CHOOSE(CONTROL!$C$38, 0.0353, 0)</f>
        <v>19.154799999999998</v>
      </c>
      <c r="G126" s="17">
        <f>18.0385 * CHOOSE(CONTROL!$C$15, $E$9, 100%, $G$9) + CHOOSE(CONTROL!$C$38, 0.0354, 0)</f>
        <v>18.073899999999998</v>
      </c>
      <c r="H126" s="17">
        <f>18.0385 * CHOOSE(CONTROL!$C$15, $E$9, 100%, $G$9) + CHOOSE(CONTROL!$C$38, 0.0354, 0)</f>
        <v>18.073899999999998</v>
      </c>
      <c r="I126" s="17">
        <f>18.0401 * CHOOSE(CONTROL!$C$15, $E$9, 100%, $G$9) + CHOOSE(CONTROL!$C$38, 0.0354, 0)</f>
        <v>18.075499999999998</v>
      </c>
      <c r="J126" s="44">
        <f>137.7953</f>
        <v>137.7953</v>
      </c>
    </row>
    <row r="127" spans="1:10" ht="15" x14ac:dyDescent="0.2">
      <c r="A127" s="16">
        <v>44774</v>
      </c>
      <c r="B127" s="17">
        <f>19.2883 * CHOOSE(CONTROL!$C$15, $E$9, 100%, $G$9) + CHOOSE(CONTROL!$C$38, 0.0353, 0)</f>
        <v>19.323599999999999</v>
      </c>
      <c r="C127" s="17">
        <f>18.207 * CHOOSE(CONTROL!$C$15, $E$9, 100%, $G$9) + CHOOSE(CONTROL!$C$38, 0.0354, 0)</f>
        <v>18.2424</v>
      </c>
      <c r="D127" s="17">
        <f>18.1992 * CHOOSE(CONTROL!$C$15, $E$9, 100%, $G$9) + CHOOSE(CONTROL!$C$38, 0.0354, 0)</f>
        <v>18.2346</v>
      </c>
      <c r="E127" s="17">
        <f>18.1992 * CHOOSE(CONTROL!$C$15, $E$9, 100%, $G$9) + CHOOSE(CONTROL!$C$38, 0.0354, 0)</f>
        <v>18.2346</v>
      </c>
      <c r="F127" s="45">
        <f>19.2883 * CHOOSE(CONTROL!$C$15, $E$9, 100%, $G$9) + CHOOSE(CONTROL!$C$38, 0.0353, 0)</f>
        <v>19.323599999999999</v>
      </c>
      <c r="G127" s="17">
        <f>18.2055 * CHOOSE(CONTROL!$C$15, $E$9, 100%, $G$9) + CHOOSE(CONTROL!$C$38, 0.0354, 0)</f>
        <v>18.2409</v>
      </c>
      <c r="H127" s="17">
        <f>18.2055 * CHOOSE(CONTROL!$C$15, $E$9, 100%, $G$9) + CHOOSE(CONTROL!$C$38, 0.0354, 0)</f>
        <v>18.2409</v>
      </c>
      <c r="I127" s="17">
        <f>18.207 * CHOOSE(CONTROL!$C$15, $E$9, 100%, $G$9) + CHOOSE(CONTROL!$C$38, 0.0354, 0)</f>
        <v>18.2424</v>
      </c>
      <c r="J127" s="44">
        <f>134.8647</f>
        <v>134.8647</v>
      </c>
    </row>
    <row r="128" spans="1:10" ht="15" x14ac:dyDescent="0.2">
      <c r="A128" s="16">
        <v>44805</v>
      </c>
      <c r="B128" s="17">
        <f>19.6825 * CHOOSE(CONTROL!$C$15, $E$9, 100%, $G$9) + CHOOSE(CONTROL!$C$38, 0.0353, 0)</f>
        <v>19.7178</v>
      </c>
      <c r="C128" s="17">
        <f>18.5994 * CHOOSE(CONTROL!$C$15, $E$9, 100%, $G$9) + CHOOSE(CONTROL!$C$38, 0.0354, 0)</f>
        <v>18.634799999999998</v>
      </c>
      <c r="D128" s="17">
        <f>18.5916 * CHOOSE(CONTROL!$C$15, $E$9, 100%, $G$9) + CHOOSE(CONTROL!$C$38, 0.0354, 0)</f>
        <v>18.626999999999999</v>
      </c>
      <c r="E128" s="17">
        <f>18.5916 * CHOOSE(CONTROL!$C$15, $E$9, 100%, $G$9) + CHOOSE(CONTROL!$C$38, 0.0354, 0)</f>
        <v>18.626999999999999</v>
      </c>
      <c r="F128" s="45">
        <f>19.6825 * CHOOSE(CONTROL!$C$15, $E$9, 100%, $G$9) + CHOOSE(CONTROL!$C$38, 0.0353, 0)</f>
        <v>19.7178</v>
      </c>
      <c r="G128" s="17">
        <f>18.5978 * CHOOSE(CONTROL!$C$15, $E$9, 100%, $G$9) + CHOOSE(CONTROL!$C$38, 0.0354, 0)</f>
        <v>18.633199999999999</v>
      </c>
      <c r="H128" s="17">
        <f>18.5978 * CHOOSE(CONTROL!$C$15, $E$9, 100%, $G$9) + CHOOSE(CONTROL!$C$38, 0.0354, 0)</f>
        <v>18.633199999999999</v>
      </c>
      <c r="I128" s="17">
        <f>18.5994 * CHOOSE(CONTROL!$C$15, $E$9, 100%, $G$9) + CHOOSE(CONTROL!$C$38, 0.0354, 0)</f>
        <v>18.634799999999998</v>
      </c>
      <c r="J128" s="44">
        <f>130.6506</f>
        <v>130.6506</v>
      </c>
    </row>
    <row r="129" spans="1:10" ht="15" x14ac:dyDescent="0.2">
      <c r="A129" s="16">
        <v>44835</v>
      </c>
      <c r="B129" s="17">
        <f>20.0204 * CHOOSE(CONTROL!$C$15, $E$9, 100%, $G$9) + CHOOSE(CONTROL!$C$38, 0.034, 0)</f>
        <v>20.054399999999998</v>
      </c>
      <c r="C129" s="17">
        <f>18.9353 * CHOOSE(CONTROL!$C$15, $E$9, 100%, $G$9) + CHOOSE(CONTROL!$C$38, 0.0342, 0)</f>
        <v>18.9695</v>
      </c>
      <c r="D129" s="17">
        <f>18.9275 * CHOOSE(CONTROL!$C$15, $E$9, 100%, $G$9) + CHOOSE(CONTROL!$C$38, 0.0342, 0)</f>
        <v>18.961699999999997</v>
      </c>
      <c r="E129" s="17">
        <f>18.9275 * CHOOSE(CONTROL!$C$15, $E$9, 100%, $G$9) + CHOOSE(CONTROL!$C$38, 0.0342, 0)</f>
        <v>18.961699999999997</v>
      </c>
      <c r="F129" s="45">
        <f>20.0204 * CHOOSE(CONTROL!$C$15, $E$9, 100%, $G$9) + CHOOSE(CONTROL!$C$38, 0.034, 0)</f>
        <v>20.054399999999998</v>
      </c>
      <c r="G129" s="17">
        <f>18.9338 * CHOOSE(CONTROL!$C$15, $E$9, 100%, $G$9) + CHOOSE(CONTROL!$C$38, 0.0342, 0)</f>
        <v>18.968</v>
      </c>
      <c r="H129" s="17">
        <f>18.9338 * CHOOSE(CONTROL!$C$15, $E$9, 100%, $G$9) + CHOOSE(CONTROL!$C$38, 0.0342, 0)</f>
        <v>18.968</v>
      </c>
      <c r="I129" s="17">
        <f>18.9353 * CHOOSE(CONTROL!$C$15, $E$9, 100%, $G$9) + CHOOSE(CONTROL!$C$38, 0.0342, 0)</f>
        <v>18.9695</v>
      </c>
      <c r="J129" s="44">
        <f>126.3924</f>
        <v>126.39239999999999</v>
      </c>
    </row>
    <row r="130" spans="1:10" ht="15" x14ac:dyDescent="0.2">
      <c r="A130" s="16">
        <v>44866</v>
      </c>
      <c r="B130" s="17">
        <f>20.31 * CHOOSE(CONTROL!$C$15, $E$9, 100%, $G$9) + CHOOSE(CONTROL!$C$38, 0.034, 0)</f>
        <v>20.343999999999998</v>
      </c>
      <c r="C130" s="17">
        <f>19.2231 * CHOOSE(CONTROL!$C$15, $E$9, 100%, $G$9) + CHOOSE(CONTROL!$C$38, 0.0342, 0)</f>
        <v>19.257299999999997</v>
      </c>
      <c r="D130" s="17">
        <f>19.2152 * CHOOSE(CONTROL!$C$15, $E$9, 100%, $G$9) + CHOOSE(CONTROL!$C$38, 0.0342, 0)</f>
        <v>19.249399999999998</v>
      </c>
      <c r="E130" s="17">
        <f>19.2152 * CHOOSE(CONTROL!$C$15, $E$9, 100%, $G$9) + CHOOSE(CONTROL!$C$38, 0.0342, 0)</f>
        <v>19.249399999999998</v>
      </c>
      <c r="F130" s="45">
        <f>20.31 * CHOOSE(CONTROL!$C$15, $E$9, 100%, $G$9) + CHOOSE(CONTROL!$C$38, 0.034, 0)</f>
        <v>20.343999999999998</v>
      </c>
      <c r="G130" s="17">
        <f>19.2215 * CHOOSE(CONTROL!$C$15, $E$9, 100%, $G$9) + CHOOSE(CONTROL!$C$38, 0.0342, 0)</f>
        <v>19.255699999999997</v>
      </c>
      <c r="H130" s="17">
        <f>19.2215 * CHOOSE(CONTROL!$C$15, $E$9, 100%, $G$9) + CHOOSE(CONTROL!$C$38, 0.0342, 0)</f>
        <v>19.255699999999997</v>
      </c>
      <c r="I130" s="17">
        <f>19.2231 * CHOOSE(CONTROL!$C$15, $E$9, 100%, $G$9) + CHOOSE(CONTROL!$C$38, 0.0342, 0)</f>
        <v>19.257299999999997</v>
      </c>
      <c r="J130" s="44">
        <f>125.7503</f>
        <v>125.7503</v>
      </c>
    </row>
    <row r="131" spans="1:10" ht="15" x14ac:dyDescent="0.2">
      <c r="A131" s="16">
        <v>44896</v>
      </c>
      <c r="B131" s="17">
        <f>21.1215 * CHOOSE(CONTROL!$C$15, $E$9, 100%, $G$9) + CHOOSE(CONTROL!$C$38, 0.034, 0)</f>
        <v>21.1555</v>
      </c>
      <c r="C131" s="17">
        <f>20.0326 * CHOOSE(CONTROL!$C$15, $E$9, 100%, $G$9) + CHOOSE(CONTROL!$C$38, 0.0342, 0)</f>
        <v>20.066799999999997</v>
      </c>
      <c r="D131" s="17">
        <f>20.0248 * CHOOSE(CONTROL!$C$15, $E$9, 100%, $G$9) + CHOOSE(CONTROL!$C$38, 0.0342, 0)</f>
        <v>20.058999999999997</v>
      </c>
      <c r="E131" s="17">
        <f>20.0248 * CHOOSE(CONTROL!$C$15, $E$9, 100%, $G$9) + CHOOSE(CONTROL!$C$38, 0.0342, 0)</f>
        <v>20.058999999999997</v>
      </c>
      <c r="F131" s="45">
        <f>21.1215 * CHOOSE(CONTROL!$C$15, $E$9, 100%, $G$9) + CHOOSE(CONTROL!$C$38, 0.034, 0)</f>
        <v>21.1555</v>
      </c>
      <c r="G131" s="17">
        <f>20.031 * CHOOSE(CONTROL!$C$15, $E$9, 100%, $G$9) + CHOOSE(CONTROL!$C$38, 0.0342, 0)</f>
        <v>20.065199999999997</v>
      </c>
      <c r="H131" s="17">
        <f>20.031 * CHOOSE(CONTROL!$C$15, $E$9, 100%, $G$9) + CHOOSE(CONTROL!$C$38, 0.0342, 0)</f>
        <v>20.065199999999997</v>
      </c>
      <c r="I131" s="17">
        <f>20.0326 * CHOOSE(CONTROL!$C$15, $E$9, 100%, $G$9) + CHOOSE(CONTROL!$C$38, 0.0342, 0)</f>
        <v>20.066799999999997</v>
      </c>
      <c r="J131" s="44">
        <f>122.27</f>
        <v>122.27</v>
      </c>
    </row>
    <row r="132" spans="1:10" ht="15" x14ac:dyDescent="0.2">
      <c r="A132" s="16">
        <v>44927</v>
      </c>
      <c r="B132" s="17">
        <f>22.3759 * CHOOSE(CONTROL!$C$15, $E$9, 100%, $G$9) + CHOOSE(CONTROL!$C$38, 0.034, 0)</f>
        <v>22.4099</v>
      </c>
      <c r="C132" s="17">
        <f>21.1611 * CHOOSE(CONTROL!$C$15, $E$9, 100%, $G$9) + CHOOSE(CONTROL!$C$38, 0.0342, 0)</f>
        <v>21.1953</v>
      </c>
      <c r="D132" s="17">
        <f>21.1533 * CHOOSE(CONTROL!$C$15, $E$9, 100%, $G$9) + CHOOSE(CONTROL!$C$38, 0.0342, 0)</f>
        <v>21.1875</v>
      </c>
      <c r="E132" s="17">
        <f>21.1533 * CHOOSE(CONTROL!$C$15, $E$9, 100%, $G$9) + CHOOSE(CONTROL!$C$38, 0.0342, 0)</f>
        <v>21.1875</v>
      </c>
      <c r="F132" s="45">
        <f>22.3759 * CHOOSE(CONTROL!$C$15, $E$9, 100%, $G$9) + CHOOSE(CONTROL!$C$38, 0.034, 0)</f>
        <v>22.4099</v>
      </c>
      <c r="G132" s="17">
        <f>21.1595 * CHOOSE(CONTROL!$C$15, $E$9, 100%, $G$9) + CHOOSE(CONTROL!$C$38, 0.0342, 0)</f>
        <v>21.1937</v>
      </c>
      <c r="H132" s="17">
        <f>21.1595 * CHOOSE(CONTROL!$C$15, $E$9, 100%, $G$9) + CHOOSE(CONTROL!$C$38, 0.0342, 0)</f>
        <v>21.1937</v>
      </c>
      <c r="I132" s="17">
        <f>21.1611 * CHOOSE(CONTROL!$C$15, $E$9, 100%, $G$9) + CHOOSE(CONTROL!$C$38, 0.0342, 0)</f>
        <v>21.1953</v>
      </c>
      <c r="J132" s="44">
        <f>122.6189</f>
        <v>122.6189</v>
      </c>
    </row>
    <row r="133" spans="1:10" ht="15" x14ac:dyDescent="0.2">
      <c r="A133" s="16">
        <v>44958</v>
      </c>
      <c r="B133" s="17">
        <f>22.7074 * CHOOSE(CONTROL!$C$15, $E$9, 100%, $G$9) + CHOOSE(CONTROL!$C$38, 0.034, 0)</f>
        <v>22.741399999999999</v>
      </c>
      <c r="C133" s="17">
        <f>21.4904 * CHOOSE(CONTROL!$C$15, $E$9, 100%, $G$9) + CHOOSE(CONTROL!$C$38, 0.0342, 0)</f>
        <v>21.5246</v>
      </c>
      <c r="D133" s="17">
        <f>21.4826 * CHOOSE(CONTROL!$C$15, $E$9, 100%, $G$9) + CHOOSE(CONTROL!$C$38, 0.0342, 0)</f>
        <v>21.5168</v>
      </c>
      <c r="E133" s="17">
        <f>21.4826 * CHOOSE(CONTROL!$C$15, $E$9, 100%, $G$9) + CHOOSE(CONTROL!$C$38, 0.0342, 0)</f>
        <v>21.5168</v>
      </c>
      <c r="F133" s="45">
        <f>22.7074 * CHOOSE(CONTROL!$C$15, $E$9, 100%, $G$9) + CHOOSE(CONTROL!$C$38, 0.034, 0)</f>
        <v>22.741399999999999</v>
      </c>
      <c r="G133" s="17">
        <f>21.4889 * CHOOSE(CONTROL!$C$15, $E$9, 100%, $G$9) + CHOOSE(CONTROL!$C$38, 0.0342, 0)</f>
        <v>21.523099999999999</v>
      </c>
      <c r="H133" s="17">
        <f>21.4889 * CHOOSE(CONTROL!$C$15, $E$9, 100%, $G$9) + CHOOSE(CONTROL!$C$38, 0.0342, 0)</f>
        <v>21.523099999999999</v>
      </c>
      <c r="I133" s="17">
        <f>21.4904 * CHOOSE(CONTROL!$C$15, $E$9, 100%, $G$9) + CHOOSE(CONTROL!$C$38, 0.0342, 0)</f>
        <v>21.5246</v>
      </c>
      <c r="J133" s="44">
        <f>122.53</f>
        <v>122.53</v>
      </c>
    </row>
    <row r="134" spans="1:10" ht="15" x14ac:dyDescent="0.2">
      <c r="A134" s="16">
        <v>44986</v>
      </c>
      <c r="B134" s="17">
        <f>22.0879 * CHOOSE(CONTROL!$C$15, $E$9, 100%, $G$9) + CHOOSE(CONTROL!$C$38, 0.034, 0)</f>
        <v>22.1219</v>
      </c>
      <c r="C134" s="17">
        <f>20.8687 * CHOOSE(CONTROL!$C$15, $E$9, 100%, $G$9) + CHOOSE(CONTROL!$C$38, 0.0342, 0)</f>
        <v>20.902899999999999</v>
      </c>
      <c r="D134" s="17">
        <f>20.8609 * CHOOSE(CONTROL!$C$15, $E$9, 100%, $G$9) + CHOOSE(CONTROL!$C$38, 0.0342, 0)</f>
        <v>20.895099999999999</v>
      </c>
      <c r="E134" s="17">
        <f>20.8609 * CHOOSE(CONTROL!$C$15, $E$9, 100%, $G$9) + CHOOSE(CONTROL!$C$38, 0.0342, 0)</f>
        <v>20.895099999999999</v>
      </c>
      <c r="F134" s="45">
        <f>22.0879 * CHOOSE(CONTROL!$C$15, $E$9, 100%, $G$9) + CHOOSE(CONTROL!$C$38, 0.034, 0)</f>
        <v>22.1219</v>
      </c>
      <c r="G134" s="17">
        <f>20.8672 * CHOOSE(CONTROL!$C$15, $E$9, 100%, $G$9) + CHOOSE(CONTROL!$C$38, 0.0342, 0)</f>
        <v>20.901399999999999</v>
      </c>
      <c r="H134" s="17">
        <f>20.8672 * CHOOSE(CONTROL!$C$15, $E$9, 100%, $G$9) + CHOOSE(CONTROL!$C$38, 0.0342, 0)</f>
        <v>20.901399999999999</v>
      </c>
      <c r="I134" s="17">
        <f>20.8687 * CHOOSE(CONTROL!$C$15, $E$9, 100%, $G$9) + CHOOSE(CONTROL!$C$38, 0.0342, 0)</f>
        <v>20.902899999999999</v>
      </c>
      <c r="J134" s="44">
        <f>129.2537</f>
        <v>129.25370000000001</v>
      </c>
    </row>
    <row r="135" spans="1:10" ht="15" x14ac:dyDescent="0.2">
      <c r="A135" s="16">
        <v>45017</v>
      </c>
      <c r="B135" s="17">
        <f>21.4864 * CHOOSE(CONTROL!$C$15, $E$9, 100%, $G$9) + CHOOSE(CONTROL!$C$38, 0.034, 0)</f>
        <v>21.520399999999999</v>
      </c>
      <c r="C135" s="17">
        <f>20.2651 * CHOOSE(CONTROL!$C$15, $E$9, 100%, $G$9) + CHOOSE(CONTROL!$C$38, 0.0342, 0)</f>
        <v>20.299299999999999</v>
      </c>
      <c r="D135" s="17">
        <f>20.2572 * CHOOSE(CONTROL!$C$15, $E$9, 100%, $G$9) + CHOOSE(CONTROL!$C$38, 0.0342, 0)</f>
        <v>20.291399999999999</v>
      </c>
      <c r="E135" s="17">
        <f>20.2572 * CHOOSE(CONTROL!$C$15, $E$9, 100%, $G$9) + CHOOSE(CONTROL!$C$38, 0.0342, 0)</f>
        <v>20.291399999999999</v>
      </c>
      <c r="F135" s="45">
        <f>21.4864 * CHOOSE(CONTROL!$C$15, $E$9, 100%, $G$9) + CHOOSE(CONTROL!$C$38, 0.034, 0)</f>
        <v>21.520399999999999</v>
      </c>
      <c r="G135" s="17">
        <f>20.2635 * CHOOSE(CONTROL!$C$15, $E$9, 100%, $G$9) + CHOOSE(CONTROL!$C$38, 0.0342, 0)</f>
        <v>20.297699999999999</v>
      </c>
      <c r="H135" s="17">
        <f>20.2635 * CHOOSE(CONTROL!$C$15, $E$9, 100%, $G$9) + CHOOSE(CONTROL!$C$38, 0.0342, 0)</f>
        <v>20.297699999999999</v>
      </c>
      <c r="I135" s="17">
        <f>20.2651 * CHOOSE(CONTROL!$C$15, $E$9, 100%, $G$9) + CHOOSE(CONTROL!$C$38, 0.0342, 0)</f>
        <v>20.299299999999999</v>
      </c>
      <c r="J135" s="44">
        <f>137.929</f>
        <v>137.929</v>
      </c>
    </row>
    <row r="136" spans="1:10" ht="15" x14ac:dyDescent="0.2">
      <c r="A136" s="16">
        <v>45047</v>
      </c>
      <c r="B136" s="17">
        <f>20.855 * CHOOSE(CONTROL!$C$15, $E$9, 100%, $G$9) + CHOOSE(CONTROL!$C$38, 0.0353, 0)</f>
        <v>20.8903</v>
      </c>
      <c r="C136" s="17">
        <f>19.6314 * CHOOSE(CONTROL!$C$15, $E$9, 100%, $G$9) + CHOOSE(CONTROL!$C$38, 0.0354, 0)</f>
        <v>19.666799999999999</v>
      </c>
      <c r="D136" s="17">
        <f>19.6236 * CHOOSE(CONTROL!$C$15, $E$9, 100%, $G$9) + CHOOSE(CONTROL!$C$38, 0.0354, 0)</f>
        <v>19.658999999999999</v>
      </c>
      <c r="E136" s="17">
        <f>19.6236 * CHOOSE(CONTROL!$C$15, $E$9, 100%, $G$9) + CHOOSE(CONTROL!$C$38, 0.0354, 0)</f>
        <v>19.658999999999999</v>
      </c>
      <c r="F136" s="45">
        <f>20.855 * CHOOSE(CONTROL!$C$15, $E$9, 100%, $G$9) + CHOOSE(CONTROL!$C$38, 0.0353, 0)</f>
        <v>20.8903</v>
      </c>
      <c r="G136" s="17">
        <f>19.6299 * CHOOSE(CONTROL!$C$15, $E$9, 100%, $G$9) + CHOOSE(CONTROL!$C$38, 0.0354, 0)</f>
        <v>19.665299999999998</v>
      </c>
      <c r="H136" s="17">
        <f>19.6299 * CHOOSE(CONTROL!$C$15, $E$9, 100%, $G$9) + CHOOSE(CONTROL!$C$38, 0.0354, 0)</f>
        <v>19.665299999999998</v>
      </c>
      <c r="I136" s="17">
        <f>19.6314 * CHOOSE(CONTROL!$C$15, $E$9, 100%, $G$9) + CHOOSE(CONTROL!$C$38, 0.0354, 0)</f>
        <v>19.666799999999999</v>
      </c>
      <c r="J136" s="44">
        <f>142.8513</f>
        <v>142.85130000000001</v>
      </c>
    </row>
    <row r="137" spans="1:10" ht="15" x14ac:dyDescent="0.2">
      <c r="A137" s="16">
        <v>45078</v>
      </c>
      <c r="B137" s="17">
        <f>20.4229 * CHOOSE(CONTROL!$C$15, $E$9, 100%, $G$9) + CHOOSE(CONTROL!$C$38, 0.0353, 0)</f>
        <v>20.458199999999998</v>
      </c>
      <c r="C137" s="17">
        <f>19.1971 * CHOOSE(CONTROL!$C$15, $E$9, 100%, $G$9) + CHOOSE(CONTROL!$C$38, 0.0354, 0)</f>
        <v>19.232499999999998</v>
      </c>
      <c r="D137" s="17">
        <f>19.1893 * CHOOSE(CONTROL!$C$15, $E$9, 100%, $G$9) + CHOOSE(CONTROL!$C$38, 0.0354, 0)</f>
        <v>19.224699999999999</v>
      </c>
      <c r="E137" s="17">
        <f>19.1893 * CHOOSE(CONTROL!$C$15, $E$9, 100%, $G$9) + CHOOSE(CONTROL!$C$38, 0.0354, 0)</f>
        <v>19.224699999999999</v>
      </c>
      <c r="F137" s="45">
        <f>20.4229 * CHOOSE(CONTROL!$C$15, $E$9, 100%, $G$9) + CHOOSE(CONTROL!$C$38, 0.0353, 0)</f>
        <v>20.458199999999998</v>
      </c>
      <c r="G137" s="17">
        <f>19.1956 * CHOOSE(CONTROL!$C$15, $E$9, 100%, $G$9) + CHOOSE(CONTROL!$C$38, 0.0354, 0)</f>
        <v>19.230999999999998</v>
      </c>
      <c r="H137" s="17">
        <f>19.1956 * CHOOSE(CONTROL!$C$15, $E$9, 100%, $G$9) + CHOOSE(CONTROL!$C$38, 0.0354, 0)</f>
        <v>19.230999999999998</v>
      </c>
      <c r="I137" s="17">
        <f>19.1971 * CHOOSE(CONTROL!$C$15, $E$9, 100%, $G$9) + CHOOSE(CONTROL!$C$38, 0.0354, 0)</f>
        <v>19.232499999999998</v>
      </c>
      <c r="J137" s="44">
        <f>145.2081</f>
        <v>145.2081</v>
      </c>
    </row>
    <row r="138" spans="1:10" ht="15" x14ac:dyDescent="0.2">
      <c r="A138" s="16">
        <v>45108</v>
      </c>
      <c r="B138" s="17">
        <f>20.1928 * CHOOSE(CONTROL!$C$15, $E$9, 100%, $G$9) + CHOOSE(CONTROL!$C$38, 0.0353, 0)</f>
        <v>20.228099999999998</v>
      </c>
      <c r="C138" s="17">
        <f>18.9648 * CHOOSE(CONTROL!$C$15, $E$9, 100%, $G$9) + CHOOSE(CONTROL!$C$38, 0.0354, 0)</f>
        <v>19.0002</v>
      </c>
      <c r="D138" s="17">
        <f>18.957 * CHOOSE(CONTROL!$C$15, $E$9, 100%, $G$9) + CHOOSE(CONTROL!$C$38, 0.0354, 0)</f>
        <v>18.9924</v>
      </c>
      <c r="E138" s="17">
        <f>18.957 * CHOOSE(CONTROL!$C$15, $E$9, 100%, $G$9) + CHOOSE(CONTROL!$C$38, 0.0354, 0)</f>
        <v>18.9924</v>
      </c>
      <c r="F138" s="45">
        <f>20.1928 * CHOOSE(CONTROL!$C$15, $E$9, 100%, $G$9) + CHOOSE(CONTROL!$C$38, 0.0353, 0)</f>
        <v>20.228099999999998</v>
      </c>
      <c r="G138" s="17">
        <f>18.9632 * CHOOSE(CONTROL!$C$15, $E$9, 100%, $G$9) + CHOOSE(CONTROL!$C$38, 0.0354, 0)</f>
        <v>18.9986</v>
      </c>
      <c r="H138" s="17">
        <f>18.9632 * CHOOSE(CONTROL!$C$15, $E$9, 100%, $G$9) + CHOOSE(CONTROL!$C$38, 0.0354, 0)</f>
        <v>18.9986</v>
      </c>
      <c r="I138" s="17">
        <f>18.9648 * CHOOSE(CONTROL!$C$15, $E$9, 100%, $G$9) + CHOOSE(CONTROL!$C$38, 0.0354, 0)</f>
        <v>19.0002</v>
      </c>
      <c r="J138" s="44">
        <f>144.8267</f>
        <v>144.82669999999999</v>
      </c>
    </row>
    <row r="139" spans="1:10" ht="15" x14ac:dyDescent="0.2">
      <c r="A139" s="16">
        <v>45139</v>
      </c>
      <c r="B139" s="17">
        <f>20.3671 * CHOOSE(CONTROL!$C$15, $E$9, 100%, $G$9) + CHOOSE(CONTROL!$C$38, 0.0353, 0)</f>
        <v>20.4024</v>
      </c>
      <c r="C139" s="17">
        <f>19.1369 * CHOOSE(CONTROL!$C$15, $E$9, 100%, $G$9) + CHOOSE(CONTROL!$C$38, 0.0354, 0)</f>
        <v>19.1723</v>
      </c>
      <c r="D139" s="17">
        <f>19.1291 * CHOOSE(CONTROL!$C$15, $E$9, 100%, $G$9) + CHOOSE(CONTROL!$C$38, 0.0354, 0)</f>
        <v>19.1645</v>
      </c>
      <c r="E139" s="17">
        <f>19.1291 * CHOOSE(CONTROL!$C$15, $E$9, 100%, $G$9) + CHOOSE(CONTROL!$C$38, 0.0354, 0)</f>
        <v>19.1645</v>
      </c>
      <c r="F139" s="45">
        <f>20.3671 * CHOOSE(CONTROL!$C$15, $E$9, 100%, $G$9) + CHOOSE(CONTROL!$C$38, 0.0353, 0)</f>
        <v>20.4024</v>
      </c>
      <c r="G139" s="17">
        <f>19.1353 * CHOOSE(CONTROL!$C$15, $E$9, 100%, $G$9) + CHOOSE(CONTROL!$C$38, 0.0354, 0)</f>
        <v>19.1707</v>
      </c>
      <c r="H139" s="17">
        <f>19.1353 * CHOOSE(CONTROL!$C$15, $E$9, 100%, $G$9) + CHOOSE(CONTROL!$C$38, 0.0354, 0)</f>
        <v>19.1707</v>
      </c>
      <c r="I139" s="17">
        <f>19.1369 * CHOOSE(CONTROL!$C$15, $E$9, 100%, $G$9) + CHOOSE(CONTROL!$C$38, 0.0354, 0)</f>
        <v>19.1723</v>
      </c>
      <c r="J139" s="44">
        <f>141.7466</f>
        <v>141.7466</v>
      </c>
    </row>
    <row r="140" spans="1:10" ht="15" x14ac:dyDescent="0.2">
      <c r="A140" s="16">
        <v>45170</v>
      </c>
      <c r="B140" s="17">
        <f>20.7724 * CHOOSE(CONTROL!$C$15, $E$9, 100%, $G$9) + CHOOSE(CONTROL!$C$38, 0.0353, 0)</f>
        <v>20.807700000000001</v>
      </c>
      <c r="C140" s="17">
        <f>19.5401 * CHOOSE(CONTROL!$C$15, $E$9, 100%, $G$9) + CHOOSE(CONTROL!$C$38, 0.0354, 0)</f>
        <v>19.575499999999998</v>
      </c>
      <c r="D140" s="17">
        <f>19.5322 * CHOOSE(CONTROL!$C$15, $E$9, 100%, $G$9) + CHOOSE(CONTROL!$C$38, 0.0354, 0)</f>
        <v>19.567599999999999</v>
      </c>
      <c r="E140" s="17">
        <f>19.5322 * CHOOSE(CONTROL!$C$15, $E$9, 100%, $G$9) + CHOOSE(CONTROL!$C$38, 0.0354, 0)</f>
        <v>19.567599999999999</v>
      </c>
      <c r="F140" s="45">
        <f>20.7724 * CHOOSE(CONTROL!$C$15, $E$9, 100%, $G$9) + CHOOSE(CONTROL!$C$38, 0.0353, 0)</f>
        <v>20.807700000000001</v>
      </c>
      <c r="G140" s="17">
        <f>19.5385 * CHOOSE(CONTROL!$C$15, $E$9, 100%, $G$9) + CHOOSE(CONTROL!$C$38, 0.0354, 0)</f>
        <v>19.573899999999998</v>
      </c>
      <c r="H140" s="17">
        <f>19.5385 * CHOOSE(CONTROL!$C$15, $E$9, 100%, $G$9) + CHOOSE(CONTROL!$C$38, 0.0354, 0)</f>
        <v>19.573899999999998</v>
      </c>
      <c r="I140" s="17">
        <f>19.5401 * CHOOSE(CONTROL!$C$15, $E$9, 100%, $G$9) + CHOOSE(CONTROL!$C$38, 0.0354, 0)</f>
        <v>19.575499999999998</v>
      </c>
      <c r="J140" s="44">
        <f>137.3174</f>
        <v>137.31739999999999</v>
      </c>
    </row>
    <row r="141" spans="1:10" ht="15" x14ac:dyDescent="0.2">
      <c r="A141" s="16">
        <v>45200</v>
      </c>
      <c r="B141" s="17">
        <f>21.12 * CHOOSE(CONTROL!$C$15, $E$9, 100%, $G$9) + CHOOSE(CONTROL!$C$38, 0.034, 0)</f>
        <v>21.154</v>
      </c>
      <c r="C141" s="17">
        <f>19.8854 * CHOOSE(CONTROL!$C$15, $E$9, 100%, $G$9) + CHOOSE(CONTROL!$C$38, 0.0342, 0)</f>
        <v>19.919599999999999</v>
      </c>
      <c r="D141" s="17">
        <f>19.8776 * CHOOSE(CONTROL!$C$15, $E$9, 100%, $G$9) + CHOOSE(CONTROL!$C$38, 0.0342, 0)</f>
        <v>19.911799999999999</v>
      </c>
      <c r="E141" s="17">
        <f>19.8776 * CHOOSE(CONTROL!$C$15, $E$9, 100%, $G$9) + CHOOSE(CONTROL!$C$38, 0.0342, 0)</f>
        <v>19.911799999999999</v>
      </c>
      <c r="F141" s="45">
        <f>21.12 * CHOOSE(CONTROL!$C$15, $E$9, 100%, $G$9) + CHOOSE(CONTROL!$C$38, 0.034, 0)</f>
        <v>21.154</v>
      </c>
      <c r="G141" s="17">
        <f>19.8839 * CHOOSE(CONTROL!$C$15, $E$9, 100%, $G$9) + CHOOSE(CONTROL!$C$38, 0.0342, 0)</f>
        <v>19.918099999999999</v>
      </c>
      <c r="H141" s="17">
        <f>19.8839 * CHOOSE(CONTROL!$C$15, $E$9, 100%, $G$9) + CHOOSE(CONTROL!$C$38, 0.0342, 0)</f>
        <v>19.918099999999999</v>
      </c>
      <c r="I141" s="17">
        <f>19.8854 * CHOOSE(CONTROL!$C$15, $E$9, 100%, $G$9) + CHOOSE(CONTROL!$C$38, 0.0342, 0)</f>
        <v>19.919599999999999</v>
      </c>
      <c r="J141" s="44">
        <f>132.8419</f>
        <v>132.84190000000001</v>
      </c>
    </row>
    <row r="142" spans="1:10" ht="15" x14ac:dyDescent="0.2">
      <c r="A142" s="16">
        <v>45231</v>
      </c>
      <c r="B142" s="17">
        <f>21.4181 * CHOOSE(CONTROL!$C$15, $E$9, 100%, $G$9) + CHOOSE(CONTROL!$C$38, 0.034, 0)</f>
        <v>21.452099999999998</v>
      </c>
      <c r="C142" s="17">
        <f>20.1813 * CHOOSE(CONTROL!$C$15, $E$9, 100%, $G$9) + CHOOSE(CONTROL!$C$38, 0.0342, 0)</f>
        <v>20.215499999999999</v>
      </c>
      <c r="D142" s="17">
        <f>20.1735 * CHOOSE(CONTROL!$C$15, $E$9, 100%, $G$9) + CHOOSE(CONTROL!$C$38, 0.0342, 0)</f>
        <v>20.207699999999999</v>
      </c>
      <c r="E142" s="17">
        <f>20.1735 * CHOOSE(CONTROL!$C$15, $E$9, 100%, $G$9) + CHOOSE(CONTROL!$C$38, 0.0342, 0)</f>
        <v>20.207699999999999</v>
      </c>
      <c r="F142" s="45">
        <f>21.4181 * CHOOSE(CONTROL!$C$15, $E$9, 100%, $G$9) + CHOOSE(CONTROL!$C$38, 0.034, 0)</f>
        <v>21.452099999999998</v>
      </c>
      <c r="G142" s="17">
        <f>20.1798 * CHOOSE(CONTROL!$C$15, $E$9, 100%, $G$9) + CHOOSE(CONTROL!$C$38, 0.0342, 0)</f>
        <v>20.213999999999999</v>
      </c>
      <c r="H142" s="17">
        <f>20.1798 * CHOOSE(CONTROL!$C$15, $E$9, 100%, $G$9) + CHOOSE(CONTROL!$C$38, 0.0342, 0)</f>
        <v>20.213999999999999</v>
      </c>
      <c r="I142" s="17">
        <f>20.1813 * CHOOSE(CONTROL!$C$15, $E$9, 100%, $G$9) + CHOOSE(CONTROL!$C$38, 0.0342, 0)</f>
        <v>20.215499999999999</v>
      </c>
      <c r="J142" s="44">
        <f>132.1671</f>
        <v>132.1671</v>
      </c>
    </row>
    <row r="143" spans="1:10" ht="15" x14ac:dyDescent="0.2">
      <c r="A143" s="16">
        <v>45261</v>
      </c>
      <c r="B143" s="17">
        <f>22.2512 * CHOOSE(CONTROL!$C$15, $E$9, 100%, $G$9) + CHOOSE(CONTROL!$C$38, 0.034, 0)</f>
        <v>22.2852</v>
      </c>
      <c r="C143" s="17">
        <f>21.0121 * CHOOSE(CONTROL!$C$15, $E$9, 100%, $G$9) + CHOOSE(CONTROL!$C$38, 0.0342, 0)</f>
        <v>21.046299999999999</v>
      </c>
      <c r="D143" s="17">
        <f>21.0043 * CHOOSE(CONTROL!$C$15, $E$9, 100%, $G$9) + CHOOSE(CONTROL!$C$38, 0.0342, 0)</f>
        <v>21.038499999999999</v>
      </c>
      <c r="E143" s="17">
        <f>21.0043 * CHOOSE(CONTROL!$C$15, $E$9, 100%, $G$9) + CHOOSE(CONTROL!$C$38, 0.0342, 0)</f>
        <v>21.038499999999999</v>
      </c>
      <c r="F143" s="45">
        <f>22.2512 * CHOOSE(CONTROL!$C$15, $E$9, 100%, $G$9) + CHOOSE(CONTROL!$C$38, 0.034, 0)</f>
        <v>22.2852</v>
      </c>
      <c r="G143" s="17">
        <f>21.0106 * CHOOSE(CONTROL!$C$15, $E$9, 100%, $G$9) + CHOOSE(CONTROL!$C$38, 0.0342, 0)</f>
        <v>21.044799999999999</v>
      </c>
      <c r="H143" s="17">
        <f>21.0106 * CHOOSE(CONTROL!$C$15, $E$9, 100%, $G$9) + CHOOSE(CONTROL!$C$38, 0.0342, 0)</f>
        <v>21.044799999999999</v>
      </c>
      <c r="I143" s="17">
        <f>21.0121 * CHOOSE(CONTROL!$C$15, $E$9, 100%, $G$9) + CHOOSE(CONTROL!$C$38, 0.0342, 0)</f>
        <v>21.046299999999999</v>
      </c>
      <c r="J143" s="44">
        <f>128.5092</f>
        <v>128.50919999999999</v>
      </c>
    </row>
    <row r="144" spans="1:10" ht="15" x14ac:dyDescent="0.2">
      <c r="A144" s="16">
        <v>45292</v>
      </c>
      <c r="B144" s="17">
        <f>23.5321 * CHOOSE(CONTROL!$C$15, $E$9, 100%, $G$9) + CHOOSE(CONTROL!$C$38, 0.034, 0)</f>
        <v>23.566099999999999</v>
      </c>
      <c r="C144" s="17">
        <f>22.1447 * CHOOSE(CONTROL!$C$15, $E$9, 100%, $G$9) + CHOOSE(CONTROL!$C$38, 0.0342, 0)</f>
        <v>22.178899999999999</v>
      </c>
      <c r="D144" s="17">
        <f>22.1369 * CHOOSE(CONTROL!$C$15, $E$9, 100%, $G$9) + CHOOSE(CONTROL!$C$38, 0.0342, 0)</f>
        <v>22.171099999999999</v>
      </c>
      <c r="E144" s="17">
        <f>22.1369 * CHOOSE(CONTROL!$C$15, $E$9, 100%, $G$9) + CHOOSE(CONTROL!$C$38, 0.0342, 0)</f>
        <v>22.171099999999999</v>
      </c>
      <c r="F144" s="45">
        <f>23.5321 * CHOOSE(CONTROL!$C$15, $E$9, 100%, $G$9) + CHOOSE(CONTROL!$C$38, 0.034, 0)</f>
        <v>23.566099999999999</v>
      </c>
      <c r="G144" s="17">
        <f>22.1431 * CHOOSE(CONTROL!$C$15, $E$9, 100%, $G$9) + CHOOSE(CONTROL!$C$38, 0.0342, 0)</f>
        <v>22.177299999999999</v>
      </c>
      <c r="H144" s="17">
        <f>22.1431 * CHOOSE(CONTROL!$C$15, $E$9, 100%, $G$9) + CHOOSE(CONTROL!$C$38, 0.0342, 0)</f>
        <v>22.177299999999999</v>
      </c>
      <c r="I144" s="17">
        <f>22.1447 * CHOOSE(CONTROL!$C$15, $E$9, 100%, $G$9) + CHOOSE(CONTROL!$C$38, 0.0342, 0)</f>
        <v>22.178899999999999</v>
      </c>
      <c r="J144" s="44">
        <f>128.8694</f>
        <v>128.86940000000001</v>
      </c>
    </row>
    <row r="145" spans="1:10" ht="15" x14ac:dyDescent="0.2">
      <c r="A145" s="16">
        <v>45323</v>
      </c>
      <c r="B145" s="17">
        <f>23.8732 * CHOOSE(CONTROL!$C$15, $E$9, 100%, $G$9) + CHOOSE(CONTROL!$C$38, 0.034, 0)</f>
        <v>23.9072</v>
      </c>
      <c r="C145" s="17">
        <f>22.4832 * CHOOSE(CONTROL!$C$15, $E$9, 100%, $G$9) + CHOOSE(CONTROL!$C$38, 0.0342, 0)</f>
        <v>22.517399999999999</v>
      </c>
      <c r="D145" s="17">
        <f>22.4754 * CHOOSE(CONTROL!$C$15, $E$9, 100%, $G$9) + CHOOSE(CONTROL!$C$38, 0.0342, 0)</f>
        <v>22.509599999999999</v>
      </c>
      <c r="E145" s="17">
        <f>22.4754 * CHOOSE(CONTROL!$C$15, $E$9, 100%, $G$9) + CHOOSE(CONTROL!$C$38, 0.0342, 0)</f>
        <v>22.509599999999999</v>
      </c>
      <c r="F145" s="45">
        <f>23.8732 * CHOOSE(CONTROL!$C$15, $E$9, 100%, $G$9) + CHOOSE(CONTROL!$C$38, 0.034, 0)</f>
        <v>23.9072</v>
      </c>
      <c r="G145" s="17">
        <f>22.4817 * CHOOSE(CONTROL!$C$15, $E$9, 100%, $G$9) + CHOOSE(CONTROL!$C$38, 0.0342, 0)</f>
        <v>22.515899999999998</v>
      </c>
      <c r="H145" s="17">
        <f>22.4817 * CHOOSE(CONTROL!$C$15, $E$9, 100%, $G$9) + CHOOSE(CONTROL!$C$38, 0.0342, 0)</f>
        <v>22.515899999999998</v>
      </c>
      <c r="I145" s="17">
        <f>22.4832 * CHOOSE(CONTROL!$C$15, $E$9, 100%, $G$9) + CHOOSE(CONTROL!$C$38, 0.0342, 0)</f>
        <v>22.517399999999999</v>
      </c>
      <c r="J145" s="44">
        <f>128.7759</f>
        <v>128.77590000000001</v>
      </c>
    </row>
    <row r="146" spans="1:10" ht="15" x14ac:dyDescent="0.2">
      <c r="A146" s="16">
        <v>45352</v>
      </c>
      <c r="B146" s="17">
        <f>23.2394 * CHOOSE(CONTROL!$C$15, $E$9, 100%, $G$9) + CHOOSE(CONTROL!$C$38, 0.034, 0)</f>
        <v>23.273399999999999</v>
      </c>
      <c r="C146" s="17">
        <f>21.8469 * CHOOSE(CONTROL!$C$15, $E$9, 100%, $G$9) + CHOOSE(CONTROL!$C$38, 0.0342, 0)</f>
        <v>21.8811</v>
      </c>
      <c r="D146" s="17">
        <f>21.8391 * CHOOSE(CONTROL!$C$15, $E$9, 100%, $G$9) + CHOOSE(CONTROL!$C$38, 0.0342, 0)</f>
        <v>21.873299999999997</v>
      </c>
      <c r="E146" s="17">
        <f>21.8391 * CHOOSE(CONTROL!$C$15, $E$9, 100%, $G$9) + CHOOSE(CONTROL!$C$38, 0.0342, 0)</f>
        <v>21.873299999999997</v>
      </c>
      <c r="F146" s="45">
        <f>23.2394 * CHOOSE(CONTROL!$C$15, $E$9, 100%, $G$9) + CHOOSE(CONTROL!$C$38, 0.034, 0)</f>
        <v>23.273399999999999</v>
      </c>
      <c r="G146" s="17">
        <f>21.8454 * CHOOSE(CONTROL!$C$15, $E$9, 100%, $G$9) + CHOOSE(CONTROL!$C$38, 0.0342, 0)</f>
        <v>21.8796</v>
      </c>
      <c r="H146" s="17">
        <f>21.8454 * CHOOSE(CONTROL!$C$15, $E$9, 100%, $G$9) + CHOOSE(CONTROL!$C$38, 0.0342, 0)</f>
        <v>21.8796</v>
      </c>
      <c r="I146" s="17">
        <f>21.8469 * CHOOSE(CONTROL!$C$15, $E$9, 100%, $G$9) + CHOOSE(CONTROL!$C$38, 0.0342, 0)</f>
        <v>21.8811</v>
      </c>
      <c r="J146" s="44">
        <f>135.8424</f>
        <v>135.8424</v>
      </c>
    </row>
    <row r="147" spans="1:10" ht="15" x14ac:dyDescent="0.2">
      <c r="A147" s="16">
        <v>45383</v>
      </c>
      <c r="B147" s="17">
        <f>22.6242 * CHOOSE(CONTROL!$C$15, $E$9, 100%, $G$9) + CHOOSE(CONTROL!$C$38, 0.034, 0)</f>
        <v>22.658199999999997</v>
      </c>
      <c r="C147" s="17">
        <f>21.2291 * CHOOSE(CONTROL!$C$15, $E$9, 100%, $G$9) + CHOOSE(CONTROL!$C$38, 0.0342, 0)</f>
        <v>21.263299999999997</v>
      </c>
      <c r="D147" s="17">
        <f>21.2213 * CHOOSE(CONTROL!$C$15, $E$9, 100%, $G$9) + CHOOSE(CONTROL!$C$38, 0.0342, 0)</f>
        <v>21.255499999999998</v>
      </c>
      <c r="E147" s="17">
        <f>21.2213 * CHOOSE(CONTROL!$C$15, $E$9, 100%, $G$9) + CHOOSE(CONTROL!$C$38, 0.0342, 0)</f>
        <v>21.255499999999998</v>
      </c>
      <c r="F147" s="45">
        <f>22.6242 * CHOOSE(CONTROL!$C$15, $E$9, 100%, $G$9) + CHOOSE(CONTROL!$C$38, 0.034, 0)</f>
        <v>22.658199999999997</v>
      </c>
      <c r="G147" s="17">
        <f>21.2276 * CHOOSE(CONTROL!$C$15, $E$9, 100%, $G$9) + CHOOSE(CONTROL!$C$38, 0.0342, 0)</f>
        <v>21.261799999999997</v>
      </c>
      <c r="H147" s="17">
        <f>21.2276 * CHOOSE(CONTROL!$C$15, $E$9, 100%, $G$9) + CHOOSE(CONTROL!$C$38, 0.0342, 0)</f>
        <v>21.261799999999997</v>
      </c>
      <c r="I147" s="17">
        <f>21.2291 * CHOOSE(CONTROL!$C$15, $E$9, 100%, $G$9) + CHOOSE(CONTROL!$C$38, 0.0342, 0)</f>
        <v>21.263299999999997</v>
      </c>
      <c r="J147" s="44">
        <f>144.9599</f>
        <v>144.9599</v>
      </c>
    </row>
    <row r="148" spans="1:10" ht="15" x14ac:dyDescent="0.2">
      <c r="A148" s="16">
        <v>45413</v>
      </c>
      <c r="B148" s="17">
        <f>21.9782 * CHOOSE(CONTROL!$C$15, $E$9, 100%, $G$9) + CHOOSE(CONTROL!$C$38, 0.0353, 0)</f>
        <v>22.013500000000001</v>
      </c>
      <c r="C148" s="17">
        <f>20.5806 * CHOOSE(CONTROL!$C$15, $E$9, 100%, $G$9) + CHOOSE(CONTROL!$C$38, 0.0354, 0)</f>
        <v>20.616</v>
      </c>
      <c r="D148" s="17">
        <f>20.5728 * CHOOSE(CONTROL!$C$15, $E$9, 100%, $G$9) + CHOOSE(CONTROL!$C$38, 0.0354, 0)</f>
        <v>20.6082</v>
      </c>
      <c r="E148" s="17">
        <f>20.5728 * CHOOSE(CONTROL!$C$15, $E$9, 100%, $G$9) + CHOOSE(CONTROL!$C$38, 0.0354, 0)</f>
        <v>20.6082</v>
      </c>
      <c r="F148" s="45">
        <f>21.9782 * CHOOSE(CONTROL!$C$15, $E$9, 100%, $G$9) + CHOOSE(CONTROL!$C$38, 0.0353, 0)</f>
        <v>22.013500000000001</v>
      </c>
      <c r="G148" s="17">
        <f>20.5791 * CHOOSE(CONTROL!$C$15, $E$9, 100%, $G$9) + CHOOSE(CONTROL!$C$38, 0.0354, 0)</f>
        <v>20.6145</v>
      </c>
      <c r="H148" s="17">
        <f>20.5791 * CHOOSE(CONTROL!$C$15, $E$9, 100%, $G$9) + CHOOSE(CONTROL!$C$38, 0.0354, 0)</f>
        <v>20.6145</v>
      </c>
      <c r="I148" s="17">
        <f>20.5806 * CHOOSE(CONTROL!$C$15, $E$9, 100%, $G$9) + CHOOSE(CONTROL!$C$38, 0.0354, 0)</f>
        <v>20.616</v>
      </c>
      <c r="J148" s="44">
        <f>150.1331</f>
        <v>150.13310000000001</v>
      </c>
    </row>
    <row r="149" spans="1:10" ht="15" x14ac:dyDescent="0.2">
      <c r="A149" s="16">
        <v>45444</v>
      </c>
      <c r="B149" s="17">
        <f>21.5366 * CHOOSE(CONTROL!$C$15, $E$9, 100%, $G$9) + CHOOSE(CONTROL!$C$38, 0.0353, 0)</f>
        <v>21.571899999999999</v>
      </c>
      <c r="C149" s="17">
        <f>20.1365 * CHOOSE(CONTROL!$C$15, $E$9, 100%, $G$9) + CHOOSE(CONTROL!$C$38, 0.0354, 0)</f>
        <v>20.171900000000001</v>
      </c>
      <c r="D149" s="17">
        <f>20.1286 * CHOOSE(CONTROL!$C$15, $E$9, 100%, $G$9) + CHOOSE(CONTROL!$C$38, 0.0354, 0)</f>
        <v>20.163999999999998</v>
      </c>
      <c r="E149" s="17">
        <f>20.1286 * CHOOSE(CONTROL!$C$15, $E$9, 100%, $G$9) + CHOOSE(CONTROL!$C$38, 0.0354, 0)</f>
        <v>20.163999999999998</v>
      </c>
      <c r="F149" s="45">
        <f>21.5366 * CHOOSE(CONTROL!$C$15, $E$9, 100%, $G$9) + CHOOSE(CONTROL!$C$38, 0.0353, 0)</f>
        <v>21.571899999999999</v>
      </c>
      <c r="G149" s="17">
        <f>20.1349 * CHOOSE(CONTROL!$C$15, $E$9, 100%, $G$9) + CHOOSE(CONTROL!$C$38, 0.0354, 0)</f>
        <v>20.170299999999997</v>
      </c>
      <c r="H149" s="17">
        <f>20.1349 * CHOOSE(CONTROL!$C$15, $E$9, 100%, $G$9) + CHOOSE(CONTROL!$C$38, 0.0354, 0)</f>
        <v>20.170299999999997</v>
      </c>
      <c r="I149" s="17">
        <f>20.1365 * CHOOSE(CONTROL!$C$15, $E$9, 100%, $G$9) + CHOOSE(CONTROL!$C$38, 0.0354, 0)</f>
        <v>20.171900000000001</v>
      </c>
      <c r="J149" s="44">
        <f>152.6101</f>
        <v>152.61009999999999</v>
      </c>
    </row>
    <row r="150" spans="1:10" ht="15" x14ac:dyDescent="0.2">
      <c r="A150" s="16">
        <v>45474</v>
      </c>
      <c r="B150" s="17">
        <f>21.302 * CHOOSE(CONTROL!$C$15, $E$9, 100%, $G$9) + CHOOSE(CONTROL!$C$38, 0.0353, 0)</f>
        <v>21.337299999999999</v>
      </c>
      <c r="C150" s="17">
        <f>19.8993 * CHOOSE(CONTROL!$C$15, $E$9, 100%, $G$9) + CHOOSE(CONTROL!$C$38, 0.0354, 0)</f>
        <v>19.934699999999999</v>
      </c>
      <c r="D150" s="17">
        <f>19.8915 * CHOOSE(CONTROL!$C$15, $E$9, 100%, $G$9) + CHOOSE(CONTROL!$C$38, 0.0354, 0)</f>
        <v>19.9269</v>
      </c>
      <c r="E150" s="17">
        <f>19.8915 * CHOOSE(CONTROL!$C$15, $E$9, 100%, $G$9) + CHOOSE(CONTROL!$C$38, 0.0354, 0)</f>
        <v>19.9269</v>
      </c>
      <c r="F150" s="45">
        <f>21.302 * CHOOSE(CONTROL!$C$15, $E$9, 100%, $G$9) + CHOOSE(CONTROL!$C$38, 0.0353, 0)</f>
        <v>21.337299999999999</v>
      </c>
      <c r="G150" s="17">
        <f>19.8977 * CHOOSE(CONTROL!$C$15, $E$9, 100%, $G$9) + CHOOSE(CONTROL!$C$38, 0.0354, 0)</f>
        <v>19.9331</v>
      </c>
      <c r="H150" s="17">
        <f>19.8977 * CHOOSE(CONTROL!$C$15, $E$9, 100%, $G$9) + CHOOSE(CONTROL!$C$38, 0.0354, 0)</f>
        <v>19.9331</v>
      </c>
      <c r="I150" s="17">
        <f>19.8993 * CHOOSE(CONTROL!$C$15, $E$9, 100%, $G$9) + CHOOSE(CONTROL!$C$38, 0.0354, 0)</f>
        <v>19.934699999999999</v>
      </c>
      <c r="J150" s="44">
        <f>152.2093</f>
        <v>152.20930000000001</v>
      </c>
    </row>
    <row r="151" spans="1:10" ht="15" x14ac:dyDescent="0.2">
      <c r="A151" s="16">
        <v>45505</v>
      </c>
      <c r="B151" s="17">
        <f>21.4819 * CHOOSE(CONTROL!$C$15, $E$9, 100%, $G$9) + CHOOSE(CONTROL!$C$38, 0.0353, 0)</f>
        <v>21.517199999999999</v>
      </c>
      <c r="C151" s="17">
        <f>20.0767 * CHOOSE(CONTROL!$C$15, $E$9, 100%, $G$9) + CHOOSE(CONTROL!$C$38, 0.0354, 0)</f>
        <v>20.112099999999998</v>
      </c>
      <c r="D151" s="17">
        <f>20.0688 * CHOOSE(CONTROL!$C$15, $E$9, 100%, $G$9) + CHOOSE(CONTROL!$C$38, 0.0354, 0)</f>
        <v>20.104199999999999</v>
      </c>
      <c r="E151" s="17">
        <f>20.0688 * CHOOSE(CONTROL!$C$15, $E$9, 100%, $G$9) + CHOOSE(CONTROL!$C$38, 0.0354, 0)</f>
        <v>20.104199999999999</v>
      </c>
      <c r="F151" s="45">
        <f>21.4819 * CHOOSE(CONTROL!$C$15, $E$9, 100%, $G$9) + CHOOSE(CONTROL!$C$38, 0.0353, 0)</f>
        <v>21.517199999999999</v>
      </c>
      <c r="G151" s="17">
        <f>20.0751 * CHOOSE(CONTROL!$C$15, $E$9, 100%, $G$9) + CHOOSE(CONTROL!$C$38, 0.0354, 0)</f>
        <v>20.110499999999998</v>
      </c>
      <c r="H151" s="17">
        <f>20.0751 * CHOOSE(CONTROL!$C$15, $E$9, 100%, $G$9) + CHOOSE(CONTROL!$C$38, 0.0354, 0)</f>
        <v>20.110499999999998</v>
      </c>
      <c r="I151" s="17">
        <f>20.0767 * CHOOSE(CONTROL!$C$15, $E$9, 100%, $G$9) + CHOOSE(CONTROL!$C$38, 0.0354, 0)</f>
        <v>20.112099999999998</v>
      </c>
      <c r="J151" s="44">
        <f>148.9721</f>
        <v>148.97210000000001</v>
      </c>
    </row>
    <row r="152" spans="1:10" ht="15" x14ac:dyDescent="0.2">
      <c r="A152" s="16">
        <v>45536</v>
      </c>
      <c r="B152" s="17">
        <f>21.8987 * CHOOSE(CONTROL!$C$15, $E$9, 100%, $G$9) + CHOOSE(CONTROL!$C$38, 0.0353, 0)</f>
        <v>21.934000000000001</v>
      </c>
      <c r="C152" s="17">
        <f>20.4909 * CHOOSE(CONTROL!$C$15, $E$9, 100%, $G$9) + CHOOSE(CONTROL!$C$38, 0.0354, 0)</f>
        <v>20.526299999999999</v>
      </c>
      <c r="D152" s="17">
        <f>20.483 * CHOOSE(CONTROL!$C$15, $E$9, 100%, $G$9) + CHOOSE(CONTROL!$C$38, 0.0354, 0)</f>
        <v>20.5184</v>
      </c>
      <c r="E152" s="17">
        <f>20.483 * CHOOSE(CONTROL!$C$15, $E$9, 100%, $G$9) + CHOOSE(CONTROL!$C$38, 0.0354, 0)</f>
        <v>20.5184</v>
      </c>
      <c r="F152" s="45">
        <f>21.8987 * CHOOSE(CONTROL!$C$15, $E$9, 100%, $G$9) + CHOOSE(CONTROL!$C$38, 0.0353, 0)</f>
        <v>21.934000000000001</v>
      </c>
      <c r="G152" s="17">
        <f>20.4893 * CHOOSE(CONTROL!$C$15, $E$9, 100%, $G$9) + CHOOSE(CONTROL!$C$38, 0.0354, 0)</f>
        <v>20.524699999999999</v>
      </c>
      <c r="H152" s="17">
        <f>20.4893 * CHOOSE(CONTROL!$C$15, $E$9, 100%, $G$9) + CHOOSE(CONTROL!$C$38, 0.0354, 0)</f>
        <v>20.524699999999999</v>
      </c>
      <c r="I152" s="17">
        <f>20.4909 * CHOOSE(CONTROL!$C$15, $E$9, 100%, $G$9) + CHOOSE(CONTROL!$C$38, 0.0354, 0)</f>
        <v>20.526299999999999</v>
      </c>
      <c r="J152" s="44">
        <f>144.3172</f>
        <v>144.31720000000001</v>
      </c>
    </row>
    <row r="153" spans="1:10" ht="15" x14ac:dyDescent="0.2">
      <c r="A153" s="16">
        <v>45566</v>
      </c>
      <c r="B153" s="17">
        <f>22.2563 * CHOOSE(CONTROL!$C$15, $E$9, 100%, $G$9) + CHOOSE(CONTROL!$C$38, 0.034, 0)</f>
        <v>22.290299999999998</v>
      </c>
      <c r="C153" s="17">
        <f>20.8458 * CHOOSE(CONTROL!$C$15, $E$9, 100%, $G$9) + CHOOSE(CONTROL!$C$38, 0.0342, 0)</f>
        <v>20.88</v>
      </c>
      <c r="D153" s="17">
        <f>20.838 * CHOOSE(CONTROL!$C$15, $E$9, 100%, $G$9) + CHOOSE(CONTROL!$C$38, 0.0342, 0)</f>
        <v>20.872199999999999</v>
      </c>
      <c r="E153" s="17">
        <f>20.838 * CHOOSE(CONTROL!$C$15, $E$9, 100%, $G$9) + CHOOSE(CONTROL!$C$38, 0.0342, 0)</f>
        <v>20.872199999999999</v>
      </c>
      <c r="F153" s="45">
        <f>22.2563 * CHOOSE(CONTROL!$C$15, $E$9, 100%, $G$9) + CHOOSE(CONTROL!$C$38, 0.034, 0)</f>
        <v>22.290299999999998</v>
      </c>
      <c r="G153" s="17">
        <f>20.8443 * CHOOSE(CONTROL!$C$15, $E$9, 100%, $G$9) + CHOOSE(CONTROL!$C$38, 0.0342, 0)</f>
        <v>20.878499999999999</v>
      </c>
      <c r="H153" s="17">
        <f>20.8443 * CHOOSE(CONTROL!$C$15, $E$9, 100%, $G$9) + CHOOSE(CONTROL!$C$38, 0.0342, 0)</f>
        <v>20.878499999999999</v>
      </c>
      <c r="I153" s="17">
        <f>20.8458 * CHOOSE(CONTROL!$C$15, $E$9, 100%, $G$9) + CHOOSE(CONTROL!$C$38, 0.0342, 0)</f>
        <v>20.88</v>
      </c>
      <c r="J153" s="44">
        <f>139.6136</f>
        <v>139.61359999999999</v>
      </c>
    </row>
    <row r="154" spans="1:10" ht="15" x14ac:dyDescent="0.2">
      <c r="A154" s="16">
        <v>45597</v>
      </c>
      <c r="B154" s="17">
        <f>22.5631 * CHOOSE(CONTROL!$C$15, $E$9, 100%, $G$9) + CHOOSE(CONTROL!$C$38, 0.034, 0)</f>
        <v>22.597099999999998</v>
      </c>
      <c r="C154" s="17">
        <f>21.1501 * CHOOSE(CONTROL!$C$15, $E$9, 100%, $G$9) + CHOOSE(CONTROL!$C$38, 0.0342, 0)</f>
        <v>21.184299999999997</v>
      </c>
      <c r="D154" s="17">
        <f>21.1423 * CHOOSE(CONTROL!$C$15, $E$9, 100%, $G$9) + CHOOSE(CONTROL!$C$38, 0.0342, 0)</f>
        <v>21.176499999999997</v>
      </c>
      <c r="E154" s="17">
        <f>21.1423 * CHOOSE(CONTROL!$C$15, $E$9, 100%, $G$9) + CHOOSE(CONTROL!$C$38, 0.0342, 0)</f>
        <v>21.176499999999997</v>
      </c>
      <c r="F154" s="45">
        <f>22.5631 * CHOOSE(CONTROL!$C$15, $E$9, 100%, $G$9) + CHOOSE(CONTROL!$C$38, 0.034, 0)</f>
        <v>22.597099999999998</v>
      </c>
      <c r="G154" s="17">
        <f>21.1486 * CHOOSE(CONTROL!$C$15, $E$9, 100%, $G$9) + CHOOSE(CONTROL!$C$38, 0.0342, 0)</f>
        <v>21.182799999999997</v>
      </c>
      <c r="H154" s="17">
        <f>21.1486 * CHOOSE(CONTROL!$C$15, $E$9, 100%, $G$9) + CHOOSE(CONTROL!$C$38, 0.0342, 0)</f>
        <v>21.182799999999997</v>
      </c>
      <c r="I154" s="17">
        <f>21.1501 * CHOOSE(CONTROL!$C$15, $E$9, 100%, $G$9) + CHOOSE(CONTROL!$C$38, 0.0342, 0)</f>
        <v>21.184299999999997</v>
      </c>
      <c r="J154" s="44">
        <f>138.9043</f>
        <v>138.90430000000001</v>
      </c>
    </row>
    <row r="155" spans="1:10" ht="15" x14ac:dyDescent="0.2">
      <c r="A155" s="16">
        <v>45627</v>
      </c>
      <c r="B155" s="17">
        <f>23.4183 * CHOOSE(CONTROL!$C$15, $E$9, 100%, $G$9) + CHOOSE(CONTROL!$C$38, 0.034, 0)</f>
        <v>23.452299999999997</v>
      </c>
      <c r="C155" s="17">
        <f>22.0027 * CHOOSE(CONTROL!$C$15, $E$9, 100%, $G$9) + CHOOSE(CONTROL!$C$38, 0.0342, 0)</f>
        <v>22.036899999999999</v>
      </c>
      <c r="D155" s="17">
        <f>21.9949 * CHOOSE(CONTROL!$C$15, $E$9, 100%, $G$9) + CHOOSE(CONTROL!$C$38, 0.0342, 0)</f>
        <v>22.0291</v>
      </c>
      <c r="E155" s="17">
        <f>21.9949 * CHOOSE(CONTROL!$C$15, $E$9, 100%, $G$9) + CHOOSE(CONTROL!$C$38, 0.0342, 0)</f>
        <v>22.0291</v>
      </c>
      <c r="F155" s="45">
        <f>23.4183 * CHOOSE(CONTROL!$C$15, $E$9, 100%, $G$9) + CHOOSE(CONTROL!$C$38, 0.034, 0)</f>
        <v>23.452299999999997</v>
      </c>
      <c r="G155" s="17">
        <f>22.0011 * CHOOSE(CONTROL!$C$15, $E$9, 100%, $G$9) + CHOOSE(CONTROL!$C$38, 0.0342, 0)</f>
        <v>22.035299999999999</v>
      </c>
      <c r="H155" s="17">
        <f>22.0011 * CHOOSE(CONTROL!$C$15, $E$9, 100%, $G$9) + CHOOSE(CONTROL!$C$38, 0.0342, 0)</f>
        <v>22.035299999999999</v>
      </c>
      <c r="I155" s="17">
        <f>22.0027 * CHOOSE(CONTROL!$C$15, $E$9, 100%, $G$9) + CHOOSE(CONTROL!$C$38, 0.0342, 0)</f>
        <v>22.036899999999999</v>
      </c>
      <c r="J155" s="44">
        <f>135.0599</f>
        <v>135.0599</v>
      </c>
    </row>
    <row r="156" spans="1:10" ht="15" x14ac:dyDescent="0.2">
      <c r="A156" s="16">
        <v>45658</v>
      </c>
      <c r="B156" s="17">
        <f>24.6951 * CHOOSE(CONTROL!$C$15, $E$9, 100%, $G$9) + CHOOSE(CONTROL!$C$38, 0.034, 0)</f>
        <v>24.729099999999999</v>
      </c>
      <c r="C156" s="17">
        <f>23.1414 * CHOOSE(CONTROL!$C$15, $E$9, 100%, $G$9) + CHOOSE(CONTROL!$C$38, 0.0342, 0)</f>
        <v>23.175599999999999</v>
      </c>
      <c r="D156" s="17">
        <f>23.1336 * CHOOSE(CONTROL!$C$15, $E$9, 100%, $G$9) + CHOOSE(CONTROL!$C$38, 0.0342, 0)</f>
        <v>23.1678</v>
      </c>
      <c r="E156" s="17">
        <f>23.1336 * CHOOSE(CONTROL!$C$15, $E$9, 100%, $G$9) + CHOOSE(CONTROL!$C$38, 0.0342, 0)</f>
        <v>23.1678</v>
      </c>
      <c r="F156" s="45">
        <f>24.6951 * CHOOSE(CONTROL!$C$15, $E$9, 100%, $G$9) + CHOOSE(CONTROL!$C$38, 0.034, 0)</f>
        <v>24.729099999999999</v>
      </c>
      <c r="G156" s="17">
        <f>23.1398 * CHOOSE(CONTROL!$C$15, $E$9, 100%, $G$9) + CHOOSE(CONTROL!$C$38, 0.0342, 0)</f>
        <v>23.173999999999999</v>
      </c>
      <c r="H156" s="17">
        <f>23.1398 * CHOOSE(CONTROL!$C$15, $E$9, 100%, $G$9) + CHOOSE(CONTROL!$C$38, 0.0342, 0)</f>
        <v>23.173999999999999</v>
      </c>
      <c r="I156" s="17">
        <f>23.1414 * CHOOSE(CONTROL!$C$15, $E$9, 100%, $G$9) + CHOOSE(CONTROL!$C$38, 0.0342, 0)</f>
        <v>23.175599999999999</v>
      </c>
      <c r="J156" s="44">
        <f>135.432</f>
        <v>135.43199999999999</v>
      </c>
    </row>
    <row r="157" spans="1:10" ht="15" x14ac:dyDescent="0.2">
      <c r="A157" s="16">
        <v>45689</v>
      </c>
      <c r="B157" s="17">
        <f>25.0459 * CHOOSE(CONTROL!$C$15, $E$9, 100%, $G$9) + CHOOSE(CONTROL!$C$38, 0.034, 0)</f>
        <v>25.079899999999999</v>
      </c>
      <c r="C157" s="17">
        <f>23.4893 * CHOOSE(CONTROL!$C$15, $E$9, 100%, $G$9) + CHOOSE(CONTROL!$C$38, 0.0342, 0)</f>
        <v>23.523499999999999</v>
      </c>
      <c r="D157" s="17">
        <f>23.4815 * CHOOSE(CONTROL!$C$15, $E$9, 100%, $G$9) + CHOOSE(CONTROL!$C$38, 0.0342, 0)</f>
        <v>23.515699999999999</v>
      </c>
      <c r="E157" s="17">
        <f>23.4815 * CHOOSE(CONTROL!$C$15, $E$9, 100%, $G$9) + CHOOSE(CONTROL!$C$38, 0.0342, 0)</f>
        <v>23.515699999999999</v>
      </c>
      <c r="F157" s="45">
        <f>25.0459 * CHOOSE(CONTROL!$C$15, $E$9, 100%, $G$9) + CHOOSE(CONTROL!$C$38, 0.034, 0)</f>
        <v>25.079899999999999</v>
      </c>
      <c r="G157" s="17">
        <f>23.4878 * CHOOSE(CONTROL!$C$15, $E$9, 100%, $G$9) + CHOOSE(CONTROL!$C$38, 0.0342, 0)</f>
        <v>23.521999999999998</v>
      </c>
      <c r="H157" s="17">
        <f>23.4878 * CHOOSE(CONTROL!$C$15, $E$9, 100%, $G$9) + CHOOSE(CONTROL!$C$38, 0.0342, 0)</f>
        <v>23.521999999999998</v>
      </c>
      <c r="I157" s="17">
        <f>23.4893 * CHOOSE(CONTROL!$C$15, $E$9, 100%, $G$9) + CHOOSE(CONTROL!$C$38, 0.0342, 0)</f>
        <v>23.523499999999999</v>
      </c>
      <c r="J157" s="44">
        <f>135.3337</f>
        <v>135.33369999999999</v>
      </c>
    </row>
    <row r="158" spans="1:10" ht="15" x14ac:dyDescent="0.2">
      <c r="A158" s="16">
        <v>45717</v>
      </c>
      <c r="B158" s="17">
        <f>24.3976 * CHOOSE(CONTROL!$C$15, $E$9, 100%, $G$9) + CHOOSE(CONTROL!$C$38, 0.034, 0)</f>
        <v>24.4316</v>
      </c>
      <c r="C158" s="17">
        <f>22.8381 * CHOOSE(CONTROL!$C$15, $E$9, 100%, $G$9) + CHOOSE(CONTROL!$C$38, 0.0342, 0)</f>
        <v>22.872299999999999</v>
      </c>
      <c r="D158" s="17">
        <f>22.8303 * CHOOSE(CONTROL!$C$15, $E$9, 100%, $G$9) + CHOOSE(CONTROL!$C$38, 0.0342, 0)</f>
        <v>22.8645</v>
      </c>
      <c r="E158" s="17">
        <f>22.8303 * CHOOSE(CONTROL!$C$15, $E$9, 100%, $G$9) + CHOOSE(CONTROL!$C$38, 0.0342, 0)</f>
        <v>22.8645</v>
      </c>
      <c r="F158" s="45">
        <f>24.3976 * CHOOSE(CONTROL!$C$15, $E$9, 100%, $G$9) + CHOOSE(CONTROL!$C$38, 0.034, 0)</f>
        <v>24.4316</v>
      </c>
      <c r="G158" s="17">
        <f>22.8365 * CHOOSE(CONTROL!$C$15, $E$9, 100%, $G$9) + CHOOSE(CONTROL!$C$38, 0.0342, 0)</f>
        <v>22.870699999999999</v>
      </c>
      <c r="H158" s="17">
        <f>22.8365 * CHOOSE(CONTROL!$C$15, $E$9, 100%, $G$9) + CHOOSE(CONTROL!$C$38, 0.0342, 0)</f>
        <v>22.870699999999999</v>
      </c>
      <c r="I158" s="17">
        <f>22.8381 * CHOOSE(CONTROL!$C$15, $E$9, 100%, $G$9) + CHOOSE(CONTROL!$C$38, 0.0342, 0)</f>
        <v>22.872299999999999</v>
      </c>
      <c r="J158" s="44">
        <f>142.7601</f>
        <v>142.76009999999999</v>
      </c>
    </row>
    <row r="159" spans="1:10" ht="15" x14ac:dyDescent="0.2">
      <c r="A159" s="16">
        <v>45748</v>
      </c>
      <c r="B159" s="17">
        <f>23.7681 * CHOOSE(CONTROL!$C$15, $E$9, 100%, $G$9) + CHOOSE(CONTROL!$C$38, 0.034, 0)</f>
        <v>23.802099999999999</v>
      </c>
      <c r="C159" s="17">
        <f>22.2058 * CHOOSE(CONTROL!$C$15, $E$9, 100%, $G$9) + CHOOSE(CONTROL!$C$38, 0.0342, 0)</f>
        <v>22.24</v>
      </c>
      <c r="D159" s="17">
        <f>22.198 * CHOOSE(CONTROL!$C$15, $E$9, 100%, $G$9) + CHOOSE(CONTROL!$C$38, 0.0342, 0)</f>
        <v>22.232199999999999</v>
      </c>
      <c r="E159" s="17">
        <f>22.198 * CHOOSE(CONTROL!$C$15, $E$9, 100%, $G$9) + CHOOSE(CONTROL!$C$38, 0.0342, 0)</f>
        <v>22.232199999999999</v>
      </c>
      <c r="F159" s="45">
        <f>23.7681 * CHOOSE(CONTROL!$C$15, $E$9, 100%, $G$9) + CHOOSE(CONTROL!$C$38, 0.034, 0)</f>
        <v>23.802099999999999</v>
      </c>
      <c r="G159" s="17">
        <f>22.2042 * CHOOSE(CONTROL!$C$15, $E$9, 100%, $G$9) + CHOOSE(CONTROL!$C$38, 0.0342, 0)</f>
        <v>22.238399999999999</v>
      </c>
      <c r="H159" s="17">
        <f>22.2042 * CHOOSE(CONTROL!$C$15, $E$9, 100%, $G$9) + CHOOSE(CONTROL!$C$38, 0.0342, 0)</f>
        <v>22.238399999999999</v>
      </c>
      <c r="I159" s="17">
        <f>22.2058 * CHOOSE(CONTROL!$C$15, $E$9, 100%, $G$9) + CHOOSE(CONTROL!$C$38, 0.0342, 0)</f>
        <v>22.24</v>
      </c>
      <c r="J159" s="44">
        <f>152.3419</f>
        <v>152.34190000000001</v>
      </c>
    </row>
    <row r="160" spans="1:10" ht="15" x14ac:dyDescent="0.2">
      <c r="A160" s="16">
        <v>45778</v>
      </c>
      <c r="B160" s="17">
        <f>23.1073 * CHOOSE(CONTROL!$C$15, $E$9, 100%, $G$9) + CHOOSE(CONTROL!$C$38, 0.0353, 0)</f>
        <v>23.142599999999998</v>
      </c>
      <c r="C160" s="17">
        <f>21.542 * CHOOSE(CONTROL!$C$15, $E$9, 100%, $G$9) + CHOOSE(CONTROL!$C$38, 0.0354, 0)</f>
        <v>21.577400000000001</v>
      </c>
      <c r="D160" s="17">
        <f>21.5342 * CHOOSE(CONTROL!$C$15, $E$9, 100%, $G$9) + CHOOSE(CONTROL!$C$38, 0.0354, 0)</f>
        <v>21.569599999999998</v>
      </c>
      <c r="E160" s="17">
        <f>21.5342 * CHOOSE(CONTROL!$C$15, $E$9, 100%, $G$9) + CHOOSE(CONTROL!$C$38, 0.0354, 0)</f>
        <v>21.569599999999998</v>
      </c>
      <c r="F160" s="45">
        <f>23.1073 * CHOOSE(CONTROL!$C$15, $E$9, 100%, $G$9) + CHOOSE(CONTROL!$C$38, 0.0353, 0)</f>
        <v>23.142599999999998</v>
      </c>
      <c r="G160" s="17">
        <f>21.5404 * CHOOSE(CONTROL!$C$15, $E$9, 100%, $G$9) + CHOOSE(CONTROL!$C$38, 0.0354, 0)</f>
        <v>21.575800000000001</v>
      </c>
      <c r="H160" s="17">
        <f>21.5404 * CHOOSE(CONTROL!$C$15, $E$9, 100%, $G$9) + CHOOSE(CONTROL!$C$38, 0.0354, 0)</f>
        <v>21.575800000000001</v>
      </c>
      <c r="I160" s="17">
        <f>21.542 * CHOOSE(CONTROL!$C$15, $E$9, 100%, $G$9) + CHOOSE(CONTROL!$C$38, 0.0354, 0)</f>
        <v>21.577400000000001</v>
      </c>
      <c r="J160" s="44">
        <f>157.7785</f>
        <v>157.77850000000001</v>
      </c>
    </row>
    <row r="161" spans="1:10" ht="15" x14ac:dyDescent="0.2">
      <c r="A161" s="16">
        <v>45809</v>
      </c>
      <c r="B161" s="17">
        <f>22.6558 * CHOOSE(CONTROL!$C$15, $E$9, 100%, $G$9) + CHOOSE(CONTROL!$C$38, 0.0353, 0)</f>
        <v>22.691099999999999</v>
      </c>
      <c r="C161" s="17">
        <f>21.0877 * CHOOSE(CONTROL!$C$15, $E$9, 100%, $G$9) + CHOOSE(CONTROL!$C$38, 0.0354, 0)</f>
        <v>21.123100000000001</v>
      </c>
      <c r="D161" s="17">
        <f>21.0799 * CHOOSE(CONTROL!$C$15, $E$9, 100%, $G$9) + CHOOSE(CONTROL!$C$38, 0.0354, 0)</f>
        <v>21.115299999999998</v>
      </c>
      <c r="E161" s="17">
        <f>21.0799 * CHOOSE(CONTROL!$C$15, $E$9, 100%, $G$9) + CHOOSE(CONTROL!$C$38, 0.0354, 0)</f>
        <v>21.115299999999998</v>
      </c>
      <c r="F161" s="45">
        <f>22.6558 * CHOOSE(CONTROL!$C$15, $E$9, 100%, $G$9) + CHOOSE(CONTROL!$C$38, 0.0353, 0)</f>
        <v>22.691099999999999</v>
      </c>
      <c r="G161" s="17">
        <f>21.0861 * CHOOSE(CONTROL!$C$15, $E$9, 100%, $G$9) + CHOOSE(CONTROL!$C$38, 0.0354, 0)</f>
        <v>21.121499999999997</v>
      </c>
      <c r="H161" s="17">
        <f>21.0861 * CHOOSE(CONTROL!$C$15, $E$9, 100%, $G$9) + CHOOSE(CONTROL!$C$38, 0.0354, 0)</f>
        <v>21.121499999999997</v>
      </c>
      <c r="I161" s="17">
        <f>21.0877 * CHOOSE(CONTROL!$C$15, $E$9, 100%, $G$9) + CHOOSE(CONTROL!$C$38, 0.0354, 0)</f>
        <v>21.123100000000001</v>
      </c>
      <c r="J161" s="44">
        <f>160.3816</f>
        <v>160.38159999999999</v>
      </c>
    </row>
    <row r="162" spans="1:10" ht="15" x14ac:dyDescent="0.2">
      <c r="A162" s="16">
        <v>45839</v>
      </c>
      <c r="B162" s="17">
        <f>22.4166 * CHOOSE(CONTROL!$C$15, $E$9, 100%, $G$9) + CHOOSE(CONTROL!$C$38, 0.0353, 0)</f>
        <v>22.451899999999998</v>
      </c>
      <c r="C162" s="17">
        <f>20.8455 * CHOOSE(CONTROL!$C$15, $E$9, 100%, $G$9) + CHOOSE(CONTROL!$C$38, 0.0354, 0)</f>
        <v>20.8809</v>
      </c>
      <c r="D162" s="17">
        <f>20.8377 * CHOOSE(CONTROL!$C$15, $E$9, 100%, $G$9) + CHOOSE(CONTROL!$C$38, 0.0354, 0)</f>
        <v>20.873100000000001</v>
      </c>
      <c r="E162" s="17">
        <f>20.8377 * CHOOSE(CONTROL!$C$15, $E$9, 100%, $G$9) + CHOOSE(CONTROL!$C$38, 0.0354, 0)</f>
        <v>20.873100000000001</v>
      </c>
      <c r="F162" s="45">
        <f>22.4166 * CHOOSE(CONTROL!$C$15, $E$9, 100%, $G$9) + CHOOSE(CONTROL!$C$38, 0.0353, 0)</f>
        <v>22.451899999999998</v>
      </c>
      <c r="G162" s="17">
        <f>20.8439 * CHOOSE(CONTROL!$C$15, $E$9, 100%, $G$9) + CHOOSE(CONTROL!$C$38, 0.0354, 0)</f>
        <v>20.879300000000001</v>
      </c>
      <c r="H162" s="17">
        <f>20.8439 * CHOOSE(CONTROL!$C$15, $E$9, 100%, $G$9) + CHOOSE(CONTROL!$C$38, 0.0354, 0)</f>
        <v>20.879300000000001</v>
      </c>
      <c r="I162" s="17">
        <f>20.8455 * CHOOSE(CONTROL!$C$15, $E$9, 100%, $G$9) + CHOOSE(CONTROL!$C$38, 0.0354, 0)</f>
        <v>20.8809</v>
      </c>
      <c r="J162" s="44">
        <f>159.9604</f>
        <v>159.96039999999999</v>
      </c>
    </row>
    <row r="163" spans="1:10" ht="15" x14ac:dyDescent="0.2">
      <c r="A163" s="16">
        <v>45870</v>
      </c>
      <c r="B163" s="17">
        <f>22.6023 * CHOOSE(CONTROL!$C$15, $E$9, 100%, $G$9) + CHOOSE(CONTROL!$C$38, 0.0353, 0)</f>
        <v>22.637599999999999</v>
      </c>
      <c r="C163" s="17">
        <f>21.0283 * CHOOSE(CONTROL!$C$15, $E$9, 100%, $G$9) + CHOOSE(CONTROL!$C$38, 0.0354, 0)</f>
        <v>21.063700000000001</v>
      </c>
      <c r="D163" s="17">
        <f>21.0205 * CHOOSE(CONTROL!$C$15, $E$9, 100%, $G$9) + CHOOSE(CONTROL!$C$38, 0.0354, 0)</f>
        <v>21.055899999999998</v>
      </c>
      <c r="E163" s="17">
        <f>21.0205 * CHOOSE(CONTROL!$C$15, $E$9, 100%, $G$9) + CHOOSE(CONTROL!$C$38, 0.0354, 0)</f>
        <v>21.055899999999998</v>
      </c>
      <c r="F163" s="45">
        <f>22.6023 * CHOOSE(CONTROL!$C$15, $E$9, 100%, $G$9) + CHOOSE(CONTROL!$C$38, 0.0353, 0)</f>
        <v>22.637599999999999</v>
      </c>
      <c r="G163" s="17">
        <f>21.0267 * CHOOSE(CONTROL!$C$15, $E$9, 100%, $G$9) + CHOOSE(CONTROL!$C$38, 0.0354, 0)</f>
        <v>21.062100000000001</v>
      </c>
      <c r="H163" s="17">
        <f>21.0267 * CHOOSE(CONTROL!$C$15, $E$9, 100%, $G$9) + CHOOSE(CONTROL!$C$38, 0.0354, 0)</f>
        <v>21.062100000000001</v>
      </c>
      <c r="I163" s="17">
        <f>21.0283 * CHOOSE(CONTROL!$C$15, $E$9, 100%, $G$9) + CHOOSE(CONTROL!$C$38, 0.0354, 0)</f>
        <v>21.063700000000001</v>
      </c>
      <c r="J163" s="44">
        <f>156.5584</f>
        <v>156.55840000000001</v>
      </c>
    </row>
    <row r="164" spans="1:10" ht="15" x14ac:dyDescent="0.2">
      <c r="A164" s="16">
        <v>45901</v>
      </c>
      <c r="B164" s="17">
        <f>23.0307 * CHOOSE(CONTROL!$C$15, $E$9, 100%, $G$9) + CHOOSE(CONTROL!$C$38, 0.0353, 0)</f>
        <v>23.065999999999999</v>
      </c>
      <c r="C164" s="17">
        <f>21.4538 * CHOOSE(CONTROL!$C$15, $E$9, 100%, $G$9) + CHOOSE(CONTROL!$C$38, 0.0354, 0)</f>
        <v>21.4892</v>
      </c>
      <c r="D164" s="17">
        <f>21.446 * CHOOSE(CONTROL!$C$15, $E$9, 100%, $G$9) + CHOOSE(CONTROL!$C$38, 0.0354, 0)</f>
        <v>21.481400000000001</v>
      </c>
      <c r="E164" s="17">
        <f>21.446 * CHOOSE(CONTROL!$C$15, $E$9, 100%, $G$9) + CHOOSE(CONTROL!$C$38, 0.0354, 0)</f>
        <v>21.481400000000001</v>
      </c>
      <c r="F164" s="45">
        <f>23.0307 * CHOOSE(CONTROL!$C$15, $E$9, 100%, $G$9) + CHOOSE(CONTROL!$C$38, 0.0353, 0)</f>
        <v>23.065999999999999</v>
      </c>
      <c r="G164" s="17">
        <f>21.4522 * CHOOSE(CONTROL!$C$15, $E$9, 100%, $G$9) + CHOOSE(CONTROL!$C$38, 0.0354, 0)</f>
        <v>21.4876</v>
      </c>
      <c r="H164" s="17">
        <f>21.4522 * CHOOSE(CONTROL!$C$15, $E$9, 100%, $G$9) + CHOOSE(CONTROL!$C$38, 0.0354, 0)</f>
        <v>21.4876</v>
      </c>
      <c r="I164" s="17">
        <f>21.4538 * CHOOSE(CONTROL!$C$15, $E$9, 100%, $G$9) + CHOOSE(CONTROL!$C$38, 0.0354, 0)</f>
        <v>21.4892</v>
      </c>
      <c r="J164" s="44">
        <f>151.6664</f>
        <v>151.66640000000001</v>
      </c>
    </row>
    <row r="165" spans="1:10" ht="15" x14ac:dyDescent="0.2">
      <c r="A165" s="16">
        <v>45931</v>
      </c>
      <c r="B165" s="17">
        <f>23.3984 * CHOOSE(CONTROL!$C$15, $E$9, 100%, $G$9) + CHOOSE(CONTROL!$C$38, 0.034, 0)</f>
        <v>23.432399999999998</v>
      </c>
      <c r="C165" s="17">
        <f>21.8186 * CHOOSE(CONTROL!$C$15, $E$9, 100%, $G$9) + CHOOSE(CONTROL!$C$38, 0.0342, 0)</f>
        <v>21.852799999999998</v>
      </c>
      <c r="D165" s="17">
        <f>21.8108 * CHOOSE(CONTROL!$C$15, $E$9, 100%, $G$9) + CHOOSE(CONTROL!$C$38, 0.0342, 0)</f>
        <v>21.844999999999999</v>
      </c>
      <c r="E165" s="17">
        <f>21.8108 * CHOOSE(CONTROL!$C$15, $E$9, 100%, $G$9) + CHOOSE(CONTROL!$C$38, 0.0342, 0)</f>
        <v>21.844999999999999</v>
      </c>
      <c r="F165" s="45">
        <f>23.3984 * CHOOSE(CONTROL!$C$15, $E$9, 100%, $G$9) + CHOOSE(CONTROL!$C$38, 0.034, 0)</f>
        <v>23.432399999999998</v>
      </c>
      <c r="G165" s="17">
        <f>21.817 * CHOOSE(CONTROL!$C$15, $E$9, 100%, $G$9) + CHOOSE(CONTROL!$C$38, 0.0342, 0)</f>
        <v>21.851199999999999</v>
      </c>
      <c r="H165" s="17">
        <f>21.817 * CHOOSE(CONTROL!$C$15, $E$9, 100%, $G$9) + CHOOSE(CONTROL!$C$38, 0.0342, 0)</f>
        <v>21.851199999999999</v>
      </c>
      <c r="I165" s="17">
        <f>21.8186 * CHOOSE(CONTROL!$C$15, $E$9, 100%, $G$9) + CHOOSE(CONTROL!$C$38, 0.0342, 0)</f>
        <v>21.852799999999998</v>
      </c>
      <c r="J165" s="44">
        <f>146.7233</f>
        <v>146.72329999999999</v>
      </c>
    </row>
    <row r="166" spans="1:10" ht="15" x14ac:dyDescent="0.2">
      <c r="A166" s="16">
        <v>45962</v>
      </c>
      <c r="B166" s="17">
        <f>23.7142 * CHOOSE(CONTROL!$C$15, $E$9, 100%, $G$9) + CHOOSE(CONTROL!$C$38, 0.034, 0)</f>
        <v>23.748200000000001</v>
      </c>
      <c r="C166" s="17">
        <f>22.1314 * CHOOSE(CONTROL!$C$15, $E$9, 100%, $G$9) + CHOOSE(CONTROL!$C$38, 0.0342, 0)</f>
        <v>22.165599999999998</v>
      </c>
      <c r="D166" s="17">
        <f>22.1236 * CHOOSE(CONTROL!$C$15, $E$9, 100%, $G$9) + CHOOSE(CONTROL!$C$38, 0.0342, 0)</f>
        <v>22.157799999999998</v>
      </c>
      <c r="E166" s="17">
        <f>22.1236 * CHOOSE(CONTROL!$C$15, $E$9, 100%, $G$9) + CHOOSE(CONTROL!$C$38, 0.0342, 0)</f>
        <v>22.157799999999998</v>
      </c>
      <c r="F166" s="45">
        <f>23.7142 * CHOOSE(CONTROL!$C$15, $E$9, 100%, $G$9) + CHOOSE(CONTROL!$C$38, 0.034, 0)</f>
        <v>23.748200000000001</v>
      </c>
      <c r="G166" s="17">
        <f>22.1299 * CHOOSE(CONTROL!$C$15, $E$9, 100%, $G$9) + CHOOSE(CONTROL!$C$38, 0.0342, 0)</f>
        <v>22.164099999999998</v>
      </c>
      <c r="H166" s="17">
        <f>22.1299 * CHOOSE(CONTROL!$C$15, $E$9, 100%, $G$9) + CHOOSE(CONTROL!$C$38, 0.0342, 0)</f>
        <v>22.164099999999998</v>
      </c>
      <c r="I166" s="17">
        <f>22.1314 * CHOOSE(CONTROL!$C$15, $E$9, 100%, $G$9) + CHOOSE(CONTROL!$C$38, 0.0342, 0)</f>
        <v>22.165599999999998</v>
      </c>
      <c r="J166" s="44">
        <f>145.9779</f>
        <v>145.97790000000001</v>
      </c>
    </row>
    <row r="167" spans="1:10" ht="15" x14ac:dyDescent="0.2">
      <c r="A167" s="16">
        <v>45992</v>
      </c>
      <c r="B167" s="17">
        <f>24.592 * CHOOSE(CONTROL!$C$15, $E$9, 100%, $G$9) + CHOOSE(CONTROL!$C$38, 0.034, 0)</f>
        <v>24.625999999999998</v>
      </c>
      <c r="C167" s="17">
        <f>23.0062 * CHOOSE(CONTROL!$C$15, $E$9, 100%, $G$9) + CHOOSE(CONTROL!$C$38, 0.0342, 0)</f>
        <v>23.040399999999998</v>
      </c>
      <c r="D167" s="17">
        <f>22.9984 * CHOOSE(CONTROL!$C$15, $E$9, 100%, $G$9) + CHOOSE(CONTROL!$C$38, 0.0342, 0)</f>
        <v>23.032599999999999</v>
      </c>
      <c r="E167" s="17">
        <f>22.9984 * CHOOSE(CONTROL!$C$15, $E$9, 100%, $G$9) + CHOOSE(CONTROL!$C$38, 0.0342, 0)</f>
        <v>23.032599999999999</v>
      </c>
      <c r="F167" s="45">
        <f>24.592 * CHOOSE(CONTROL!$C$15, $E$9, 100%, $G$9) + CHOOSE(CONTROL!$C$38, 0.034, 0)</f>
        <v>24.625999999999998</v>
      </c>
      <c r="G167" s="17">
        <f>23.0047 * CHOOSE(CONTROL!$C$15, $E$9, 100%, $G$9) + CHOOSE(CONTROL!$C$38, 0.0342, 0)</f>
        <v>23.038899999999998</v>
      </c>
      <c r="H167" s="17">
        <f>23.0047 * CHOOSE(CONTROL!$C$15, $E$9, 100%, $G$9) + CHOOSE(CONTROL!$C$38, 0.0342, 0)</f>
        <v>23.038899999999998</v>
      </c>
      <c r="I167" s="17">
        <f>23.0062 * CHOOSE(CONTROL!$C$15, $E$9, 100%, $G$9) + CHOOSE(CONTROL!$C$38, 0.0342, 0)</f>
        <v>23.040399999999998</v>
      </c>
      <c r="J167" s="44">
        <f>141.9377</f>
        <v>141.93770000000001</v>
      </c>
    </row>
    <row r="168" spans="1:10" ht="15" x14ac:dyDescent="0.2">
      <c r="A168" s="16">
        <v>46023</v>
      </c>
      <c r="B168" s="17">
        <f>25.2649 * CHOOSE(CONTROL!$C$15, $E$9, 100%, $G$9) + CHOOSE(CONTROL!$C$38, 0.034, 0)</f>
        <v>25.2989</v>
      </c>
      <c r="C168" s="17">
        <f>23.6984 * CHOOSE(CONTROL!$C$15, $E$9, 100%, $G$9) + CHOOSE(CONTROL!$C$38, 0.0342, 0)</f>
        <v>23.732599999999998</v>
      </c>
      <c r="D168" s="17">
        <f>23.6906 * CHOOSE(CONTROL!$C$15, $E$9, 100%, $G$9) + CHOOSE(CONTROL!$C$38, 0.0342, 0)</f>
        <v>23.724799999999998</v>
      </c>
      <c r="E168" s="17">
        <f>23.6906 * CHOOSE(CONTROL!$C$15, $E$9, 100%, $G$9) + CHOOSE(CONTROL!$C$38, 0.0342, 0)</f>
        <v>23.724799999999998</v>
      </c>
      <c r="F168" s="45">
        <f>25.2649 * CHOOSE(CONTROL!$C$15, $E$9, 100%, $G$9) + CHOOSE(CONTROL!$C$38, 0.034, 0)</f>
        <v>25.2989</v>
      </c>
      <c r="G168" s="17">
        <f>23.6968 * CHOOSE(CONTROL!$C$15, $E$9, 100%, $G$9) + CHOOSE(CONTROL!$C$38, 0.0342, 0)</f>
        <v>23.730999999999998</v>
      </c>
      <c r="H168" s="17">
        <f>23.6968 * CHOOSE(CONTROL!$C$15, $E$9, 100%, $G$9) + CHOOSE(CONTROL!$C$38, 0.0342, 0)</f>
        <v>23.730999999999998</v>
      </c>
      <c r="I168" s="17">
        <f>23.6984 * CHOOSE(CONTROL!$C$15, $E$9, 100%, $G$9) + CHOOSE(CONTROL!$C$38, 0.0342, 0)</f>
        <v>23.732599999999998</v>
      </c>
      <c r="J168" s="44">
        <f>138.8436</f>
        <v>138.84360000000001</v>
      </c>
    </row>
    <row r="169" spans="1:10" ht="15" x14ac:dyDescent="0.2">
      <c r="A169" s="16">
        <v>46054</v>
      </c>
      <c r="B169" s="17">
        <f>25.6245 * CHOOSE(CONTROL!$C$15, $E$9, 100%, $G$9) + CHOOSE(CONTROL!$C$38, 0.034, 0)</f>
        <v>25.6585</v>
      </c>
      <c r="C169" s="17">
        <f>24.055 * CHOOSE(CONTROL!$C$15, $E$9, 100%, $G$9) + CHOOSE(CONTROL!$C$38, 0.0342, 0)</f>
        <v>24.089199999999998</v>
      </c>
      <c r="D169" s="17">
        <f>24.0472 * CHOOSE(CONTROL!$C$15, $E$9, 100%, $G$9) + CHOOSE(CONTROL!$C$38, 0.0342, 0)</f>
        <v>24.081399999999999</v>
      </c>
      <c r="E169" s="17">
        <f>24.0472 * CHOOSE(CONTROL!$C$15, $E$9, 100%, $G$9) + CHOOSE(CONTROL!$C$38, 0.0342, 0)</f>
        <v>24.081399999999999</v>
      </c>
      <c r="F169" s="45">
        <f>25.6245 * CHOOSE(CONTROL!$C$15, $E$9, 100%, $G$9) + CHOOSE(CONTROL!$C$38, 0.034, 0)</f>
        <v>25.6585</v>
      </c>
      <c r="G169" s="17">
        <f>24.0534 * CHOOSE(CONTROL!$C$15, $E$9, 100%, $G$9) + CHOOSE(CONTROL!$C$38, 0.0342, 0)</f>
        <v>24.087599999999998</v>
      </c>
      <c r="H169" s="17">
        <f>24.0534 * CHOOSE(CONTROL!$C$15, $E$9, 100%, $G$9) + CHOOSE(CONTROL!$C$38, 0.0342, 0)</f>
        <v>24.087599999999998</v>
      </c>
      <c r="I169" s="17">
        <f>24.055 * CHOOSE(CONTROL!$C$15, $E$9, 100%, $G$9) + CHOOSE(CONTROL!$C$38, 0.0342, 0)</f>
        <v>24.089199999999998</v>
      </c>
      <c r="J169" s="44">
        <f>138.7429</f>
        <v>138.74289999999999</v>
      </c>
    </row>
    <row r="170" spans="1:10" ht="15" x14ac:dyDescent="0.2">
      <c r="A170" s="16">
        <v>46082</v>
      </c>
      <c r="B170" s="17">
        <f>24.9598 * CHOOSE(CONTROL!$C$15, $E$9, 100%, $G$9) + CHOOSE(CONTROL!$C$38, 0.034, 0)</f>
        <v>24.9938</v>
      </c>
      <c r="C170" s="17">
        <f>23.3874 * CHOOSE(CONTROL!$C$15, $E$9, 100%, $G$9) + CHOOSE(CONTROL!$C$38, 0.0342, 0)</f>
        <v>23.421599999999998</v>
      </c>
      <c r="D170" s="17">
        <f>23.3796 * CHOOSE(CONTROL!$C$15, $E$9, 100%, $G$9) + CHOOSE(CONTROL!$C$38, 0.0342, 0)</f>
        <v>23.413799999999998</v>
      </c>
      <c r="E170" s="17">
        <f>23.3796 * CHOOSE(CONTROL!$C$15, $E$9, 100%, $G$9) + CHOOSE(CONTROL!$C$38, 0.0342, 0)</f>
        <v>23.413799999999998</v>
      </c>
      <c r="F170" s="45">
        <f>24.9598 * CHOOSE(CONTROL!$C$15, $E$9, 100%, $G$9) + CHOOSE(CONTROL!$C$38, 0.034, 0)</f>
        <v>24.9938</v>
      </c>
      <c r="G170" s="17">
        <f>23.3858 * CHOOSE(CONTROL!$C$15, $E$9, 100%, $G$9) + CHOOSE(CONTROL!$C$38, 0.0342, 0)</f>
        <v>23.419999999999998</v>
      </c>
      <c r="H170" s="17">
        <f>23.3858 * CHOOSE(CONTROL!$C$15, $E$9, 100%, $G$9) + CHOOSE(CONTROL!$C$38, 0.0342, 0)</f>
        <v>23.419999999999998</v>
      </c>
      <c r="I170" s="17">
        <f>23.3874 * CHOOSE(CONTROL!$C$15, $E$9, 100%, $G$9) + CHOOSE(CONTROL!$C$38, 0.0342, 0)</f>
        <v>23.421599999999998</v>
      </c>
      <c r="J170" s="44">
        <f>146.3563</f>
        <v>146.3563</v>
      </c>
    </row>
    <row r="171" spans="1:10" ht="15" x14ac:dyDescent="0.2">
      <c r="A171" s="16">
        <v>46113</v>
      </c>
      <c r="B171" s="17">
        <f>24.3146 * CHOOSE(CONTROL!$C$15, $E$9, 100%, $G$9) + CHOOSE(CONTROL!$C$38, 0.034, 0)</f>
        <v>24.348599999999998</v>
      </c>
      <c r="C171" s="17">
        <f>22.7393 * CHOOSE(CONTROL!$C$15, $E$9, 100%, $G$9) + CHOOSE(CONTROL!$C$38, 0.0342, 0)</f>
        <v>22.773499999999999</v>
      </c>
      <c r="D171" s="17">
        <f>22.7315 * CHOOSE(CONTROL!$C$15, $E$9, 100%, $G$9) + CHOOSE(CONTROL!$C$38, 0.0342, 0)</f>
        <v>22.765699999999999</v>
      </c>
      <c r="E171" s="17">
        <f>22.7315 * CHOOSE(CONTROL!$C$15, $E$9, 100%, $G$9) + CHOOSE(CONTROL!$C$38, 0.0342, 0)</f>
        <v>22.765699999999999</v>
      </c>
      <c r="F171" s="45">
        <f>24.3146 * CHOOSE(CONTROL!$C$15, $E$9, 100%, $G$9) + CHOOSE(CONTROL!$C$38, 0.034, 0)</f>
        <v>24.348599999999998</v>
      </c>
      <c r="G171" s="17">
        <f>22.7377 * CHOOSE(CONTROL!$C$15, $E$9, 100%, $G$9) + CHOOSE(CONTROL!$C$38, 0.0342, 0)</f>
        <v>22.771899999999999</v>
      </c>
      <c r="H171" s="17">
        <f>22.7377 * CHOOSE(CONTROL!$C$15, $E$9, 100%, $G$9) + CHOOSE(CONTROL!$C$38, 0.0342, 0)</f>
        <v>22.771899999999999</v>
      </c>
      <c r="I171" s="17">
        <f>22.7393 * CHOOSE(CONTROL!$C$15, $E$9, 100%, $G$9) + CHOOSE(CONTROL!$C$38, 0.0342, 0)</f>
        <v>22.773499999999999</v>
      </c>
      <c r="J171" s="44">
        <f>156.1795</f>
        <v>156.17949999999999</v>
      </c>
    </row>
    <row r="172" spans="1:10" ht="15" x14ac:dyDescent="0.2">
      <c r="A172" s="16">
        <v>46143</v>
      </c>
      <c r="B172" s="17">
        <f>23.6371 * CHOOSE(CONTROL!$C$15, $E$9, 100%, $G$9) + CHOOSE(CONTROL!$C$38, 0.0353, 0)</f>
        <v>23.6724</v>
      </c>
      <c r="C172" s="17">
        <f>22.0589 * CHOOSE(CONTROL!$C$15, $E$9, 100%, $G$9) + CHOOSE(CONTROL!$C$38, 0.0354, 0)</f>
        <v>22.0943</v>
      </c>
      <c r="D172" s="17">
        <f>22.0511 * CHOOSE(CONTROL!$C$15, $E$9, 100%, $G$9) + CHOOSE(CONTROL!$C$38, 0.0354, 0)</f>
        <v>22.086500000000001</v>
      </c>
      <c r="E172" s="17">
        <f>22.0511 * CHOOSE(CONTROL!$C$15, $E$9, 100%, $G$9) + CHOOSE(CONTROL!$C$38, 0.0354, 0)</f>
        <v>22.086500000000001</v>
      </c>
      <c r="F172" s="45">
        <f>23.6371 * CHOOSE(CONTROL!$C$15, $E$9, 100%, $G$9) + CHOOSE(CONTROL!$C$38, 0.0353, 0)</f>
        <v>23.6724</v>
      </c>
      <c r="G172" s="17">
        <f>22.0573 * CHOOSE(CONTROL!$C$15, $E$9, 100%, $G$9) + CHOOSE(CONTROL!$C$38, 0.0354, 0)</f>
        <v>22.092700000000001</v>
      </c>
      <c r="H172" s="17">
        <f>22.0573 * CHOOSE(CONTROL!$C$15, $E$9, 100%, $G$9) + CHOOSE(CONTROL!$C$38, 0.0354, 0)</f>
        <v>22.092700000000001</v>
      </c>
      <c r="I172" s="17">
        <f>22.0589 * CHOOSE(CONTROL!$C$15, $E$9, 100%, $G$9) + CHOOSE(CONTROL!$C$38, 0.0354, 0)</f>
        <v>22.0943</v>
      </c>
      <c r="J172" s="44">
        <f>161.7531</f>
        <v>161.75309999999999</v>
      </c>
    </row>
    <row r="173" spans="1:10" ht="15" x14ac:dyDescent="0.2">
      <c r="A173" s="16">
        <v>46174</v>
      </c>
      <c r="B173" s="17">
        <f>23.1743 * CHOOSE(CONTROL!$C$15, $E$9, 100%, $G$9) + CHOOSE(CONTROL!$C$38, 0.0353, 0)</f>
        <v>23.209599999999998</v>
      </c>
      <c r="C173" s="17">
        <f>21.5932 * CHOOSE(CONTROL!$C$15, $E$9, 100%, $G$9) + CHOOSE(CONTROL!$C$38, 0.0354, 0)</f>
        <v>21.628599999999999</v>
      </c>
      <c r="D173" s="17">
        <f>21.5854 * CHOOSE(CONTROL!$C$15, $E$9, 100%, $G$9) + CHOOSE(CONTROL!$C$38, 0.0354, 0)</f>
        <v>21.620799999999999</v>
      </c>
      <c r="E173" s="17">
        <f>21.5854 * CHOOSE(CONTROL!$C$15, $E$9, 100%, $G$9) + CHOOSE(CONTROL!$C$38, 0.0354, 0)</f>
        <v>21.620799999999999</v>
      </c>
      <c r="F173" s="45">
        <f>23.1743 * CHOOSE(CONTROL!$C$15, $E$9, 100%, $G$9) + CHOOSE(CONTROL!$C$38, 0.0353, 0)</f>
        <v>23.209599999999998</v>
      </c>
      <c r="G173" s="17">
        <f>21.5916 * CHOOSE(CONTROL!$C$15, $E$9, 100%, $G$9) + CHOOSE(CONTROL!$C$38, 0.0354, 0)</f>
        <v>21.626999999999999</v>
      </c>
      <c r="H173" s="17">
        <f>21.5916 * CHOOSE(CONTROL!$C$15, $E$9, 100%, $G$9) + CHOOSE(CONTROL!$C$38, 0.0354, 0)</f>
        <v>21.626999999999999</v>
      </c>
      <c r="I173" s="17">
        <f>21.5932 * CHOOSE(CONTROL!$C$15, $E$9, 100%, $G$9) + CHOOSE(CONTROL!$C$38, 0.0354, 0)</f>
        <v>21.628599999999999</v>
      </c>
      <c r="J173" s="44">
        <f>164.4217</f>
        <v>164.42169999999999</v>
      </c>
    </row>
    <row r="174" spans="1:10" ht="15" x14ac:dyDescent="0.2">
      <c r="A174" s="16">
        <v>46204</v>
      </c>
      <c r="B174" s="17">
        <f>22.929 * CHOOSE(CONTROL!$C$15, $E$9, 100%, $G$9) + CHOOSE(CONTROL!$C$38, 0.0353, 0)</f>
        <v>22.964299999999998</v>
      </c>
      <c r="C174" s="17">
        <f>21.3449 * CHOOSE(CONTROL!$C$15, $E$9, 100%, $G$9) + CHOOSE(CONTROL!$C$38, 0.0354, 0)</f>
        <v>21.380299999999998</v>
      </c>
      <c r="D174" s="17">
        <f>21.3371 * CHOOSE(CONTROL!$C$15, $E$9, 100%, $G$9) + CHOOSE(CONTROL!$C$38, 0.0354, 0)</f>
        <v>21.372499999999999</v>
      </c>
      <c r="E174" s="17">
        <f>21.3371 * CHOOSE(CONTROL!$C$15, $E$9, 100%, $G$9) + CHOOSE(CONTROL!$C$38, 0.0354, 0)</f>
        <v>21.372499999999999</v>
      </c>
      <c r="F174" s="45">
        <f>22.929 * CHOOSE(CONTROL!$C$15, $E$9, 100%, $G$9) + CHOOSE(CONTROL!$C$38, 0.0353, 0)</f>
        <v>22.964299999999998</v>
      </c>
      <c r="G174" s="17">
        <f>21.3434 * CHOOSE(CONTROL!$C$15, $E$9, 100%, $G$9) + CHOOSE(CONTROL!$C$38, 0.0354, 0)</f>
        <v>21.378799999999998</v>
      </c>
      <c r="H174" s="17">
        <f>21.3434 * CHOOSE(CONTROL!$C$15, $E$9, 100%, $G$9) + CHOOSE(CONTROL!$C$38, 0.0354, 0)</f>
        <v>21.378799999999998</v>
      </c>
      <c r="I174" s="17">
        <f>21.3449 * CHOOSE(CONTROL!$C$15, $E$9, 100%, $G$9) + CHOOSE(CONTROL!$C$38, 0.0354, 0)</f>
        <v>21.380299999999998</v>
      </c>
      <c r="J174" s="44">
        <f>163.9899</f>
        <v>163.98990000000001</v>
      </c>
    </row>
    <row r="175" spans="1:10" ht="15" x14ac:dyDescent="0.2">
      <c r="A175" s="16">
        <v>46235</v>
      </c>
      <c r="B175" s="17">
        <f>23.1193 * CHOOSE(CONTROL!$C$15, $E$9, 100%, $G$9) + CHOOSE(CONTROL!$C$38, 0.0353, 0)</f>
        <v>23.154599999999999</v>
      </c>
      <c r="C175" s="17">
        <f>21.5322 * CHOOSE(CONTROL!$C$15, $E$9, 100%, $G$9) + CHOOSE(CONTROL!$C$38, 0.0354, 0)</f>
        <v>21.567599999999999</v>
      </c>
      <c r="D175" s="17">
        <f>21.5244 * CHOOSE(CONTROL!$C$15, $E$9, 100%, $G$9) + CHOOSE(CONTROL!$C$38, 0.0354, 0)</f>
        <v>21.559799999999999</v>
      </c>
      <c r="E175" s="17">
        <f>21.5244 * CHOOSE(CONTROL!$C$15, $E$9, 100%, $G$9) + CHOOSE(CONTROL!$C$38, 0.0354, 0)</f>
        <v>21.559799999999999</v>
      </c>
      <c r="F175" s="45">
        <f>23.1193 * CHOOSE(CONTROL!$C$15, $E$9, 100%, $G$9) + CHOOSE(CONTROL!$C$38, 0.0353, 0)</f>
        <v>23.154599999999999</v>
      </c>
      <c r="G175" s="17">
        <f>21.5307 * CHOOSE(CONTROL!$C$15, $E$9, 100%, $G$9) + CHOOSE(CONTROL!$C$38, 0.0354, 0)</f>
        <v>21.566099999999999</v>
      </c>
      <c r="H175" s="17">
        <f>21.5307 * CHOOSE(CONTROL!$C$15, $E$9, 100%, $G$9) + CHOOSE(CONTROL!$C$38, 0.0354, 0)</f>
        <v>21.566099999999999</v>
      </c>
      <c r="I175" s="17">
        <f>21.5322 * CHOOSE(CONTROL!$C$15, $E$9, 100%, $G$9) + CHOOSE(CONTROL!$C$38, 0.0354, 0)</f>
        <v>21.567599999999999</v>
      </c>
      <c r="J175" s="44">
        <f>160.5022</f>
        <v>160.50219999999999</v>
      </c>
    </row>
    <row r="176" spans="1:10" ht="15" x14ac:dyDescent="0.2">
      <c r="A176" s="16">
        <v>46266</v>
      </c>
      <c r="B176" s="17">
        <f>23.5584 * CHOOSE(CONTROL!$C$15, $E$9, 100%, $G$9) + CHOOSE(CONTROL!$C$38, 0.0353, 0)</f>
        <v>23.593699999999998</v>
      </c>
      <c r="C176" s="17">
        <f>21.9684 * CHOOSE(CONTROL!$C$15, $E$9, 100%, $G$9) + CHOOSE(CONTROL!$C$38, 0.0354, 0)</f>
        <v>22.003799999999998</v>
      </c>
      <c r="D176" s="17">
        <f>21.9606 * CHOOSE(CONTROL!$C$15, $E$9, 100%, $G$9) + CHOOSE(CONTROL!$C$38, 0.0354, 0)</f>
        <v>21.995999999999999</v>
      </c>
      <c r="E176" s="17">
        <f>21.9606 * CHOOSE(CONTROL!$C$15, $E$9, 100%, $G$9) + CHOOSE(CONTROL!$C$38, 0.0354, 0)</f>
        <v>21.995999999999999</v>
      </c>
      <c r="F176" s="45">
        <f>23.5584 * CHOOSE(CONTROL!$C$15, $E$9, 100%, $G$9) + CHOOSE(CONTROL!$C$38, 0.0353, 0)</f>
        <v>23.593699999999998</v>
      </c>
      <c r="G176" s="17">
        <f>21.9668 * CHOOSE(CONTROL!$C$15, $E$9, 100%, $G$9) + CHOOSE(CONTROL!$C$38, 0.0354, 0)</f>
        <v>22.002199999999998</v>
      </c>
      <c r="H176" s="17">
        <f>21.9668 * CHOOSE(CONTROL!$C$15, $E$9, 100%, $G$9) + CHOOSE(CONTROL!$C$38, 0.0354, 0)</f>
        <v>22.002199999999998</v>
      </c>
      <c r="I176" s="17">
        <f>21.9684 * CHOOSE(CONTROL!$C$15, $E$9, 100%, $G$9) + CHOOSE(CONTROL!$C$38, 0.0354, 0)</f>
        <v>22.003799999999998</v>
      </c>
      <c r="J176" s="44">
        <f>155.487</f>
        <v>155.48699999999999</v>
      </c>
    </row>
    <row r="177" spans="1:10" ht="15" x14ac:dyDescent="0.2">
      <c r="A177" s="16">
        <v>46296</v>
      </c>
      <c r="B177" s="17">
        <f>23.9352 * CHOOSE(CONTROL!$C$15, $E$9, 100%, $G$9) + CHOOSE(CONTROL!$C$38, 0.034, 0)</f>
        <v>23.969199999999997</v>
      </c>
      <c r="C177" s="17">
        <f>22.3423 * CHOOSE(CONTROL!$C$15, $E$9, 100%, $G$9) + CHOOSE(CONTROL!$C$38, 0.0342, 0)</f>
        <v>22.3765</v>
      </c>
      <c r="D177" s="17">
        <f>22.3344 * CHOOSE(CONTROL!$C$15, $E$9, 100%, $G$9) + CHOOSE(CONTROL!$C$38, 0.0342, 0)</f>
        <v>22.368599999999997</v>
      </c>
      <c r="E177" s="17">
        <f>22.3344 * CHOOSE(CONTROL!$C$15, $E$9, 100%, $G$9) + CHOOSE(CONTROL!$C$38, 0.0342, 0)</f>
        <v>22.368599999999997</v>
      </c>
      <c r="F177" s="45">
        <f>23.9352 * CHOOSE(CONTROL!$C$15, $E$9, 100%, $G$9) + CHOOSE(CONTROL!$C$38, 0.034, 0)</f>
        <v>23.969199999999997</v>
      </c>
      <c r="G177" s="17">
        <f>22.3407 * CHOOSE(CONTROL!$C$15, $E$9, 100%, $G$9) + CHOOSE(CONTROL!$C$38, 0.0342, 0)</f>
        <v>22.374899999999997</v>
      </c>
      <c r="H177" s="17">
        <f>22.3407 * CHOOSE(CONTROL!$C$15, $E$9, 100%, $G$9) + CHOOSE(CONTROL!$C$38, 0.0342, 0)</f>
        <v>22.374899999999997</v>
      </c>
      <c r="I177" s="17">
        <f>22.3423 * CHOOSE(CONTROL!$C$15, $E$9, 100%, $G$9) + CHOOSE(CONTROL!$C$38, 0.0342, 0)</f>
        <v>22.3765</v>
      </c>
      <c r="J177" s="44">
        <f>150.4193</f>
        <v>150.41929999999999</v>
      </c>
    </row>
    <row r="178" spans="1:10" ht="15" x14ac:dyDescent="0.2">
      <c r="A178" s="16">
        <v>46327</v>
      </c>
      <c r="B178" s="17">
        <f>24.2588 * CHOOSE(CONTROL!$C$15, $E$9, 100%, $G$9) + CHOOSE(CONTROL!$C$38, 0.034, 0)</f>
        <v>24.2928</v>
      </c>
      <c r="C178" s="17">
        <f>22.6629 * CHOOSE(CONTROL!$C$15, $E$9, 100%, $G$9) + CHOOSE(CONTROL!$C$38, 0.0342, 0)</f>
        <v>22.697099999999999</v>
      </c>
      <c r="D178" s="17">
        <f>22.6551 * CHOOSE(CONTROL!$C$15, $E$9, 100%, $G$9) + CHOOSE(CONTROL!$C$38, 0.0342, 0)</f>
        <v>22.689299999999999</v>
      </c>
      <c r="E178" s="17">
        <f>22.6551 * CHOOSE(CONTROL!$C$15, $E$9, 100%, $G$9) + CHOOSE(CONTROL!$C$38, 0.0342, 0)</f>
        <v>22.689299999999999</v>
      </c>
      <c r="F178" s="45">
        <f>24.2588 * CHOOSE(CONTROL!$C$15, $E$9, 100%, $G$9) + CHOOSE(CONTROL!$C$38, 0.034, 0)</f>
        <v>24.2928</v>
      </c>
      <c r="G178" s="17">
        <f>22.6614 * CHOOSE(CONTROL!$C$15, $E$9, 100%, $G$9) + CHOOSE(CONTROL!$C$38, 0.0342, 0)</f>
        <v>22.695599999999999</v>
      </c>
      <c r="H178" s="17">
        <f>22.6614 * CHOOSE(CONTROL!$C$15, $E$9, 100%, $G$9) + CHOOSE(CONTROL!$C$38, 0.0342, 0)</f>
        <v>22.695599999999999</v>
      </c>
      <c r="I178" s="17">
        <f>22.6629 * CHOOSE(CONTROL!$C$15, $E$9, 100%, $G$9) + CHOOSE(CONTROL!$C$38, 0.0342, 0)</f>
        <v>22.697099999999999</v>
      </c>
      <c r="J178" s="44">
        <f>149.6551</f>
        <v>149.6551</v>
      </c>
    </row>
    <row r="179" spans="1:10" ht="15" x14ac:dyDescent="0.2">
      <c r="A179" s="16">
        <v>46357</v>
      </c>
      <c r="B179" s="17">
        <f>25.1585 * CHOOSE(CONTROL!$C$15, $E$9, 100%, $G$9) + CHOOSE(CONTROL!$C$38, 0.034, 0)</f>
        <v>25.192499999999999</v>
      </c>
      <c r="C179" s="17">
        <f>23.5596 * CHOOSE(CONTROL!$C$15, $E$9, 100%, $G$9) + CHOOSE(CONTROL!$C$38, 0.0342, 0)</f>
        <v>23.593799999999998</v>
      </c>
      <c r="D179" s="17">
        <f>23.5518 * CHOOSE(CONTROL!$C$15, $E$9, 100%, $G$9) + CHOOSE(CONTROL!$C$38, 0.0342, 0)</f>
        <v>23.585999999999999</v>
      </c>
      <c r="E179" s="17">
        <f>23.5518 * CHOOSE(CONTROL!$C$15, $E$9, 100%, $G$9) + CHOOSE(CONTROL!$C$38, 0.0342, 0)</f>
        <v>23.585999999999999</v>
      </c>
      <c r="F179" s="45">
        <f>25.1585 * CHOOSE(CONTROL!$C$15, $E$9, 100%, $G$9) + CHOOSE(CONTROL!$C$38, 0.034, 0)</f>
        <v>25.192499999999999</v>
      </c>
      <c r="G179" s="17">
        <f>23.558 * CHOOSE(CONTROL!$C$15, $E$9, 100%, $G$9) + CHOOSE(CONTROL!$C$38, 0.0342, 0)</f>
        <v>23.592199999999998</v>
      </c>
      <c r="H179" s="17">
        <f>23.558 * CHOOSE(CONTROL!$C$15, $E$9, 100%, $G$9) + CHOOSE(CONTROL!$C$38, 0.0342, 0)</f>
        <v>23.592199999999998</v>
      </c>
      <c r="I179" s="17">
        <f>23.5596 * CHOOSE(CONTROL!$C$15, $E$9, 100%, $G$9) + CHOOSE(CONTROL!$C$38, 0.0342, 0)</f>
        <v>23.593799999999998</v>
      </c>
      <c r="J179" s="44">
        <f>145.5132</f>
        <v>145.51320000000001</v>
      </c>
    </row>
    <row r="180" spans="1:10" ht="15" x14ac:dyDescent="0.2">
      <c r="A180" s="16">
        <v>46388</v>
      </c>
      <c r="B180" s="17">
        <f>25.8917 * CHOOSE(CONTROL!$C$15, $E$9, 100%, $G$9) + CHOOSE(CONTROL!$C$38, 0.034, 0)</f>
        <v>25.925699999999999</v>
      </c>
      <c r="C180" s="17">
        <f>24.312 * CHOOSE(CONTROL!$C$15, $E$9, 100%, $G$9) + CHOOSE(CONTROL!$C$38, 0.0342, 0)</f>
        <v>24.3462</v>
      </c>
      <c r="D180" s="17">
        <f>24.3042 * CHOOSE(CONTROL!$C$15, $E$9, 100%, $G$9) + CHOOSE(CONTROL!$C$38, 0.0342, 0)</f>
        <v>24.3384</v>
      </c>
      <c r="E180" s="17">
        <f>24.3042 * CHOOSE(CONTROL!$C$15, $E$9, 100%, $G$9) + CHOOSE(CONTROL!$C$38, 0.0342, 0)</f>
        <v>24.3384</v>
      </c>
      <c r="F180" s="45">
        <f>25.8917 * CHOOSE(CONTROL!$C$15, $E$9, 100%, $G$9) + CHOOSE(CONTROL!$C$38, 0.034, 0)</f>
        <v>25.925699999999999</v>
      </c>
      <c r="G180" s="17">
        <f>24.3104 * CHOOSE(CONTROL!$C$15, $E$9, 100%, $G$9) + CHOOSE(CONTROL!$C$38, 0.0342, 0)</f>
        <v>24.3446</v>
      </c>
      <c r="H180" s="17">
        <f>24.3104 * CHOOSE(CONTROL!$C$15, $E$9, 100%, $G$9) + CHOOSE(CONTROL!$C$38, 0.0342, 0)</f>
        <v>24.3446</v>
      </c>
      <c r="I180" s="17">
        <f>24.312 * CHOOSE(CONTROL!$C$15, $E$9, 100%, $G$9) + CHOOSE(CONTROL!$C$38, 0.0342, 0)</f>
        <v>24.3462</v>
      </c>
      <c r="J180" s="44">
        <f>142.3411</f>
        <v>142.34110000000001</v>
      </c>
    </row>
    <row r="181" spans="1:10" ht="15" x14ac:dyDescent="0.2">
      <c r="A181" s="16">
        <v>46419</v>
      </c>
      <c r="B181" s="17">
        <f>26.2602 * CHOOSE(CONTROL!$C$15, $E$9, 100%, $G$9) + CHOOSE(CONTROL!$C$38, 0.034, 0)</f>
        <v>26.2942</v>
      </c>
      <c r="C181" s="17">
        <f>24.6776 * CHOOSE(CONTROL!$C$15, $E$9, 100%, $G$9) + CHOOSE(CONTROL!$C$38, 0.0342, 0)</f>
        <v>24.7118</v>
      </c>
      <c r="D181" s="17">
        <f>24.6698 * CHOOSE(CONTROL!$C$15, $E$9, 100%, $G$9) + CHOOSE(CONTROL!$C$38, 0.0342, 0)</f>
        <v>24.703999999999997</v>
      </c>
      <c r="E181" s="17">
        <f>24.6698 * CHOOSE(CONTROL!$C$15, $E$9, 100%, $G$9) + CHOOSE(CONTROL!$C$38, 0.0342, 0)</f>
        <v>24.703999999999997</v>
      </c>
      <c r="F181" s="45">
        <f>26.2602 * CHOOSE(CONTROL!$C$15, $E$9, 100%, $G$9) + CHOOSE(CONTROL!$C$38, 0.034, 0)</f>
        <v>26.2942</v>
      </c>
      <c r="G181" s="17">
        <f>24.676 * CHOOSE(CONTROL!$C$15, $E$9, 100%, $G$9) + CHOOSE(CONTROL!$C$38, 0.0342, 0)</f>
        <v>24.710199999999997</v>
      </c>
      <c r="H181" s="17">
        <f>24.676 * CHOOSE(CONTROL!$C$15, $E$9, 100%, $G$9) + CHOOSE(CONTROL!$C$38, 0.0342, 0)</f>
        <v>24.710199999999997</v>
      </c>
      <c r="I181" s="17">
        <f>24.6776 * CHOOSE(CONTROL!$C$15, $E$9, 100%, $G$9) + CHOOSE(CONTROL!$C$38, 0.0342, 0)</f>
        <v>24.7118</v>
      </c>
      <c r="J181" s="44">
        <f>142.2378</f>
        <v>142.23779999999999</v>
      </c>
    </row>
    <row r="182" spans="1:10" ht="15" x14ac:dyDescent="0.2">
      <c r="A182" s="16">
        <v>46447</v>
      </c>
      <c r="B182" s="17">
        <f>25.579 * CHOOSE(CONTROL!$C$15, $E$9, 100%, $G$9) + CHOOSE(CONTROL!$C$38, 0.034, 0)</f>
        <v>25.613</v>
      </c>
      <c r="C182" s="17">
        <f>23.9934 * CHOOSE(CONTROL!$C$15, $E$9, 100%, $G$9) + CHOOSE(CONTROL!$C$38, 0.0342, 0)</f>
        <v>24.0276</v>
      </c>
      <c r="D182" s="17">
        <f>23.9856 * CHOOSE(CONTROL!$C$15, $E$9, 100%, $G$9) + CHOOSE(CONTROL!$C$38, 0.0342, 0)</f>
        <v>24.0198</v>
      </c>
      <c r="E182" s="17">
        <f>23.9856 * CHOOSE(CONTROL!$C$15, $E$9, 100%, $G$9) + CHOOSE(CONTROL!$C$38, 0.0342, 0)</f>
        <v>24.0198</v>
      </c>
      <c r="F182" s="45">
        <f>25.579 * CHOOSE(CONTROL!$C$15, $E$9, 100%, $G$9) + CHOOSE(CONTROL!$C$38, 0.034, 0)</f>
        <v>25.613</v>
      </c>
      <c r="G182" s="17">
        <f>23.9918 * CHOOSE(CONTROL!$C$15, $E$9, 100%, $G$9) + CHOOSE(CONTROL!$C$38, 0.0342, 0)</f>
        <v>24.026</v>
      </c>
      <c r="H182" s="17">
        <f>23.9918 * CHOOSE(CONTROL!$C$15, $E$9, 100%, $G$9) + CHOOSE(CONTROL!$C$38, 0.0342, 0)</f>
        <v>24.026</v>
      </c>
      <c r="I182" s="17">
        <f>23.9934 * CHOOSE(CONTROL!$C$15, $E$9, 100%, $G$9) + CHOOSE(CONTROL!$C$38, 0.0342, 0)</f>
        <v>24.0276</v>
      </c>
      <c r="J182" s="44">
        <f>150.043</f>
        <v>150.04300000000001</v>
      </c>
    </row>
    <row r="183" spans="1:10" ht="15" x14ac:dyDescent="0.2">
      <c r="A183" s="16">
        <v>46478</v>
      </c>
      <c r="B183" s="17">
        <f>24.9176 * CHOOSE(CONTROL!$C$15, $E$9, 100%, $G$9) + CHOOSE(CONTROL!$C$38, 0.034, 0)</f>
        <v>24.951599999999999</v>
      </c>
      <c r="C183" s="17">
        <f>23.3291 * CHOOSE(CONTROL!$C$15, $E$9, 100%, $G$9) + CHOOSE(CONTROL!$C$38, 0.0342, 0)</f>
        <v>23.363299999999999</v>
      </c>
      <c r="D183" s="17">
        <f>23.3213 * CHOOSE(CONTROL!$C$15, $E$9, 100%, $G$9) + CHOOSE(CONTROL!$C$38, 0.0342, 0)</f>
        <v>23.355499999999999</v>
      </c>
      <c r="E183" s="17">
        <f>23.3213 * CHOOSE(CONTROL!$C$15, $E$9, 100%, $G$9) + CHOOSE(CONTROL!$C$38, 0.0342, 0)</f>
        <v>23.355499999999999</v>
      </c>
      <c r="F183" s="45">
        <f>24.9176 * CHOOSE(CONTROL!$C$15, $E$9, 100%, $G$9) + CHOOSE(CONTROL!$C$38, 0.034, 0)</f>
        <v>24.951599999999999</v>
      </c>
      <c r="G183" s="17">
        <f>23.3276 * CHOOSE(CONTROL!$C$15, $E$9, 100%, $G$9) + CHOOSE(CONTROL!$C$38, 0.0342, 0)</f>
        <v>23.361799999999999</v>
      </c>
      <c r="H183" s="17">
        <f>23.3276 * CHOOSE(CONTROL!$C$15, $E$9, 100%, $G$9) + CHOOSE(CONTROL!$C$38, 0.0342, 0)</f>
        <v>23.361799999999999</v>
      </c>
      <c r="I183" s="17">
        <f>23.3291 * CHOOSE(CONTROL!$C$15, $E$9, 100%, $G$9) + CHOOSE(CONTROL!$C$38, 0.0342, 0)</f>
        <v>23.363299999999999</v>
      </c>
      <c r="J183" s="44">
        <f>160.1136</f>
        <v>160.11359999999999</v>
      </c>
    </row>
    <row r="184" spans="1:10" ht="15" x14ac:dyDescent="0.2">
      <c r="A184" s="16">
        <v>46508</v>
      </c>
      <c r="B184" s="17">
        <f>24.2233 * CHOOSE(CONTROL!$C$15, $E$9, 100%, $G$9) + CHOOSE(CONTROL!$C$38, 0.0353, 0)</f>
        <v>24.258599999999998</v>
      </c>
      <c r="C184" s="17">
        <f>22.6318 * CHOOSE(CONTROL!$C$15, $E$9, 100%, $G$9) + CHOOSE(CONTROL!$C$38, 0.0354, 0)</f>
        <v>22.667199999999998</v>
      </c>
      <c r="D184" s="17">
        <f>22.624 * CHOOSE(CONTROL!$C$15, $E$9, 100%, $G$9) + CHOOSE(CONTROL!$C$38, 0.0354, 0)</f>
        <v>22.659399999999998</v>
      </c>
      <c r="E184" s="17">
        <f>22.624 * CHOOSE(CONTROL!$C$15, $E$9, 100%, $G$9) + CHOOSE(CONTROL!$C$38, 0.0354, 0)</f>
        <v>22.659399999999998</v>
      </c>
      <c r="F184" s="45">
        <f>24.2233 * CHOOSE(CONTROL!$C$15, $E$9, 100%, $G$9) + CHOOSE(CONTROL!$C$38, 0.0353, 0)</f>
        <v>24.258599999999998</v>
      </c>
      <c r="G184" s="17">
        <f>22.6302 * CHOOSE(CONTROL!$C$15, $E$9, 100%, $G$9) + CHOOSE(CONTROL!$C$38, 0.0354, 0)</f>
        <v>22.665599999999998</v>
      </c>
      <c r="H184" s="17">
        <f>22.6302 * CHOOSE(CONTROL!$C$15, $E$9, 100%, $G$9) + CHOOSE(CONTROL!$C$38, 0.0354, 0)</f>
        <v>22.665599999999998</v>
      </c>
      <c r="I184" s="17">
        <f>22.6318 * CHOOSE(CONTROL!$C$15, $E$9, 100%, $G$9) + CHOOSE(CONTROL!$C$38, 0.0354, 0)</f>
        <v>22.667199999999998</v>
      </c>
      <c r="J184" s="44">
        <f>165.8276</f>
        <v>165.82759999999999</v>
      </c>
    </row>
    <row r="185" spans="1:10" ht="15" x14ac:dyDescent="0.2">
      <c r="A185" s="16">
        <v>46539</v>
      </c>
      <c r="B185" s="17">
        <f>23.7489 * CHOOSE(CONTROL!$C$15, $E$9, 100%, $G$9) + CHOOSE(CONTROL!$C$38, 0.0353, 0)</f>
        <v>23.784199999999998</v>
      </c>
      <c r="C185" s="17">
        <f>22.1545 * CHOOSE(CONTROL!$C$15, $E$9, 100%, $G$9) + CHOOSE(CONTROL!$C$38, 0.0354, 0)</f>
        <v>22.189899999999998</v>
      </c>
      <c r="D185" s="17">
        <f>22.1467 * CHOOSE(CONTROL!$C$15, $E$9, 100%, $G$9) + CHOOSE(CONTROL!$C$38, 0.0354, 0)</f>
        <v>22.182099999999998</v>
      </c>
      <c r="E185" s="17">
        <f>22.1467 * CHOOSE(CONTROL!$C$15, $E$9, 100%, $G$9) + CHOOSE(CONTROL!$C$38, 0.0354, 0)</f>
        <v>22.182099999999998</v>
      </c>
      <c r="F185" s="45">
        <f>23.7489 * CHOOSE(CONTROL!$C$15, $E$9, 100%, $G$9) + CHOOSE(CONTROL!$C$38, 0.0353, 0)</f>
        <v>23.784199999999998</v>
      </c>
      <c r="G185" s="17">
        <f>22.153 * CHOOSE(CONTROL!$C$15, $E$9, 100%, $G$9) + CHOOSE(CONTROL!$C$38, 0.0354, 0)</f>
        <v>22.188399999999998</v>
      </c>
      <c r="H185" s="17">
        <f>22.153 * CHOOSE(CONTROL!$C$15, $E$9, 100%, $G$9) + CHOOSE(CONTROL!$C$38, 0.0354, 0)</f>
        <v>22.188399999999998</v>
      </c>
      <c r="I185" s="17">
        <f>22.1545 * CHOOSE(CONTROL!$C$15, $E$9, 100%, $G$9) + CHOOSE(CONTROL!$C$38, 0.0354, 0)</f>
        <v>22.189899999999998</v>
      </c>
      <c r="J185" s="44">
        <f>168.5635</f>
        <v>168.5635</v>
      </c>
    </row>
    <row r="186" spans="1:10" ht="15" x14ac:dyDescent="0.2">
      <c r="A186" s="16">
        <v>46569</v>
      </c>
      <c r="B186" s="17">
        <f>23.4975 * CHOOSE(CONTROL!$C$15, $E$9, 100%, $G$9) + CHOOSE(CONTROL!$C$38, 0.0353, 0)</f>
        <v>23.532799999999998</v>
      </c>
      <c r="C186" s="17">
        <f>21.9001 * CHOOSE(CONTROL!$C$15, $E$9, 100%, $G$9) + CHOOSE(CONTROL!$C$38, 0.0354, 0)</f>
        <v>21.935499999999998</v>
      </c>
      <c r="D186" s="17">
        <f>21.8923 * CHOOSE(CONTROL!$C$15, $E$9, 100%, $G$9) + CHOOSE(CONTROL!$C$38, 0.0354, 0)</f>
        <v>21.927699999999998</v>
      </c>
      <c r="E186" s="17">
        <f>21.8923 * CHOOSE(CONTROL!$C$15, $E$9, 100%, $G$9) + CHOOSE(CONTROL!$C$38, 0.0354, 0)</f>
        <v>21.927699999999998</v>
      </c>
      <c r="F186" s="45">
        <f>23.4975 * CHOOSE(CONTROL!$C$15, $E$9, 100%, $G$9) + CHOOSE(CONTROL!$C$38, 0.0353, 0)</f>
        <v>23.532799999999998</v>
      </c>
      <c r="G186" s="17">
        <f>21.8986 * CHOOSE(CONTROL!$C$15, $E$9, 100%, $G$9) + CHOOSE(CONTROL!$C$38, 0.0354, 0)</f>
        <v>21.933999999999997</v>
      </c>
      <c r="H186" s="17">
        <f>21.8986 * CHOOSE(CONTROL!$C$15, $E$9, 100%, $G$9) + CHOOSE(CONTROL!$C$38, 0.0354, 0)</f>
        <v>21.933999999999997</v>
      </c>
      <c r="I186" s="17">
        <f>21.9001 * CHOOSE(CONTROL!$C$15, $E$9, 100%, $G$9) + CHOOSE(CONTROL!$C$38, 0.0354, 0)</f>
        <v>21.935499999999998</v>
      </c>
      <c r="J186" s="44">
        <f>168.1208</f>
        <v>168.1208</v>
      </c>
    </row>
    <row r="187" spans="1:10" ht="15" x14ac:dyDescent="0.2">
      <c r="A187" s="16">
        <v>46600</v>
      </c>
      <c r="B187" s="17">
        <f>23.6926 * CHOOSE(CONTROL!$C$15, $E$9, 100%, $G$9) + CHOOSE(CONTROL!$C$38, 0.0353, 0)</f>
        <v>23.727899999999998</v>
      </c>
      <c r="C187" s="17">
        <f>22.0922 * CHOOSE(CONTROL!$C$15, $E$9, 100%, $G$9) + CHOOSE(CONTROL!$C$38, 0.0354, 0)</f>
        <v>22.127599999999997</v>
      </c>
      <c r="D187" s="17">
        <f>22.0844 * CHOOSE(CONTROL!$C$15, $E$9, 100%, $G$9) + CHOOSE(CONTROL!$C$38, 0.0354, 0)</f>
        <v>22.119799999999998</v>
      </c>
      <c r="E187" s="17">
        <f>22.0844 * CHOOSE(CONTROL!$C$15, $E$9, 100%, $G$9) + CHOOSE(CONTROL!$C$38, 0.0354, 0)</f>
        <v>22.119799999999998</v>
      </c>
      <c r="F187" s="45">
        <f>23.6926 * CHOOSE(CONTROL!$C$15, $E$9, 100%, $G$9) + CHOOSE(CONTROL!$C$38, 0.0353, 0)</f>
        <v>23.727899999999998</v>
      </c>
      <c r="G187" s="17">
        <f>22.0906 * CHOOSE(CONTROL!$C$15, $E$9, 100%, $G$9) + CHOOSE(CONTROL!$C$38, 0.0354, 0)</f>
        <v>22.125999999999998</v>
      </c>
      <c r="H187" s="17">
        <f>22.0906 * CHOOSE(CONTROL!$C$15, $E$9, 100%, $G$9) + CHOOSE(CONTROL!$C$38, 0.0354, 0)</f>
        <v>22.125999999999998</v>
      </c>
      <c r="I187" s="17">
        <f>22.0922 * CHOOSE(CONTROL!$C$15, $E$9, 100%, $G$9) + CHOOSE(CONTROL!$C$38, 0.0354, 0)</f>
        <v>22.127599999999997</v>
      </c>
      <c r="J187" s="44">
        <f>164.5452</f>
        <v>164.54519999999999</v>
      </c>
    </row>
    <row r="188" spans="1:10" ht="15" x14ac:dyDescent="0.2">
      <c r="A188" s="16">
        <v>46631</v>
      </c>
      <c r="B188" s="17">
        <f>24.1426 * CHOOSE(CONTROL!$C$15, $E$9, 100%, $G$9) + CHOOSE(CONTROL!$C$38, 0.0353, 0)</f>
        <v>24.177900000000001</v>
      </c>
      <c r="C188" s="17">
        <f>22.5393 * CHOOSE(CONTROL!$C$15, $E$9, 100%, $G$9) + CHOOSE(CONTROL!$C$38, 0.0354, 0)</f>
        <v>22.5747</v>
      </c>
      <c r="D188" s="17">
        <f>22.5315 * CHOOSE(CONTROL!$C$15, $E$9, 100%, $G$9) + CHOOSE(CONTROL!$C$38, 0.0354, 0)</f>
        <v>22.5669</v>
      </c>
      <c r="E188" s="17">
        <f>22.5315 * CHOOSE(CONTROL!$C$15, $E$9, 100%, $G$9) + CHOOSE(CONTROL!$C$38, 0.0354, 0)</f>
        <v>22.5669</v>
      </c>
      <c r="F188" s="45">
        <f>24.1426 * CHOOSE(CONTROL!$C$15, $E$9, 100%, $G$9) + CHOOSE(CONTROL!$C$38, 0.0353, 0)</f>
        <v>24.177900000000001</v>
      </c>
      <c r="G188" s="17">
        <f>22.5377 * CHOOSE(CONTROL!$C$15, $E$9, 100%, $G$9) + CHOOSE(CONTROL!$C$38, 0.0354, 0)</f>
        <v>22.5731</v>
      </c>
      <c r="H188" s="17">
        <f>22.5377 * CHOOSE(CONTROL!$C$15, $E$9, 100%, $G$9) + CHOOSE(CONTROL!$C$38, 0.0354, 0)</f>
        <v>22.5731</v>
      </c>
      <c r="I188" s="17">
        <f>22.5393 * CHOOSE(CONTROL!$C$15, $E$9, 100%, $G$9) + CHOOSE(CONTROL!$C$38, 0.0354, 0)</f>
        <v>22.5747</v>
      </c>
      <c r="J188" s="44">
        <f>159.4037</f>
        <v>159.40369999999999</v>
      </c>
    </row>
    <row r="189" spans="1:10" ht="15" x14ac:dyDescent="0.2">
      <c r="A189" s="16">
        <v>46661</v>
      </c>
      <c r="B189" s="17">
        <f>24.5289 * CHOOSE(CONTROL!$C$15, $E$9, 100%, $G$9) + CHOOSE(CONTROL!$C$38, 0.034, 0)</f>
        <v>24.562899999999999</v>
      </c>
      <c r="C189" s="17">
        <f>22.9226 * CHOOSE(CONTROL!$C$15, $E$9, 100%, $G$9) + CHOOSE(CONTROL!$C$38, 0.0342, 0)</f>
        <v>22.956799999999998</v>
      </c>
      <c r="D189" s="17">
        <f>22.9148 * CHOOSE(CONTROL!$C$15, $E$9, 100%, $G$9) + CHOOSE(CONTROL!$C$38, 0.0342, 0)</f>
        <v>22.948999999999998</v>
      </c>
      <c r="E189" s="17">
        <f>22.9148 * CHOOSE(CONTROL!$C$15, $E$9, 100%, $G$9) + CHOOSE(CONTROL!$C$38, 0.0342, 0)</f>
        <v>22.948999999999998</v>
      </c>
      <c r="F189" s="45">
        <f>24.5289 * CHOOSE(CONTROL!$C$15, $E$9, 100%, $G$9) + CHOOSE(CONTROL!$C$38, 0.034, 0)</f>
        <v>24.562899999999999</v>
      </c>
      <c r="G189" s="17">
        <f>22.921 * CHOOSE(CONTROL!$C$15, $E$9, 100%, $G$9) + CHOOSE(CONTROL!$C$38, 0.0342, 0)</f>
        <v>22.955199999999998</v>
      </c>
      <c r="H189" s="17">
        <f>22.921 * CHOOSE(CONTROL!$C$15, $E$9, 100%, $G$9) + CHOOSE(CONTROL!$C$38, 0.0342, 0)</f>
        <v>22.955199999999998</v>
      </c>
      <c r="I189" s="17">
        <f>22.9226 * CHOOSE(CONTROL!$C$15, $E$9, 100%, $G$9) + CHOOSE(CONTROL!$C$38, 0.0342, 0)</f>
        <v>22.956799999999998</v>
      </c>
      <c r="J189" s="44">
        <f>154.2083</f>
        <v>154.20830000000001</v>
      </c>
    </row>
    <row r="190" spans="1:10" ht="15" x14ac:dyDescent="0.2">
      <c r="A190" s="16">
        <v>46692</v>
      </c>
      <c r="B190" s="17">
        <f>24.8606 * CHOOSE(CONTROL!$C$15, $E$9, 100%, $G$9) + CHOOSE(CONTROL!$C$38, 0.034, 0)</f>
        <v>24.894600000000001</v>
      </c>
      <c r="C190" s="17">
        <f>23.2513 * CHOOSE(CONTROL!$C$15, $E$9, 100%, $G$9) + CHOOSE(CONTROL!$C$38, 0.0342, 0)</f>
        <v>23.285499999999999</v>
      </c>
      <c r="D190" s="17">
        <f>23.2435 * CHOOSE(CONTROL!$C$15, $E$9, 100%, $G$9) + CHOOSE(CONTROL!$C$38, 0.0342, 0)</f>
        <v>23.277699999999999</v>
      </c>
      <c r="E190" s="17">
        <f>23.2435 * CHOOSE(CONTROL!$C$15, $E$9, 100%, $G$9) + CHOOSE(CONTROL!$C$38, 0.0342, 0)</f>
        <v>23.277699999999999</v>
      </c>
      <c r="F190" s="45">
        <f>24.8606 * CHOOSE(CONTROL!$C$15, $E$9, 100%, $G$9) + CHOOSE(CONTROL!$C$38, 0.034, 0)</f>
        <v>24.894600000000001</v>
      </c>
      <c r="G190" s="17">
        <f>23.2498 * CHOOSE(CONTROL!$C$15, $E$9, 100%, $G$9) + CHOOSE(CONTROL!$C$38, 0.0342, 0)</f>
        <v>23.283999999999999</v>
      </c>
      <c r="H190" s="17">
        <f>23.2498 * CHOOSE(CONTROL!$C$15, $E$9, 100%, $G$9) + CHOOSE(CONTROL!$C$38, 0.0342, 0)</f>
        <v>23.283999999999999</v>
      </c>
      <c r="I190" s="17">
        <f>23.2513 * CHOOSE(CONTROL!$C$15, $E$9, 100%, $G$9) + CHOOSE(CONTROL!$C$38, 0.0342, 0)</f>
        <v>23.285499999999999</v>
      </c>
      <c r="J190" s="44">
        <f>153.4249</f>
        <v>153.42490000000001</v>
      </c>
    </row>
    <row r="191" spans="1:10" ht="15" x14ac:dyDescent="0.2">
      <c r="A191" s="16">
        <v>46722</v>
      </c>
      <c r="B191" s="17">
        <f>25.7828 * CHOOSE(CONTROL!$C$15, $E$9, 100%, $G$9) + CHOOSE(CONTROL!$C$38, 0.034, 0)</f>
        <v>25.816800000000001</v>
      </c>
      <c r="C191" s="17">
        <f>24.1705 * CHOOSE(CONTROL!$C$15, $E$9, 100%, $G$9) + CHOOSE(CONTROL!$C$38, 0.0342, 0)</f>
        <v>24.204699999999999</v>
      </c>
      <c r="D191" s="17">
        <f>24.1627 * CHOOSE(CONTROL!$C$15, $E$9, 100%, $G$9) + CHOOSE(CONTROL!$C$38, 0.0342, 0)</f>
        <v>24.196899999999999</v>
      </c>
      <c r="E191" s="17">
        <f>24.1627 * CHOOSE(CONTROL!$C$15, $E$9, 100%, $G$9) + CHOOSE(CONTROL!$C$38, 0.0342, 0)</f>
        <v>24.196899999999999</v>
      </c>
      <c r="F191" s="45">
        <f>25.7828 * CHOOSE(CONTROL!$C$15, $E$9, 100%, $G$9) + CHOOSE(CONTROL!$C$38, 0.034, 0)</f>
        <v>25.816800000000001</v>
      </c>
      <c r="G191" s="17">
        <f>24.1689 * CHOOSE(CONTROL!$C$15, $E$9, 100%, $G$9) + CHOOSE(CONTROL!$C$38, 0.0342, 0)</f>
        <v>24.203099999999999</v>
      </c>
      <c r="H191" s="17">
        <f>24.1689 * CHOOSE(CONTROL!$C$15, $E$9, 100%, $G$9) + CHOOSE(CONTROL!$C$38, 0.0342, 0)</f>
        <v>24.203099999999999</v>
      </c>
      <c r="I191" s="17">
        <f>24.1705 * CHOOSE(CONTROL!$C$15, $E$9, 100%, $G$9) + CHOOSE(CONTROL!$C$38, 0.0342, 0)</f>
        <v>24.204699999999999</v>
      </c>
      <c r="J191" s="44">
        <f>149.1787</f>
        <v>149.17869999999999</v>
      </c>
    </row>
    <row r="192" spans="1:10" ht="15" x14ac:dyDescent="0.2">
      <c r="A192" s="16">
        <v>46753</v>
      </c>
      <c r="B192" s="17">
        <f>26.4692 * CHOOSE(CONTROL!$C$15, $E$9, 100%, $G$9) + CHOOSE(CONTROL!$C$38, 0.034, 0)</f>
        <v>26.5032</v>
      </c>
      <c r="C192" s="17">
        <f>24.8761 * CHOOSE(CONTROL!$C$15, $E$9, 100%, $G$9) + CHOOSE(CONTROL!$C$38, 0.0342, 0)</f>
        <v>24.910299999999999</v>
      </c>
      <c r="D192" s="17">
        <f>24.8683 * CHOOSE(CONTROL!$C$15, $E$9, 100%, $G$9) + CHOOSE(CONTROL!$C$38, 0.0342, 0)</f>
        <v>24.9025</v>
      </c>
      <c r="E192" s="17">
        <f>24.8683 * CHOOSE(CONTROL!$C$15, $E$9, 100%, $G$9) + CHOOSE(CONTROL!$C$38, 0.0342, 0)</f>
        <v>24.9025</v>
      </c>
      <c r="F192" s="45">
        <f>26.4692 * CHOOSE(CONTROL!$C$15, $E$9, 100%, $G$9) + CHOOSE(CONTROL!$C$38, 0.034, 0)</f>
        <v>26.5032</v>
      </c>
      <c r="G192" s="17">
        <f>24.8745 * CHOOSE(CONTROL!$C$15, $E$9, 100%, $G$9) + CHOOSE(CONTROL!$C$38, 0.0342, 0)</f>
        <v>24.9087</v>
      </c>
      <c r="H192" s="17">
        <f>24.8745 * CHOOSE(CONTROL!$C$15, $E$9, 100%, $G$9) + CHOOSE(CONTROL!$C$38, 0.0342, 0)</f>
        <v>24.9087</v>
      </c>
      <c r="I192" s="17">
        <f>24.8761 * CHOOSE(CONTROL!$C$15, $E$9, 100%, $G$9) + CHOOSE(CONTROL!$C$38, 0.0342, 0)</f>
        <v>24.910299999999999</v>
      </c>
      <c r="J192" s="44">
        <f>145.9265</f>
        <v>145.9265</v>
      </c>
    </row>
    <row r="193" spans="1:10" ht="15" x14ac:dyDescent="0.2">
      <c r="A193" s="16">
        <v>46784</v>
      </c>
      <c r="B193" s="17">
        <f>26.8468 * CHOOSE(CONTROL!$C$15, $E$9, 100%, $G$9) + CHOOSE(CONTROL!$C$38, 0.034, 0)</f>
        <v>26.880800000000001</v>
      </c>
      <c r="C193" s="17">
        <f>25.2508 * CHOOSE(CONTROL!$C$15, $E$9, 100%, $G$9) + CHOOSE(CONTROL!$C$38, 0.0342, 0)</f>
        <v>25.285</v>
      </c>
      <c r="D193" s="17">
        <f>25.2429 * CHOOSE(CONTROL!$C$15, $E$9, 100%, $G$9) + CHOOSE(CONTROL!$C$38, 0.0342, 0)</f>
        <v>25.277099999999997</v>
      </c>
      <c r="E193" s="17">
        <f>25.2429 * CHOOSE(CONTROL!$C$15, $E$9, 100%, $G$9) + CHOOSE(CONTROL!$C$38, 0.0342, 0)</f>
        <v>25.277099999999997</v>
      </c>
      <c r="F193" s="45">
        <f>26.8468 * CHOOSE(CONTROL!$C$15, $E$9, 100%, $G$9) + CHOOSE(CONTROL!$C$38, 0.034, 0)</f>
        <v>26.880800000000001</v>
      </c>
      <c r="G193" s="17">
        <f>25.2492 * CHOOSE(CONTROL!$C$15, $E$9, 100%, $G$9) + CHOOSE(CONTROL!$C$38, 0.0342, 0)</f>
        <v>25.283399999999997</v>
      </c>
      <c r="H193" s="17">
        <f>25.2492 * CHOOSE(CONTROL!$C$15, $E$9, 100%, $G$9) + CHOOSE(CONTROL!$C$38, 0.0342, 0)</f>
        <v>25.283399999999997</v>
      </c>
      <c r="I193" s="17">
        <f>25.2508 * CHOOSE(CONTROL!$C$15, $E$9, 100%, $G$9) + CHOOSE(CONTROL!$C$38, 0.0342, 0)</f>
        <v>25.285</v>
      </c>
      <c r="J193" s="44">
        <f>145.8207</f>
        <v>145.82069999999999</v>
      </c>
    </row>
    <row r="194" spans="1:10" ht="15" x14ac:dyDescent="0.2">
      <c r="A194" s="16">
        <v>46813</v>
      </c>
      <c r="B194" s="17">
        <f>26.1484 * CHOOSE(CONTROL!$C$15, $E$9, 100%, $G$9) + CHOOSE(CONTROL!$C$38, 0.034, 0)</f>
        <v>26.182399999999998</v>
      </c>
      <c r="C194" s="17">
        <f>24.5494 * CHOOSE(CONTROL!$C$15, $E$9, 100%, $G$9) + CHOOSE(CONTROL!$C$38, 0.0342, 0)</f>
        <v>24.583599999999997</v>
      </c>
      <c r="D194" s="17">
        <f>24.5416 * CHOOSE(CONTROL!$C$15, $E$9, 100%, $G$9) + CHOOSE(CONTROL!$C$38, 0.0342, 0)</f>
        <v>24.575799999999997</v>
      </c>
      <c r="E194" s="17">
        <f>24.5416 * CHOOSE(CONTROL!$C$15, $E$9, 100%, $G$9) + CHOOSE(CONTROL!$C$38, 0.0342, 0)</f>
        <v>24.575799999999997</v>
      </c>
      <c r="F194" s="45">
        <f>26.1484 * CHOOSE(CONTROL!$C$15, $E$9, 100%, $G$9) + CHOOSE(CONTROL!$C$38, 0.034, 0)</f>
        <v>26.182399999999998</v>
      </c>
      <c r="G194" s="17">
        <f>24.5479 * CHOOSE(CONTROL!$C$15, $E$9, 100%, $G$9) + CHOOSE(CONTROL!$C$38, 0.0342, 0)</f>
        <v>24.582099999999997</v>
      </c>
      <c r="H194" s="17">
        <f>24.5479 * CHOOSE(CONTROL!$C$15, $E$9, 100%, $G$9) + CHOOSE(CONTROL!$C$38, 0.0342, 0)</f>
        <v>24.582099999999997</v>
      </c>
      <c r="I194" s="17">
        <f>24.5494 * CHOOSE(CONTROL!$C$15, $E$9, 100%, $G$9) + CHOOSE(CONTROL!$C$38, 0.0342, 0)</f>
        <v>24.583599999999997</v>
      </c>
      <c r="J194" s="44">
        <f>153.8224</f>
        <v>153.82239999999999</v>
      </c>
    </row>
    <row r="195" spans="1:10" ht="15" x14ac:dyDescent="0.2">
      <c r="A195" s="16">
        <v>46844</v>
      </c>
      <c r="B195" s="17">
        <f>25.4704 * CHOOSE(CONTROL!$C$15, $E$9, 100%, $G$9) + CHOOSE(CONTROL!$C$38, 0.034, 0)</f>
        <v>25.5044</v>
      </c>
      <c r="C195" s="17">
        <f>23.8685 * CHOOSE(CONTROL!$C$15, $E$9, 100%, $G$9) + CHOOSE(CONTROL!$C$38, 0.0342, 0)</f>
        <v>23.902699999999999</v>
      </c>
      <c r="D195" s="17">
        <f>23.8606 * CHOOSE(CONTROL!$C$15, $E$9, 100%, $G$9) + CHOOSE(CONTROL!$C$38, 0.0342, 0)</f>
        <v>23.8948</v>
      </c>
      <c r="E195" s="17">
        <f>23.8606 * CHOOSE(CONTROL!$C$15, $E$9, 100%, $G$9) + CHOOSE(CONTROL!$C$38, 0.0342, 0)</f>
        <v>23.8948</v>
      </c>
      <c r="F195" s="45">
        <f>25.4704 * CHOOSE(CONTROL!$C$15, $E$9, 100%, $G$9) + CHOOSE(CONTROL!$C$38, 0.034, 0)</f>
        <v>25.5044</v>
      </c>
      <c r="G195" s="17">
        <f>23.8669 * CHOOSE(CONTROL!$C$15, $E$9, 100%, $G$9) + CHOOSE(CONTROL!$C$38, 0.0342, 0)</f>
        <v>23.9011</v>
      </c>
      <c r="H195" s="17">
        <f>23.8669 * CHOOSE(CONTROL!$C$15, $E$9, 100%, $G$9) + CHOOSE(CONTROL!$C$38, 0.0342, 0)</f>
        <v>23.9011</v>
      </c>
      <c r="I195" s="17">
        <f>23.8685 * CHOOSE(CONTROL!$C$15, $E$9, 100%, $G$9) + CHOOSE(CONTROL!$C$38, 0.0342, 0)</f>
        <v>23.902699999999999</v>
      </c>
      <c r="J195" s="44">
        <f>164.1468</f>
        <v>164.14680000000001</v>
      </c>
    </row>
    <row r="196" spans="1:10" ht="15" x14ac:dyDescent="0.2">
      <c r="A196" s="16">
        <v>46874</v>
      </c>
      <c r="B196" s="17">
        <f>24.7586 * CHOOSE(CONTROL!$C$15, $E$9, 100%, $G$9) + CHOOSE(CONTROL!$C$38, 0.0353, 0)</f>
        <v>24.793900000000001</v>
      </c>
      <c r="C196" s="17">
        <f>23.1536 * CHOOSE(CONTROL!$C$15, $E$9, 100%, $G$9) + CHOOSE(CONTROL!$C$38, 0.0354, 0)</f>
        <v>23.189</v>
      </c>
      <c r="D196" s="17">
        <f>23.1458 * CHOOSE(CONTROL!$C$15, $E$9, 100%, $G$9) + CHOOSE(CONTROL!$C$38, 0.0354, 0)</f>
        <v>23.1812</v>
      </c>
      <c r="E196" s="17">
        <f>23.1458 * CHOOSE(CONTROL!$C$15, $E$9, 100%, $G$9) + CHOOSE(CONTROL!$C$38, 0.0354, 0)</f>
        <v>23.1812</v>
      </c>
      <c r="F196" s="45">
        <f>24.7586 * CHOOSE(CONTROL!$C$15, $E$9, 100%, $G$9) + CHOOSE(CONTROL!$C$38, 0.0353, 0)</f>
        <v>24.793900000000001</v>
      </c>
      <c r="G196" s="17">
        <f>23.1521 * CHOOSE(CONTROL!$C$15, $E$9, 100%, $G$9) + CHOOSE(CONTROL!$C$38, 0.0354, 0)</f>
        <v>23.1875</v>
      </c>
      <c r="H196" s="17">
        <f>23.1521 * CHOOSE(CONTROL!$C$15, $E$9, 100%, $G$9) + CHOOSE(CONTROL!$C$38, 0.0354, 0)</f>
        <v>23.1875</v>
      </c>
      <c r="I196" s="17">
        <f>23.1536 * CHOOSE(CONTROL!$C$15, $E$9, 100%, $G$9) + CHOOSE(CONTROL!$C$38, 0.0354, 0)</f>
        <v>23.189</v>
      </c>
      <c r="J196" s="44">
        <f>170.0047</f>
        <v>170.00470000000001</v>
      </c>
    </row>
    <row r="197" spans="1:10" ht="15" x14ac:dyDescent="0.2">
      <c r="A197" s="16">
        <v>46905</v>
      </c>
      <c r="B197" s="17">
        <f>24.2723 * CHOOSE(CONTROL!$C$15, $E$9, 100%, $G$9) + CHOOSE(CONTROL!$C$38, 0.0353, 0)</f>
        <v>24.307600000000001</v>
      </c>
      <c r="C197" s="17">
        <f>22.6643 * CHOOSE(CONTROL!$C$15, $E$9, 100%, $G$9) + CHOOSE(CONTROL!$C$38, 0.0354, 0)</f>
        <v>22.6997</v>
      </c>
      <c r="D197" s="17">
        <f>22.6565 * CHOOSE(CONTROL!$C$15, $E$9, 100%, $G$9) + CHOOSE(CONTROL!$C$38, 0.0354, 0)</f>
        <v>22.6919</v>
      </c>
      <c r="E197" s="17">
        <f>22.6565 * CHOOSE(CONTROL!$C$15, $E$9, 100%, $G$9) + CHOOSE(CONTROL!$C$38, 0.0354, 0)</f>
        <v>22.6919</v>
      </c>
      <c r="F197" s="45">
        <f>24.2723 * CHOOSE(CONTROL!$C$15, $E$9, 100%, $G$9) + CHOOSE(CONTROL!$C$38, 0.0353, 0)</f>
        <v>24.307600000000001</v>
      </c>
      <c r="G197" s="17">
        <f>22.6628 * CHOOSE(CONTROL!$C$15, $E$9, 100%, $G$9) + CHOOSE(CONTROL!$C$38, 0.0354, 0)</f>
        <v>22.6982</v>
      </c>
      <c r="H197" s="17">
        <f>22.6628 * CHOOSE(CONTROL!$C$15, $E$9, 100%, $G$9) + CHOOSE(CONTROL!$C$38, 0.0354, 0)</f>
        <v>22.6982</v>
      </c>
      <c r="I197" s="17">
        <f>22.6643 * CHOOSE(CONTROL!$C$15, $E$9, 100%, $G$9) + CHOOSE(CONTROL!$C$38, 0.0354, 0)</f>
        <v>22.6997</v>
      </c>
      <c r="J197" s="44">
        <f>172.8095</f>
        <v>172.80950000000001</v>
      </c>
    </row>
    <row r="198" spans="1:10" ht="15" x14ac:dyDescent="0.2">
      <c r="A198" s="16">
        <v>46935</v>
      </c>
      <c r="B198" s="17">
        <f>24.0145 * CHOOSE(CONTROL!$C$15, $E$9, 100%, $G$9) + CHOOSE(CONTROL!$C$38, 0.0353, 0)</f>
        <v>24.049800000000001</v>
      </c>
      <c r="C198" s="17">
        <f>22.4036 * CHOOSE(CONTROL!$C$15, $E$9, 100%, $G$9) + CHOOSE(CONTROL!$C$38, 0.0354, 0)</f>
        <v>22.439</v>
      </c>
      <c r="D198" s="17">
        <f>22.3957 * CHOOSE(CONTROL!$C$15, $E$9, 100%, $G$9) + CHOOSE(CONTROL!$C$38, 0.0354, 0)</f>
        <v>22.431100000000001</v>
      </c>
      <c r="E198" s="17">
        <f>22.3957 * CHOOSE(CONTROL!$C$15, $E$9, 100%, $G$9) + CHOOSE(CONTROL!$C$38, 0.0354, 0)</f>
        <v>22.431100000000001</v>
      </c>
      <c r="F198" s="45">
        <f>24.0145 * CHOOSE(CONTROL!$C$15, $E$9, 100%, $G$9) + CHOOSE(CONTROL!$C$38, 0.0353, 0)</f>
        <v>24.049800000000001</v>
      </c>
      <c r="G198" s="17">
        <f>22.402 * CHOOSE(CONTROL!$C$15, $E$9, 100%, $G$9) + CHOOSE(CONTROL!$C$38, 0.0354, 0)</f>
        <v>22.4374</v>
      </c>
      <c r="H198" s="17">
        <f>22.402 * CHOOSE(CONTROL!$C$15, $E$9, 100%, $G$9) + CHOOSE(CONTROL!$C$38, 0.0354, 0)</f>
        <v>22.4374</v>
      </c>
      <c r="I198" s="17">
        <f>22.4036 * CHOOSE(CONTROL!$C$15, $E$9, 100%, $G$9) + CHOOSE(CONTROL!$C$38, 0.0354, 0)</f>
        <v>22.439</v>
      </c>
      <c r="J198" s="44">
        <f>172.3556</f>
        <v>172.35560000000001</v>
      </c>
    </row>
    <row r="199" spans="1:10" ht="15" x14ac:dyDescent="0.2">
      <c r="A199" s="16">
        <v>46966</v>
      </c>
      <c r="B199" s="17">
        <f>24.2143 * CHOOSE(CONTROL!$C$15, $E$9, 100%, $G$9) + CHOOSE(CONTROL!$C$38, 0.0353, 0)</f>
        <v>24.249600000000001</v>
      </c>
      <c r="C199" s="17">
        <f>22.6003 * CHOOSE(CONTROL!$C$15, $E$9, 100%, $G$9) + CHOOSE(CONTROL!$C$38, 0.0354, 0)</f>
        <v>22.6357</v>
      </c>
      <c r="D199" s="17">
        <f>22.5925 * CHOOSE(CONTROL!$C$15, $E$9, 100%, $G$9) + CHOOSE(CONTROL!$C$38, 0.0354, 0)</f>
        <v>22.6279</v>
      </c>
      <c r="E199" s="17">
        <f>22.5925 * CHOOSE(CONTROL!$C$15, $E$9, 100%, $G$9) + CHOOSE(CONTROL!$C$38, 0.0354, 0)</f>
        <v>22.6279</v>
      </c>
      <c r="F199" s="45">
        <f>24.2143 * CHOOSE(CONTROL!$C$15, $E$9, 100%, $G$9) + CHOOSE(CONTROL!$C$38, 0.0353, 0)</f>
        <v>24.249600000000001</v>
      </c>
      <c r="G199" s="17">
        <f>22.5988 * CHOOSE(CONTROL!$C$15, $E$9, 100%, $G$9) + CHOOSE(CONTROL!$C$38, 0.0354, 0)</f>
        <v>22.6342</v>
      </c>
      <c r="H199" s="17">
        <f>22.5988 * CHOOSE(CONTROL!$C$15, $E$9, 100%, $G$9) + CHOOSE(CONTROL!$C$38, 0.0354, 0)</f>
        <v>22.6342</v>
      </c>
      <c r="I199" s="17">
        <f>22.6003 * CHOOSE(CONTROL!$C$15, $E$9, 100%, $G$9) + CHOOSE(CONTROL!$C$38, 0.0354, 0)</f>
        <v>22.6357</v>
      </c>
      <c r="J199" s="44">
        <f>168.69</f>
        <v>168.69</v>
      </c>
    </row>
    <row r="200" spans="1:10" ht="15" x14ac:dyDescent="0.2">
      <c r="A200" s="16">
        <v>46997</v>
      </c>
      <c r="B200" s="17">
        <f>24.6755 * CHOOSE(CONTROL!$C$15, $E$9, 100%, $G$9) + CHOOSE(CONTROL!$C$38, 0.0353, 0)</f>
        <v>24.710799999999999</v>
      </c>
      <c r="C200" s="17">
        <f>23.0585 * CHOOSE(CONTROL!$C$15, $E$9, 100%, $G$9) + CHOOSE(CONTROL!$C$38, 0.0354, 0)</f>
        <v>23.093899999999998</v>
      </c>
      <c r="D200" s="17">
        <f>23.0507 * CHOOSE(CONTROL!$C$15, $E$9, 100%, $G$9) + CHOOSE(CONTROL!$C$38, 0.0354, 0)</f>
        <v>23.086099999999998</v>
      </c>
      <c r="E200" s="17">
        <f>23.0507 * CHOOSE(CONTROL!$C$15, $E$9, 100%, $G$9) + CHOOSE(CONTROL!$C$38, 0.0354, 0)</f>
        <v>23.086099999999998</v>
      </c>
      <c r="F200" s="45">
        <f>24.6755 * CHOOSE(CONTROL!$C$15, $E$9, 100%, $G$9) + CHOOSE(CONTROL!$C$38, 0.0353, 0)</f>
        <v>24.710799999999999</v>
      </c>
      <c r="G200" s="17">
        <f>23.057 * CHOOSE(CONTROL!$C$15, $E$9, 100%, $G$9) + CHOOSE(CONTROL!$C$38, 0.0354, 0)</f>
        <v>23.092399999999998</v>
      </c>
      <c r="H200" s="17">
        <f>23.057 * CHOOSE(CONTROL!$C$15, $E$9, 100%, $G$9) + CHOOSE(CONTROL!$C$38, 0.0354, 0)</f>
        <v>23.092399999999998</v>
      </c>
      <c r="I200" s="17">
        <f>23.0585 * CHOOSE(CONTROL!$C$15, $E$9, 100%, $G$9) + CHOOSE(CONTROL!$C$38, 0.0354, 0)</f>
        <v>23.093899999999998</v>
      </c>
      <c r="J200" s="44">
        <f>163.419</f>
        <v>163.41900000000001</v>
      </c>
    </row>
    <row r="201" spans="1:10" ht="15" x14ac:dyDescent="0.2">
      <c r="A201" s="16">
        <v>47027</v>
      </c>
      <c r="B201" s="17">
        <f>25.0713 * CHOOSE(CONTROL!$C$15, $E$9, 100%, $G$9) + CHOOSE(CONTROL!$C$38, 0.034, 0)</f>
        <v>25.1053</v>
      </c>
      <c r="C201" s="17">
        <f>23.4514 * CHOOSE(CONTROL!$C$15, $E$9, 100%, $G$9) + CHOOSE(CONTROL!$C$38, 0.0342, 0)</f>
        <v>23.485599999999998</v>
      </c>
      <c r="D201" s="17">
        <f>23.4436 * CHOOSE(CONTROL!$C$15, $E$9, 100%, $G$9) + CHOOSE(CONTROL!$C$38, 0.0342, 0)</f>
        <v>23.477799999999998</v>
      </c>
      <c r="E201" s="17">
        <f>23.4436 * CHOOSE(CONTROL!$C$15, $E$9, 100%, $G$9) + CHOOSE(CONTROL!$C$38, 0.0342, 0)</f>
        <v>23.477799999999998</v>
      </c>
      <c r="F201" s="45">
        <f>25.0713 * CHOOSE(CONTROL!$C$15, $E$9, 100%, $G$9) + CHOOSE(CONTROL!$C$38, 0.034, 0)</f>
        <v>25.1053</v>
      </c>
      <c r="G201" s="17">
        <f>23.4498 * CHOOSE(CONTROL!$C$15, $E$9, 100%, $G$9) + CHOOSE(CONTROL!$C$38, 0.0342, 0)</f>
        <v>23.483999999999998</v>
      </c>
      <c r="H201" s="17">
        <f>23.4498 * CHOOSE(CONTROL!$C$15, $E$9, 100%, $G$9) + CHOOSE(CONTROL!$C$38, 0.0342, 0)</f>
        <v>23.483999999999998</v>
      </c>
      <c r="I201" s="17">
        <f>23.4514 * CHOOSE(CONTROL!$C$15, $E$9, 100%, $G$9) + CHOOSE(CONTROL!$C$38, 0.0342, 0)</f>
        <v>23.485599999999998</v>
      </c>
      <c r="J201" s="44">
        <f>158.0927</f>
        <v>158.09270000000001</v>
      </c>
    </row>
    <row r="202" spans="1:10" ht="15" x14ac:dyDescent="0.2">
      <c r="A202" s="16">
        <v>47058</v>
      </c>
      <c r="B202" s="17">
        <f>25.4112 * CHOOSE(CONTROL!$C$15, $E$9, 100%, $G$9) + CHOOSE(CONTROL!$C$38, 0.034, 0)</f>
        <v>25.4452</v>
      </c>
      <c r="C202" s="17">
        <f>23.7883 * CHOOSE(CONTROL!$C$15, $E$9, 100%, $G$9) + CHOOSE(CONTROL!$C$38, 0.0342, 0)</f>
        <v>23.822499999999998</v>
      </c>
      <c r="D202" s="17">
        <f>23.7805 * CHOOSE(CONTROL!$C$15, $E$9, 100%, $G$9) + CHOOSE(CONTROL!$C$38, 0.0342, 0)</f>
        <v>23.814699999999998</v>
      </c>
      <c r="E202" s="17">
        <f>23.7805 * CHOOSE(CONTROL!$C$15, $E$9, 100%, $G$9) + CHOOSE(CONTROL!$C$38, 0.0342, 0)</f>
        <v>23.814699999999998</v>
      </c>
      <c r="F202" s="45">
        <f>25.4112 * CHOOSE(CONTROL!$C$15, $E$9, 100%, $G$9) + CHOOSE(CONTROL!$C$38, 0.034, 0)</f>
        <v>25.4452</v>
      </c>
      <c r="G202" s="17">
        <f>23.7867 * CHOOSE(CONTROL!$C$15, $E$9, 100%, $G$9) + CHOOSE(CONTROL!$C$38, 0.0342, 0)</f>
        <v>23.820899999999998</v>
      </c>
      <c r="H202" s="17">
        <f>23.7867 * CHOOSE(CONTROL!$C$15, $E$9, 100%, $G$9) + CHOOSE(CONTROL!$C$38, 0.0342, 0)</f>
        <v>23.820899999999998</v>
      </c>
      <c r="I202" s="17">
        <f>23.7883 * CHOOSE(CONTROL!$C$15, $E$9, 100%, $G$9) + CHOOSE(CONTROL!$C$38, 0.0342, 0)</f>
        <v>23.822499999999998</v>
      </c>
      <c r="J202" s="44">
        <f>157.2896</f>
        <v>157.28960000000001</v>
      </c>
    </row>
    <row r="203" spans="1:10" ht="15" x14ac:dyDescent="0.2">
      <c r="A203" s="16">
        <v>47088</v>
      </c>
      <c r="B203" s="17">
        <f>26.3563 * CHOOSE(CONTROL!$C$15, $E$9, 100%, $G$9) + CHOOSE(CONTROL!$C$38, 0.034, 0)</f>
        <v>26.3903</v>
      </c>
      <c r="C203" s="17">
        <f>24.7303 * CHOOSE(CONTROL!$C$15, $E$9, 100%, $G$9) + CHOOSE(CONTROL!$C$38, 0.0342, 0)</f>
        <v>24.764499999999998</v>
      </c>
      <c r="D203" s="17">
        <f>24.7225 * CHOOSE(CONTROL!$C$15, $E$9, 100%, $G$9) + CHOOSE(CONTROL!$C$38, 0.0342, 0)</f>
        <v>24.756699999999999</v>
      </c>
      <c r="E203" s="17">
        <f>24.7225 * CHOOSE(CONTROL!$C$15, $E$9, 100%, $G$9) + CHOOSE(CONTROL!$C$38, 0.0342, 0)</f>
        <v>24.756699999999999</v>
      </c>
      <c r="F203" s="45">
        <f>26.3563 * CHOOSE(CONTROL!$C$15, $E$9, 100%, $G$9) + CHOOSE(CONTROL!$C$38, 0.034, 0)</f>
        <v>26.3903</v>
      </c>
      <c r="G203" s="17">
        <f>24.7288 * CHOOSE(CONTROL!$C$15, $E$9, 100%, $G$9) + CHOOSE(CONTROL!$C$38, 0.0342, 0)</f>
        <v>24.762999999999998</v>
      </c>
      <c r="H203" s="17">
        <f>24.7288 * CHOOSE(CONTROL!$C$15, $E$9, 100%, $G$9) + CHOOSE(CONTROL!$C$38, 0.0342, 0)</f>
        <v>24.762999999999998</v>
      </c>
      <c r="I203" s="17">
        <f>24.7303 * CHOOSE(CONTROL!$C$15, $E$9, 100%, $G$9) + CHOOSE(CONTROL!$C$38, 0.0342, 0)</f>
        <v>24.764499999999998</v>
      </c>
      <c r="J203" s="44">
        <f>152.9364</f>
        <v>152.93639999999999</v>
      </c>
    </row>
    <row r="204" spans="1:10" ht="15" x14ac:dyDescent="0.2">
      <c r="A204" s="16">
        <v>47119</v>
      </c>
      <c r="B204" s="17">
        <f>27.1295 * CHOOSE(CONTROL!$C$15, $E$9, 100%, $G$9) + CHOOSE(CONTROL!$C$38, 0.034, 0)</f>
        <v>27.163499999999999</v>
      </c>
      <c r="C204" s="17">
        <f>25.5228 * CHOOSE(CONTROL!$C$15, $E$9, 100%, $G$9) + CHOOSE(CONTROL!$C$38, 0.0342, 0)</f>
        <v>25.556999999999999</v>
      </c>
      <c r="D204" s="17">
        <f>25.515 * CHOOSE(CONTROL!$C$15, $E$9, 100%, $G$9) + CHOOSE(CONTROL!$C$38, 0.0342, 0)</f>
        <v>25.549199999999999</v>
      </c>
      <c r="E204" s="17">
        <f>25.515 * CHOOSE(CONTROL!$C$15, $E$9, 100%, $G$9) + CHOOSE(CONTROL!$C$38, 0.0342, 0)</f>
        <v>25.549199999999999</v>
      </c>
      <c r="F204" s="45">
        <f>27.1295 * CHOOSE(CONTROL!$C$15, $E$9, 100%, $G$9) + CHOOSE(CONTROL!$C$38, 0.034, 0)</f>
        <v>27.163499999999999</v>
      </c>
      <c r="G204" s="17">
        <f>25.5212 * CHOOSE(CONTROL!$C$15, $E$9, 100%, $G$9) + CHOOSE(CONTROL!$C$38, 0.0342, 0)</f>
        <v>25.555399999999999</v>
      </c>
      <c r="H204" s="17">
        <f>25.5212 * CHOOSE(CONTROL!$C$15, $E$9, 100%, $G$9) + CHOOSE(CONTROL!$C$38, 0.0342, 0)</f>
        <v>25.555399999999999</v>
      </c>
      <c r="I204" s="17">
        <f>25.5228 * CHOOSE(CONTROL!$C$15, $E$9, 100%, $G$9) + CHOOSE(CONTROL!$C$38, 0.0342, 0)</f>
        <v>25.556999999999999</v>
      </c>
      <c r="J204" s="44">
        <f>149.6023</f>
        <v>149.60230000000001</v>
      </c>
    </row>
    <row r="205" spans="1:10" ht="15" x14ac:dyDescent="0.2">
      <c r="A205" s="16">
        <v>47150</v>
      </c>
      <c r="B205" s="17">
        <f>27.5166 * CHOOSE(CONTROL!$C$15, $E$9, 100%, $G$9) + CHOOSE(CONTROL!$C$38, 0.034, 0)</f>
        <v>27.550599999999999</v>
      </c>
      <c r="C205" s="17">
        <f>25.9069 * CHOOSE(CONTROL!$C$15, $E$9, 100%, $G$9) + CHOOSE(CONTROL!$C$38, 0.0342, 0)</f>
        <v>25.941099999999999</v>
      </c>
      <c r="D205" s="17">
        <f>25.8991 * CHOOSE(CONTROL!$C$15, $E$9, 100%, $G$9) + CHOOSE(CONTROL!$C$38, 0.0342, 0)</f>
        <v>25.933299999999999</v>
      </c>
      <c r="E205" s="17">
        <f>25.8991 * CHOOSE(CONTROL!$C$15, $E$9, 100%, $G$9) + CHOOSE(CONTROL!$C$38, 0.0342, 0)</f>
        <v>25.933299999999999</v>
      </c>
      <c r="F205" s="45">
        <f>27.5166 * CHOOSE(CONTROL!$C$15, $E$9, 100%, $G$9) + CHOOSE(CONTROL!$C$38, 0.034, 0)</f>
        <v>27.550599999999999</v>
      </c>
      <c r="G205" s="17">
        <f>25.9053 * CHOOSE(CONTROL!$C$15, $E$9, 100%, $G$9) + CHOOSE(CONTROL!$C$38, 0.0342, 0)</f>
        <v>25.939499999999999</v>
      </c>
      <c r="H205" s="17">
        <f>25.9053 * CHOOSE(CONTROL!$C$15, $E$9, 100%, $G$9) + CHOOSE(CONTROL!$C$38, 0.0342, 0)</f>
        <v>25.939499999999999</v>
      </c>
      <c r="I205" s="17">
        <f>25.9069 * CHOOSE(CONTROL!$C$15, $E$9, 100%, $G$9) + CHOOSE(CONTROL!$C$38, 0.0342, 0)</f>
        <v>25.941099999999999</v>
      </c>
      <c r="J205" s="44">
        <f>149.4937</f>
        <v>149.49369999999999</v>
      </c>
    </row>
    <row r="206" spans="1:10" ht="15" x14ac:dyDescent="0.2">
      <c r="A206" s="16">
        <v>47178</v>
      </c>
      <c r="B206" s="17">
        <f>26.8008 * CHOOSE(CONTROL!$C$15, $E$9, 100%, $G$9) + CHOOSE(CONTROL!$C$38, 0.034, 0)</f>
        <v>26.834799999999998</v>
      </c>
      <c r="C206" s="17">
        <f>25.1881 * CHOOSE(CONTROL!$C$15, $E$9, 100%, $G$9) + CHOOSE(CONTROL!$C$38, 0.0342, 0)</f>
        <v>25.222299999999997</v>
      </c>
      <c r="D206" s="17">
        <f>25.1803 * CHOOSE(CONTROL!$C$15, $E$9, 100%, $G$9) + CHOOSE(CONTROL!$C$38, 0.0342, 0)</f>
        <v>25.214499999999997</v>
      </c>
      <c r="E206" s="17">
        <f>25.1803 * CHOOSE(CONTROL!$C$15, $E$9, 100%, $G$9) + CHOOSE(CONTROL!$C$38, 0.0342, 0)</f>
        <v>25.214499999999997</v>
      </c>
      <c r="F206" s="45">
        <f>26.8008 * CHOOSE(CONTROL!$C$15, $E$9, 100%, $G$9) + CHOOSE(CONTROL!$C$38, 0.034, 0)</f>
        <v>26.834799999999998</v>
      </c>
      <c r="G206" s="17">
        <f>25.1865 * CHOOSE(CONTROL!$C$15, $E$9, 100%, $G$9) + CHOOSE(CONTROL!$C$38, 0.0342, 0)</f>
        <v>25.220699999999997</v>
      </c>
      <c r="H206" s="17">
        <f>25.1865 * CHOOSE(CONTROL!$C$15, $E$9, 100%, $G$9) + CHOOSE(CONTROL!$C$38, 0.0342, 0)</f>
        <v>25.220699999999997</v>
      </c>
      <c r="I206" s="17">
        <f>25.1881 * CHOOSE(CONTROL!$C$15, $E$9, 100%, $G$9) + CHOOSE(CONTROL!$C$38, 0.0342, 0)</f>
        <v>25.222299999999997</v>
      </c>
      <c r="J206" s="44">
        <f>157.6971</f>
        <v>157.69710000000001</v>
      </c>
    </row>
    <row r="207" spans="1:10" ht="15" x14ac:dyDescent="0.2">
      <c r="A207" s="16">
        <v>47209</v>
      </c>
      <c r="B207" s="17">
        <f>26.1059 * CHOOSE(CONTROL!$C$15, $E$9, 100%, $G$9) + CHOOSE(CONTROL!$C$38, 0.034, 0)</f>
        <v>26.139899999999997</v>
      </c>
      <c r="C207" s="17">
        <f>24.4902 * CHOOSE(CONTROL!$C$15, $E$9, 100%, $G$9) + CHOOSE(CONTROL!$C$38, 0.0342, 0)</f>
        <v>24.5244</v>
      </c>
      <c r="D207" s="17">
        <f>24.4824 * CHOOSE(CONTROL!$C$15, $E$9, 100%, $G$9) + CHOOSE(CONTROL!$C$38, 0.0342, 0)</f>
        <v>24.516599999999997</v>
      </c>
      <c r="E207" s="17">
        <f>24.4824 * CHOOSE(CONTROL!$C$15, $E$9, 100%, $G$9) + CHOOSE(CONTROL!$C$38, 0.0342, 0)</f>
        <v>24.516599999999997</v>
      </c>
      <c r="F207" s="45">
        <f>26.1059 * CHOOSE(CONTROL!$C$15, $E$9, 100%, $G$9) + CHOOSE(CONTROL!$C$38, 0.034, 0)</f>
        <v>26.139899999999997</v>
      </c>
      <c r="G207" s="17">
        <f>24.4886 * CHOOSE(CONTROL!$C$15, $E$9, 100%, $G$9) + CHOOSE(CONTROL!$C$38, 0.0342, 0)</f>
        <v>24.5228</v>
      </c>
      <c r="H207" s="17">
        <f>24.4886 * CHOOSE(CONTROL!$C$15, $E$9, 100%, $G$9) + CHOOSE(CONTROL!$C$38, 0.0342, 0)</f>
        <v>24.5228</v>
      </c>
      <c r="I207" s="17">
        <f>24.4902 * CHOOSE(CONTROL!$C$15, $E$9, 100%, $G$9) + CHOOSE(CONTROL!$C$38, 0.0342, 0)</f>
        <v>24.5244</v>
      </c>
      <c r="J207" s="44">
        <f>168.2814</f>
        <v>168.28139999999999</v>
      </c>
    </row>
    <row r="208" spans="1:10" ht="15" x14ac:dyDescent="0.2">
      <c r="A208" s="16">
        <v>47239</v>
      </c>
      <c r="B208" s="17">
        <f>25.3763 * CHOOSE(CONTROL!$C$15, $E$9, 100%, $G$9) + CHOOSE(CONTROL!$C$38, 0.0353, 0)</f>
        <v>25.4116</v>
      </c>
      <c r="C208" s="17">
        <f>23.7576 * CHOOSE(CONTROL!$C$15, $E$9, 100%, $G$9) + CHOOSE(CONTROL!$C$38, 0.0354, 0)</f>
        <v>23.792999999999999</v>
      </c>
      <c r="D208" s="17">
        <f>23.7498 * CHOOSE(CONTROL!$C$15, $E$9, 100%, $G$9) + CHOOSE(CONTROL!$C$38, 0.0354, 0)</f>
        <v>23.7852</v>
      </c>
      <c r="E208" s="17">
        <f>23.7498 * CHOOSE(CONTROL!$C$15, $E$9, 100%, $G$9) + CHOOSE(CONTROL!$C$38, 0.0354, 0)</f>
        <v>23.7852</v>
      </c>
      <c r="F208" s="45">
        <f>25.3763 * CHOOSE(CONTROL!$C$15, $E$9, 100%, $G$9) + CHOOSE(CONTROL!$C$38, 0.0353, 0)</f>
        <v>25.4116</v>
      </c>
      <c r="G208" s="17">
        <f>23.756 * CHOOSE(CONTROL!$C$15, $E$9, 100%, $G$9) + CHOOSE(CONTROL!$C$38, 0.0354, 0)</f>
        <v>23.791399999999999</v>
      </c>
      <c r="H208" s="17">
        <f>23.756 * CHOOSE(CONTROL!$C$15, $E$9, 100%, $G$9) + CHOOSE(CONTROL!$C$38, 0.0354, 0)</f>
        <v>23.791399999999999</v>
      </c>
      <c r="I208" s="17">
        <f>23.7576 * CHOOSE(CONTROL!$C$15, $E$9, 100%, $G$9) + CHOOSE(CONTROL!$C$38, 0.0354, 0)</f>
        <v>23.792999999999999</v>
      </c>
      <c r="J208" s="44">
        <f>174.2869</f>
        <v>174.2869</v>
      </c>
    </row>
    <row r="209" spans="1:10" ht="15" x14ac:dyDescent="0.2">
      <c r="A209" s="16">
        <v>47270</v>
      </c>
      <c r="B209" s="17">
        <f>24.8778 * CHOOSE(CONTROL!$C$15, $E$9, 100%, $G$9) + CHOOSE(CONTROL!$C$38, 0.0353, 0)</f>
        <v>24.9131</v>
      </c>
      <c r="C209" s="17">
        <f>23.2561 * CHOOSE(CONTROL!$C$15, $E$9, 100%, $G$9) + CHOOSE(CONTROL!$C$38, 0.0354, 0)</f>
        <v>23.291499999999999</v>
      </c>
      <c r="D209" s="17">
        <f>23.2483 * CHOOSE(CONTROL!$C$15, $E$9, 100%, $G$9) + CHOOSE(CONTROL!$C$38, 0.0354, 0)</f>
        <v>23.2837</v>
      </c>
      <c r="E209" s="17">
        <f>23.2483 * CHOOSE(CONTROL!$C$15, $E$9, 100%, $G$9) + CHOOSE(CONTROL!$C$38, 0.0354, 0)</f>
        <v>23.2837</v>
      </c>
      <c r="F209" s="45">
        <f>24.8778 * CHOOSE(CONTROL!$C$15, $E$9, 100%, $G$9) + CHOOSE(CONTROL!$C$38, 0.0353, 0)</f>
        <v>24.9131</v>
      </c>
      <c r="G209" s="17">
        <f>23.2546 * CHOOSE(CONTROL!$C$15, $E$9, 100%, $G$9) + CHOOSE(CONTROL!$C$38, 0.0354, 0)</f>
        <v>23.29</v>
      </c>
      <c r="H209" s="17">
        <f>23.2546 * CHOOSE(CONTROL!$C$15, $E$9, 100%, $G$9) + CHOOSE(CONTROL!$C$38, 0.0354, 0)</f>
        <v>23.29</v>
      </c>
      <c r="I209" s="17">
        <f>23.2561 * CHOOSE(CONTROL!$C$15, $E$9, 100%, $G$9) + CHOOSE(CONTROL!$C$38, 0.0354, 0)</f>
        <v>23.291499999999999</v>
      </c>
      <c r="J209" s="44">
        <f>177.1624</f>
        <v>177.16239999999999</v>
      </c>
    </row>
    <row r="210" spans="1:10" ht="15" x14ac:dyDescent="0.2">
      <c r="A210" s="16">
        <v>47300</v>
      </c>
      <c r="B210" s="17">
        <f>24.6136 * CHOOSE(CONTROL!$C$15, $E$9, 100%, $G$9) + CHOOSE(CONTROL!$C$38, 0.0353, 0)</f>
        <v>24.648900000000001</v>
      </c>
      <c r="C210" s="17">
        <f>22.9889 * CHOOSE(CONTROL!$C$15, $E$9, 100%, $G$9) + CHOOSE(CONTROL!$C$38, 0.0354, 0)</f>
        <v>23.0243</v>
      </c>
      <c r="D210" s="17">
        <f>22.9811 * CHOOSE(CONTROL!$C$15, $E$9, 100%, $G$9) + CHOOSE(CONTROL!$C$38, 0.0354, 0)</f>
        <v>23.016500000000001</v>
      </c>
      <c r="E210" s="17">
        <f>22.9811 * CHOOSE(CONTROL!$C$15, $E$9, 100%, $G$9) + CHOOSE(CONTROL!$C$38, 0.0354, 0)</f>
        <v>23.016500000000001</v>
      </c>
      <c r="F210" s="45">
        <f>24.6136 * CHOOSE(CONTROL!$C$15, $E$9, 100%, $G$9) + CHOOSE(CONTROL!$C$38, 0.0353, 0)</f>
        <v>24.648900000000001</v>
      </c>
      <c r="G210" s="17">
        <f>22.9873 * CHOOSE(CONTROL!$C$15, $E$9, 100%, $G$9) + CHOOSE(CONTROL!$C$38, 0.0354, 0)</f>
        <v>23.0227</v>
      </c>
      <c r="H210" s="17">
        <f>22.9873 * CHOOSE(CONTROL!$C$15, $E$9, 100%, $G$9) + CHOOSE(CONTROL!$C$38, 0.0354, 0)</f>
        <v>23.0227</v>
      </c>
      <c r="I210" s="17">
        <f>22.9889 * CHOOSE(CONTROL!$C$15, $E$9, 100%, $G$9) + CHOOSE(CONTROL!$C$38, 0.0354, 0)</f>
        <v>23.0243</v>
      </c>
      <c r="J210" s="44">
        <f>176.697</f>
        <v>176.697</v>
      </c>
    </row>
    <row r="211" spans="1:10" ht="15" x14ac:dyDescent="0.2">
      <c r="A211" s="16">
        <v>47331</v>
      </c>
      <c r="B211" s="17">
        <f>24.8184 * CHOOSE(CONTROL!$C$15, $E$9, 100%, $G$9) + CHOOSE(CONTROL!$C$38, 0.0353, 0)</f>
        <v>24.8537</v>
      </c>
      <c r="C211" s="17">
        <f>23.1907 * CHOOSE(CONTROL!$C$15, $E$9, 100%, $G$9) + CHOOSE(CONTROL!$C$38, 0.0354, 0)</f>
        <v>23.226099999999999</v>
      </c>
      <c r="D211" s="17">
        <f>23.1828 * CHOOSE(CONTROL!$C$15, $E$9, 100%, $G$9) + CHOOSE(CONTROL!$C$38, 0.0354, 0)</f>
        <v>23.2182</v>
      </c>
      <c r="E211" s="17">
        <f>23.1828 * CHOOSE(CONTROL!$C$15, $E$9, 100%, $G$9) + CHOOSE(CONTROL!$C$38, 0.0354, 0)</f>
        <v>23.2182</v>
      </c>
      <c r="F211" s="45">
        <f>24.8184 * CHOOSE(CONTROL!$C$15, $E$9, 100%, $G$9) + CHOOSE(CONTROL!$C$38, 0.0353, 0)</f>
        <v>24.8537</v>
      </c>
      <c r="G211" s="17">
        <f>23.1891 * CHOOSE(CONTROL!$C$15, $E$9, 100%, $G$9) + CHOOSE(CONTROL!$C$38, 0.0354, 0)</f>
        <v>23.224499999999999</v>
      </c>
      <c r="H211" s="17">
        <f>23.1891 * CHOOSE(CONTROL!$C$15, $E$9, 100%, $G$9) + CHOOSE(CONTROL!$C$38, 0.0354, 0)</f>
        <v>23.224499999999999</v>
      </c>
      <c r="I211" s="17">
        <f>23.1907 * CHOOSE(CONTROL!$C$15, $E$9, 100%, $G$9) + CHOOSE(CONTROL!$C$38, 0.0354, 0)</f>
        <v>23.226099999999999</v>
      </c>
      <c r="J211" s="44">
        <f>172.9391</f>
        <v>172.9391</v>
      </c>
    </row>
    <row r="212" spans="1:10" ht="15" x14ac:dyDescent="0.2">
      <c r="A212" s="16">
        <v>47362</v>
      </c>
      <c r="B212" s="17">
        <f>25.2912 * CHOOSE(CONTROL!$C$15, $E$9, 100%, $G$9) + CHOOSE(CONTROL!$C$38, 0.0353, 0)</f>
        <v>25.326499999999999</v>
      </c>
      <c r="C212" s="17">
        <f>23.6604 * CHOOSE(CONTROL!$C$15, $E$9, 100%, $G$9) + CHOOSE(CONTROL!$C$38, 0.0354, 0)</f>
        <v>23.695799999999998</v>
      </c>
      <c r="D212" s="17">
        <f>23.6526 * CHOOSE(CONTROL!$C$15, $E$9, 100%, $G$9) + CHOOSE(CONTROL!$C$38, 0.0354, 0)</f>
        <v>23.687999999999999</v>
      </c>
      <c r="E212" s="17">
        <f>23.6526 * CHOOSE(CONTROL!$C$15, $E$9, 100%, $G$9) + CHOOSE(CONTROL!$C$38, 0.0354, 0)</f>
        <v>23.687999999999999</v>
      </c>
      <c r="F212" s="45">
        <f>25.2912 * CHOOSE(CONTROL!$C$15, $E$9, 100%, $G$9) + CHOOSE(CONTROL!$C$38, 0.0353, 0)</f>
        <v>25.326499999999999</v>
      </c>
      <c r="G212" s="17">
        <f>23.6588 * CHOOSE(CONTROL!$C$15, $E$9, 100%, $G$9) + CHOOSE(CONTROL!$C$38, 0.0354, 0)</f>
        <v>23.694199999999999</v>
      </c>
      <c r="H212" s="17">
        <f>23.6588 * CHOOSE(CONTROL!$C$15, $E$9, 100%, $G$9) + CHOOSE(CONTROL!$C$38, 0.0354, 0)</f>
        <v>23.694199999999999</v>
      </c>
      <c r="I212" s="17">
        <f>23.6604 * CHOOSE(CONTROL!$C$15, $E$9, 100%, $G$9) + CHOOSE(CONTROL!$C$38, 0.0354, 0)</f>
        <v>23.695799999999998</v>
      </c>
      <c r="J212" s="44">
        <f>167.5353</f>
        <v>167.53530000000001</v>
      </c>
    </row>
    <row r="213" spans="1:10" ht="15" x14ac:dyDescent="0.2">
      <c r="A213" s="16">
        <v>47392</v>
      </c>
      <c r="B213" s="17">
        <f>25.697 * CHOOSE(CONTROL!$C$15, $E$9, 100%, $G$9) + CHOOSE(CONTROL!$C$38, 0.034, 0)</f>
        <v>25.730999999999998</v>
      </c>
      <c r="C213" s="17">
        <f>24.0631 * CHOOSE(CONTROL!$C$15, $E$9, 100%, $G$9) + CHOOSE(CONTROL!$C$38, 0.0342, 0)</f>
        <v>24.097299999999997</v>
      </c>
      <c r="D213" s="17">
        <f>24.0553 * CHOOSE(CONTROL!$C$15, $E$9, 100%, $G$9) + CHOOSE(CONTROL!$C$38, 0.0342, 0)</f>
        <v>24.089499999999997</v>
      </c>
      <c r="E213" s="17">
        <f>24.0553 * CHOOSE(CONTROL!$C$15, $E$9, 100%, $G$9) + CHOOSE(CONTROL!$C$38, 0.0342, 0)</f>
        <v>24.089499999999997</v>
      </c>
      <c r="F213" s="45">
        <f>25.697 * CHOOSE(CONTROL!$C$15, $E$9, 100%, $G$9) + CHOOSE(CONTROL!$C$38, 0.034, 0)</f>
        <v>25.730999999999998</v>
      </c>
      <c r="G213" s="17">
        <f>24.0615 * CHOOSE(CONTROL!$C$15, $E$9, 100%, $G$9) + CHOOSE(CONTROL!$C$38, 0.0342, 0)</f>
        <v>24.095699999999997</v>
      </c>
      <c r="H213" s="17">
        <f>24.0615 * CHOOSE(CONTROL!$C$15, $E$9, 100%, $G$9) + CHOOSE(CONTROL!$C$38, 0.0342, 0)</f>
        <v>24.095699999999997</v>
      </c>
      <c r="I213" s="17">
        <f>24.0631 * CHOOSE(CONTROL!$C$15, $E$9, 100%, $G$9) + CHOOSE(CONTROL!$C$38, 0.0342, 0)</f>
        <v>24.097299999999997</v>
      </c>
      <c r="J213" s="44">
        <f>162.0749</f>
        <v>162.07490000000001</v>
      </c>
    </row>
    <row r="214" spans="1:10" ht="15" x14ac:dyDescent="0.2">
      <c r="A214" s="16">
        <v>47423</v>
      </c>
      <c r="B214" s="17">
        <f>26.0454 * CHOOSE(CONTROL!$C$15, $E$9, 100%, $G$9) + CHOOSE(CONTROL!$C$38, 0.034, 0)</f>
        <v>26.0794</v>
      </c>
      <c r="C214" s="17">
        <f>24.4085 * CHOOSE(CONTROL!$C$15, $E$9, 100%, $G$9) + CHOOSE(CONTROL!$C$38, 0.0342, 0)</f>
        <v>24.442699999999999</v>
      </c>
      <c r="D214" s="17">
        <f>24.4007 * CHOOSE(CONTROL!$C$15, $E$9, 100%, $G$9) + CHOOSE(CONTROL!$C$38, 0.0342, 0)</f>
        <v>24.434899999999999</v>
      </c>
      <c r="E214" s="17">
        <f>24.4007 * CHOOSE(CONTROL!$C$15, $E$9, 100%, $G$9) + CHOOSE(CONTROL!$C$38, 0.0342, 0)</f>
        <v>24.434899999999999</v>
      </c>
      <c r="F214" s="45">
        <f>26.0454 * CHOOSE(CONTROL!$C$15, $E$9, 100%, $G$9) + CHOOSE(CONTROL!$C$38, 0.034, 0)</f>
        <v>26.0794</v>
      </c>
      <c r="G214" s="17">
        <f>24.4069 * CHOOSE(CONTROL!$C$15, $E$9, 100%, $G$9) + CHOOSE(CONTROL!$C$38, 0.0342, 0)</f>
        <v>24.441099999999999</v>
      </c>
      <c r="H214" s="17">
        <f>24.4069 * CHOOSE(CONTROL!$C$15, $E$9, 100%, $G$9) + CHOOSE(CONTROL!$C$38, 0.0342, 0)</f>
        <v>24.441099999999999</v>
      </c>
      <c r="I214" s="17">
        <f>24.4085 * CHOOSE(CONTROL!$C$15, $E$9, 100%, $G$9) + CHOOSE(CONTROL!$C$38, 0.0342, 0)</f>
        <v>24.442699999999999</v>
      </c>
      <c r="J214" s="44">
        <f>161.2516</f>
        <v>161.2516</v>
      </c>
    </row>
    <row r="215" spans="1:10" ht="15" x14ac:dyDescent="0.2">
      <c r="A215" s="16">
        <v>47453</v>
      </c>
      <c r="B215" s="17">
        <f>27.0141 * CHOOSE(CONTROL!$C$15, $E$9, 100%, $G$9) + CHOOSE(CONTROL!$C$38, 0.034, 0)</f>
        <v>27.048099999999998</v>
      </c>
      <c r="C215" s="17">
        <f>25.3742 * CHOOSE(CONTROL!$C$15, $E$9, 100%, $G$9) + CHOOSE(CONTROL!$C$38, 0.0342, 0)</f>
        <v>25.408399999999997</v>
      </c>
      <c r="D215" s="17">
        <f>25.3664 * CHOOSE(CONTROL!$C$15, $E$9, 100%, $G$9) + CHOOSE(CONTROL!$C$38, 0.0342, 0)</f>
        <v>25.400599999999997</v>
      </c>
      <c r="E215" s="17">
        <f>25.3664 * CHOOSE(CONTROL!$C$15, $E$9, 100%, $G$9) + CHOOSE(CONTROL!$C$38, 0.0342, 0)</f>
        <v>25.400599999999997</v>
      </c>
      <c r="F215" s="45">
        <f>27.0141 * CHOOSE(CONTROL!$C$15, $E$9, 100%, $G$9) + CHOOSE(CONTROL!$C$38, 0.034, 0)</f>
        <v>27.048099999999998</v>
      </c>
      <c r="G215" s="17">
        <f>25.3726 * CHOOSE(CONTROL!$C$15, $E$9, 100%, $G$9) + CHOOSE(CONTROL!$C$38, 0.0342, 0)</f>
        <v>25.406799999999997</v>
      </c>
      <c r="H215" s="17">
        <f>25.3726 * CHOOSE(CONTROL!$C$15, $E$9, 100%, $G$9) + CHOOSE(CONTROL!$C$38, 0.0342, 0)</f>
        <v>25.406799999999997</v>
      </c>
      <c r="I215" s="17">
        <f>25.3742 * CHOOSE(CONTROL!$C$15, $E$9, 100%, $G$9) + CHOOSE(CONTROL!$C$38, 0.0342, 0)</f>
        <v>25.408399999999997</v>
      </c>
      <c r="J215" s="44">
        <f>156.7887</f>
        <v>156.78870000000001</v>
      </c>
    </row>
    <row r="216" spans="1:10" ht="15" x14ac:dyDescent="0.2">
      <c r="A216" s="16">
        <v>47484</v>
      </c>
      <c r="B216" s="17">
        <f>27.7509 * CHOOSE(CONTROL!$C$15, $E$9, 100%, $G$9) + CHOOSE(CONTROL!$C$38, 0.034, 0)</f>
        <v>27.7849</v>
      </c>
      <c r="C216" s="17">
        <f>26.1368 * CHOOSE(CONTROL!$C$15, $E$9, 100%, $G$9) + CHOOSE(CONTROL!$C$38, 0.0342, 0)</f>
        <v>26.170999999999999</v>
      </c>
      <c r="D216" s="17">
        <f>26.129 * CHOOSE(CONTROL!$C$15, $E$9, 100%, $G$9) + CHOOSE(CONTROL!$C$38, 0.0342, 0)</f>
        <v>26.1632</v>
      </c>
      <c r="E216" s="17">
        <f>26.129 * CHOOSE(CONTROL!$C$15, $E$9, 100%, $G$9) + CHOOSE(CONTROL!$C$38, 0.0342, 0)</f>
        <v>26.1632</v>
      </c>
      <c r="F216" s="45">
        <f>27.7509 * CHOOSE(CONTROL!$C$15, $E$9, 100%, $G$9) + CHOOSE(CONTROL!$C$38, 0.034, 0)</f>
        <v>27.7849</v>
      </c>
      <c r="G216" s="17">
        <f>26.1353 * CHOOSE(CONTROL!$C$15, $E$9, 100%, $G$9) + CHOOSE(CONTROL!$C$38, 0.0342, 0)</f>
        <v>26.169499999999999</v>
      </c>
      <c r="H216" s="17">
        <f>26.1353 * CHOOSE(CONTROL!$C$15, $E$9, 100%, $G$9) + CHOOSE(CONTROL!$C$38, 0.0342, 0)</f>
        <v>26.169499999999999</v>
      </c>
      <c r="I216" s="17">
        <f>26.1368 * CHOOSE(CONTROL!$C$15, $E$9, 100%, $G$9) + CHOOSE(CONTROL!$C$38, 0.0342, 0)</f>
        <v>26.170999999999999</v>
      </c>
      <c r="J216" s="44">
        <f>153.3705</f>
        <v>153.37049999999999</v>
      </c>
    </row>
    <row r="217" spans="1:10" ht="15" x14ac:dyDescent="0.2">
      <c r="A217" s="16">
        <v>47515</v>
      </c>
      <c r="B217" s="17">
        <f>28.1476 * CHOOSE(CONTROL!$C$15, $E$9, 100%, $G$9) + CHOOSE(CONTROL!$C$38, 0.034, 0)</f>
        <v>28.1816</v>
      </c>
      <c r="C217" s="17">
        <f>26.5305 * CHOOSE(CONTROL!$C$15, $E$9, 100%, $G$9) + CHOOSE(CONTROL!$C$38, 0.0342, 0)</f>
        <v>26.564699999999998</v>
      </c>
      <c r="D217" s="17">
        <f>26.5227 * CHOOSE(CONTROL!$C$15, $E$9, 100%, $G$9) + CHOOSE(CONTROL!$C$38, 0.0342, 0)</f>
        <v>26.556899999999999</v>
      </c>
      <c r="E217" s="17">
        <f>26.5227 * CHOOSE(CONTROL!$C$15, $E$9, 100%, $G$9) + CHOOSE(CONTROL!$C$38, 0.0342, 0)</f>
        <v>26.556899999999999</v>
      </c>
      <c r="F217" s="45">
        <f>28.1476 * CHOOSE(CONTROL!$C$15, $E$9, 100%, $G$9) + CHOOSE(CONTROL!$C$38, 0.034, 0)</f>
        <v>28.1816</v>
      </c>
      <c r="G217" s="17">
        <f>26.529 * CHOOSE(CONTROL!$C$15, $E$9, 100%, $G$9) + CHOOSE(CONTROL!$C$38, 0.0342, 0)</f>
        <v>26.563199999999998</v>
      </c>
      <c r="H217" s="17">
        <f>26.529 * CHOOSE(CONTROL!$C$15, $E$9, 100%, $G$9) + CHOOSE(CONTROL!$C$38, 0.0342, 0)</f>
        <v>26.563199999999998</v>
      </c>
      <c r="I217" s="17">
        <f>26.5305 * CHOOSE(CONTROL!$C$15, $E$9, 100%, $G$9) + CHOOSE(CONTROL!$C$38, 0.0342, 0)</f>
        <v>26.564699999999998</v>
      </c>
      <c r="J217" s="44">
        <f>153.2592</f>
        <v>153.25919999999999</v>
      </c>
    </row>
    <row r="218" spans="1:10" ht="15" x14ac:dyDescent="0.2">
      <c r="A218" s="16">
        <v>47543</v>
      </c>
      <c r="B218" s="17">
        <f>27.4138 * CHOOSE(CONTROL!$C$15, $E$9, 100%, $G$9) + CHOOSE(CONTROL!$C$38, 0.034, 0)</f>
        <v>27.447799999999997</v>
      </c>
      <c r="C218" s="17">
        <f>25.7937 * CHOOSE(CONTROL!$C$15, $E$9, 100%, $G$9) + CHOOSE(CONTROL!$C$38, 0.0342, 0)</f>
        <v>25.8279</v>
      </c>
      <c r="D218" s="17">
        <f>25.7859 * CHOOSE(CONTROL!$C$15, $E$9, 100%, $G$9) + CHOOSE(CONTROL!$C$38, 0.0342, 0)</f>
        <v>25.8201</v>
      </c>
      <c r="E218" s="17">
        <f>25.7859 * CHOOSE(CONTROL!$C$15, $E$9, 100%, $G$9) + CHOOSE(CONTROL!$C$38, 0.0342, 0)</f>
        <v>25.8201</v>
      </c>
      <c r="F218" s="45">
        <f>27.4138 * CHOOSE(CONTROL!$C$15, $E$9, 100%, $G$9) + CHOOSE(CONTROL!$C$38, 0.034, 0)</f>
        <v>27.447799999999997</v>
      </c>
      <c r="G218" s="17">
        <f>25.7922 * CHOOSE(CONTROL!$C$15, $E$9, 100%, $G$9) + CHOOSE(CONTROL!$C$38, 0.0342, 0)</f>
        <v>25.8264</v>
      </c>
      <c r="H218" s="17">
        <f>25.7922 * CHOOSE(CONTROL!$C$15, $E$9, 100%, $G$9) + CHOOSE(CONTROL!$C$38, 0.0342, 0)</f>
        <v>25.8264</v>
      </c>
      <c r="I218" s="17">
        <f>25.7937 * CHOOSE(CONTROL!$C$15, $E$9, 100%, $G$9) + CHOOSE(CONTROL!$C$38, 0.0342, 0)</f>
        <v>25.8279</v>
      </c>
      <c r="J218" s="44">
        <f>161.6692</f>
        <v>161.66919999999999</v>
      </c>
    </row>
    <row r="219" spans="1:10" ht="15" x14ac:dyDescent="0.2">
      <c r="A219" s="16">
        <v>47574</v>
      </c>
      <c r="B219" s="17">
        <f>26.7015 * CHOOSE(CONTROL!$C$15, $E$9, 100%, $G$9) + CHOOSE(CONTROL!$C$38, 0.034, 0)</f>
        <v>26.735499999999998</v>
      </c>
      <c r="C219" s="17">
        <f>25.0783 * CHOOSE(CONTROL!$C$15, $E$9, 100%, $G$9) + CHOOSE(CONTROL!$C$38, 0.0342, 0)</f>
        <v>25.112499999999997</v>
      </c>
      <c r="D219" s="17">
        <f>25.0705 * CHOOSE(CONTROL!$C$15, $E$9, 100%, $G$9) + CHOOSE(CONTROL!$C$38, 0.0342, 0)</f>
        <v>25.104699999999998</v>
      </c>
      <c r="E219" s="17">
        <f>25.0705 * CHOOSE(CONTROL!$C$15, $E$9, 100%, $G$9) + CHOOSE(CONTROL!$C$38, 0.0342, 0)</f>
        <v>25.104699999999998</v>
      </c>
      <c r="F219" s="45">
        <f>26.7015 * CHOOSE(CONTROL!$C$15, $E$9, 100%, $G$9) + CHOOSE(CONTROL!$C$38, 0.034, 0)</f>
        <v>26.735499999999998</v>
      </c>
      <c r="G219" s="17">
        <f>25.0768 * CHOOSE(CONTROL!$C$15, $E$9, 100%, $G$9) + CHOOSE(CONTROL!$C$38, 0.0342, 0)</f>
        <v>25.110999999999997</v>
      </c>
      <c r="H219" s="17">
        <f>25.0768 * CHOOSE(CONTROL!$C$15, $E$9, 100%, $G$9) + CHOOSE(CONTROL!$C$38, 0.0342, 0)</f>
        <v>25.110999999999997</v>
      </c>
      <c r="I219" s="17">
        <f>25.0783 * CHOOSE(CONTROL!$C$15, $E$9, 100%, $G$9) + CHOOSE(CONTROL!$C$38, 0.0342, 0)</f>
        <v>25.112499999999997</v>
      </c>
      <c r="J219" s="44">
        <f>172.5201</f>
        <v>172.52010000000001</v>
      </c>
    </row>
    <row r="220" spans="1:10" ht="15" x14ac:dyDescent="0.2">
      <c r="A220" s="16">
        <v>47604</v>
      </c>
      <c r="B220" s="17">
        <f>25.9535 * CHOOSE(CONTROL!$C$15, $E$9, 100%, $G$9) + CHOOSE(CONTROL!$C$38, 0.0353, 0)</f>
        <v>25.988799999999998</v>
      </c>
      <c r="C220" s="17">
        <f>24.3274 * CHOOSE(CONTROL!$C$15, $E$9, 100%, $G$9) + CHOOSE(CONTROL!$C$38, 0.0354, 0)</f>
        <v>24.3628</v>
      </c>
      <c r="D220" s="17">
        <f>24.3196 * CHOOSE(CONTROL!$C$15, $E$9, 100%, $G$9) + CHOOSE(CONTROL!$C$38, 0.0354, 0)</f>
        <v>24.355</v>
      </c>
      <c r="E220" s="17">
        <f>24.3196 * CHOOSE(CONTROL!$C$15, $E$9, 100%, $G$9) + CHOOSE(CONTROL!$C$38, 0.0354, 0)</f>
        <v>24.355</v>
      </c>
      <c r="F220" s="45">
        <f>25.9535 * CHOOSE(CONTROL!$C$15, $E$9, 100%, $G$9) + CHOOSE(CONTROL!$C$38, 0.0353, 0)</f>
        <v>25.988799999999998</v>
      </c>
      <c r="G220" s="17">
        <f>24.3258 * CHOOSE(CONTROL!$C$15, $E$9, 100%, $G$9) + CHOOSE(CONTROL!$C$38, 0.0354, 0)</f>
        <v>24.3612</v>
      </c>
      <c r="H220" s="17">
        <f>24.3258 * CHOOSE(CONTROL!$C$15, $E$9, 100%, $G$9) + CHOOSE(CONTROL!$C$38, 0.0354, 0)</f>
        <v>24.3612</v>
      </c>
      <c r="I220" s="17">
        <f>24.3274 * CHOOSE(CONTROL!$C$15, $E$9, 100%, $G$9) + CHOOSE(CONTROL!$C$38, 0.0354, 0)</f>
        <v>24.3628</v>
      </c>
      <c r="J220" s="44">
        <f>178.6769</f>
        <v>178.67689999999999</v>
      </c>
    </row>
    <row r="221" spans="1:10" ht="15" x14ac:dyDescent="0.2">
      <c r="A221" s="16">
        <v>47635</v>
      </c>
      <c r="B221" s="17">
        <f>25.4425 * CHOOSE(CONTROL!$C$15, $E$9, 100%, $G$9) + CHOOSE(CONTROL!$C$38, 0.0353, 0)</f>
        <v>25.477799999999998</v>
      </c>
      <c r="C221" s="17">
        <f>23.8134 * CHOOSE(CONTROL!$C$15, $E$9, 100%, $G$9) + CHOOSE(CONTROL!$C$38, 0.0354, 0)</f>
        <v>23.848800000000001</v>
      </c>
      <c r="D221" s="17">
        <f>23.8056 * CHOOSE(CONTROL!$C$15, $E$9, 100%, $G$9) + CHOOSE(CONTROL!$C$38, 0.0354, 0)</f>
        <v>23.840999999999998</v>
      </c>
      <c r="E221" s="17">
        <f>23.8056 * CHOOSE(CONTROL!$C$15, $E$9, 100%, $G$9) + CHOOSE(CONTROL!$C$38, 0.0354, 0)</f>
        <v>23.840999999999998</v>
      </c>
      <c r="F221" s="45">
        <f>25.4425 * CHOOSE(CONTROL!$C$15, $E$9, 100%, $G$9) + CHOOSE(CONTROL!$C$38, 0.0353, 0)</f>
        <v>25.477799999999998</v>
      </c>
      <c r="G221" s="17">
        <f>23.8118 * CHOOSE(CONTROL!$C$15, $E$9, 100%, $G$9) + CHOOSE(CONTROL!$C$38, 0.0354, 0)</f>
        <v>23.847200000000001</v>
      </c>
      <c r="H221" s="17">
        <f>23.8118 * CHOOSE(CONTROL!$C$15, $E$9, 100%, $G$9) + CHOOSE(CONTROL!$C$38, 0.0354, 0)</f>
        <v>23.847200000000001</v>
      </c>
      <c r="I221" s="17">
        <f>23.8134 * CHOOSE(CONTROL!$C$15, $E$9, 100%, $G$9) + CHOOSE(CONTROL!$C$38, 0.0354, 0)</f>
        <v>23.848800000000001</v>
      </c>
      <c r="J221" s="44">
        <f>181.6248</f>
        <v>181.62479999999999</v>
      </c>
    </row>
    <row r="222" spans="1:10" ht="15" x14ac:dyDescent="0.2">
      <c r="A222" s="16">
        <v>47665</v>
      </c>
      <c r="B222" s="17">
        <f>25.1716 * CHOOSE(CONTROL!$C$15, $E$9, 100%, $G$9) + CHOOSE(CONTROL!$C$38, 0.0353, 0)</f>
        <v>25.206900000000001</v>
      </c>
      <c r="C222" s="17">
        <f>23.5394 * CHOOSE(CONTROL!$C$15, $E$9, 100%, $G$9) + CHOOSE(CONTROL!$C$38, 0.0354, 0)</f>
        <v>23.5748</v>
      </c>
      <c r="D222" s="17">
        <f>23.5316 * CHOOSE(CONTROL!$C$15, $E$9, 100%, $G$9) + CHOOSE(CONTROL!$C$38, 0.0354, 0)</f>
        <v>23.567</v>
      </c>
      <c r="E222" s="17">
        <f>23.5316 * CHOOSE(CONTROL!$C$15, $E$9, 100%, $G$9) + CHOOSE(CONTROL!$C$38, 0.0354, 0)</f>
        <v>23.567</v>
      </c>
      <c r="F222" s="45">
        <f>25.1716 * CHOOSE(CONTROL!$C$15, $E$9, 100%, $G$9) + CHOOSE(CONTROL!$C$38, 0.0353, 0)</f>
        <v>25.206900000000001</v>
      </c>
      <c r="G222" s="17">
        <f>23.5379 * CHOOSE(CONTROL!$C$15, $E$9, 100%, $G$9) + CHOOSE(CONTROL!$C$38, 0.0354, 0)</f>
        <v>23.5733</v>
      </c>
      <c r="H222" s="17">
        <f>23.5379 * CHOOSE(CONTROL!$C$15, $E$9, 100%, $G$9) + CHOOSE(CONTROL!$C$38, 0.0354, 0)</f>
        <v>23.5733</v>
      </c>
      <c r="I222" s="17">
        <f>23.5394 * CHOOSE(CONTROL!$C$15, $E$9, 100%, $G$9) + CHOOSE(CONTROL!$C$38, 0.0354, 0)</f>
        <v>23.5748</v>
      </c>
      <c r="J222" s="44">
        <f>181.1477</f>
        <v>181.14769999999999</v>
      </c>
    </row>
    <row r="223" spans="1:10" ht="15" x14ac:dyDescent="0.2">
      <c r="A223" s="16">
        <v>47696</v>
      </c>
      <c r="B223" s="17">
        <f>25.3306 * CHOOSE(CONTROL!$C$15, $E$9, 100%, $G$9) + CHOOSE(CONTROL!$C$38, 0.0353, 0)</f>
        <v>25.3659</v>
      </c>
      <c r="C223" s="17">
        <f>23.6984 * CHOOSE(CONTROL!$C$15, $E$9, 100%, $G$9) + CHOOSE(CONTROL!$C$38, 0.0354, 0)</f>
        <v>23.733799999999999</v>
      </c>
      <c r="D223" s="17">
        <f>23.6906 * CHOOSE(CONTROL!$C$15, $E$9, 100%, $G$9) + CHOOSE(CONTROL!$C$38, 0.0354, 0)</f>
        <v>23.725999999999999</v>
      </c>
      <c r="E223" s="17">
        <f>23.6906 * CHOOSE(CONTROL!$C$15, $E$9, 100%, $G$9) + CHOOSE(CONTROL!$C$38, 0.0354, 0)</f>
        <v>23.725999999999999</v>
      </c>
      <c r="F223" s="45">
        <f>25.3306 * CHOOSE(CONTROL!$C$15, $E$9, 100%, $G$9) + CHOOSE(CONTROL!$C$38, 0.0353, 0)</f>
        <v>25.3659</v>
      </c>
      <c r="G223" s="17">
        <f>23.6968 * CHOOSE(CONTROL!$C$15, $E$9, 100%, $G$9) + CHOOSE(CONTROL!$C$38, 0.0354, 0)</f>
        <v>23.732199999999999</v>
      </c>
      <c r="H223" s="17">
        <f>23.6968 * CHOOSE(CONTROL!$C$15, $E$9, 100%, $G$9) + CHOOSE(CONTROL!$C$38, 0.0354, 0)</f>
        <v>23.732199999999999</v>
      </c>
      <c r="I223" s="17">
        <f>23.6984 * CHOOSE(CONTROL!$C$15, $E$9, 100%, $G$9) + CHOOSE(CONTROL!$C$38, 0.0354, 0)</f>
        <v>23.733799999999999</v>
      </c>
      <c r="J223" s="44">
        <f>176.9307</f>
        <v>176.9307</v>
      </c>
    </row>
    <row r="224" spans="1:10" ht="15" x14ac:dyDescent="0.2">
      <c r="A224" s="16">
        <v>47727</v>
      </c>
      <c r="B224" s="17">
        <f>25.7623 * CHOOSE(CONTROL!$C$15, $E$9, 100%, $G$9) + CHOOSE(CONTROL!$C$38, 0.0353, 0)</f>
        <v>25.797599999999999</v>
      </c>
      <c r="C224" s="17">
        <f>24.1301 * CHOOSE(CONTROL!$C$15, $E$9, 100%, $G$9) + CHOOSE(CONTROL!$C$38, 0.0354, 0)</f>
        <v>24.165499999999998</v>
      </c>
      <c r="D224" s="17">
        <f>24.1223 * CHOOSE(CONTROL!$C$15, $E$9, 100%, $G$9) + CHOOSE(CONTROL!$C$38, 0.0354, 0)</f>
        <v>24.157699999999998</v>
      </c>
      <c r="E224" s="17">
        <f>24.1223 * CHOOSE(CONTROL!$C$15, $E$9, 100%, $G$9) + CHOOSE(CONTROL!$C$38, 0.0354, 0)</f>
        <v>24.157699999999998</v>
      </c>
      <c r="F224" s="45">
        <f>25.7623 * CHOOSE(CONTROL!$C$15, $E$9, 100%, $G$9) + CHOOSE(CONTROL!$C$38, 0.0353, 0)</f>
        <v>25.797599999999999</v>
      </c>
      <c r="G224" s="17">
        <f>24.1285 * CHOOSE(CONTROL!$C$15, $E$9, 100%, $G$9) + CHOOSE(CONTROL!$C$38, 0.0354, 0)</f>
        <v>24.163899999999998</v>
      </c>
      <c r="H224" s="17">
        <f>24.1285 * CHOOSE(CONTROL!$C$15, $E$9, 100%, $G$9) + CHOOSE(CONTROL!$C$38, 0.0354, 0)</f>
        <v>24.163899999999998</v>
      </c>
      <c r="I224" s="17">
        <f>24.1301 * CHOOSE(CONTROL!$C$15, $E$9, 100%, $G$9) + CHOOSE(CONTROL!$C$38, 0.0354, 0)</f>
        <v>24.165499999999998</v>
      </c>
      <c r="J224" s="44">
        <f>171.0498</f>
        <v>171.0498</v>
      </c>
    </row>
    <row r="225" spans="1:10" ht="15" x14ac:dyDescent="0.2">
      <c r="A225" s="16">
        <v>47757</v>
      </c>
      <c r="B225" s="17">
        <f>26.1238 * CHOOSE(CONTROL!$C$15, $E$9, 100%, $G$9) + CHOOSE(CONTROL!$C$38, 0.034, 0)</f>
        <v>26.157799999999998</v>
      </c>
      <c r="C225" s="17">
        <f>24.4916 * CHOOSE(CONTROL!$C$15, $E$9, 100%, $G$9) + CHOOSE(CONTROL!$C$38, 0.0342, 0)</f>
        <v>24.525799999999997</v>
      </c>
      <c r="D225" s="17">
        <f>24.4838 * CHOOSE(CONTROL!$C$15, $E$9, 100%, $G$9) + CHOOSE(CONTROL!$C$38, 0.0342, 0)</f>
        <v>24.517999999999997</v>
      </c>
      <c r="E225" s="17">
        <f>24.4838 * CHOOSE(CONTROL!$C$15, $E$9, 100%, $G$9) + CHOOSE(CONTROL!$C$38, 0.0342, 0)</f>
        <v>24.517999999999997</v>
      </c>
      <c r="F225" s="45">
        <f>26.1238 * CHOOSE(CONTROL!$C$15, $E$9, 100%, $G$9) + CHOOSE(CONTROL!$C$38, 0.034, 0)</f>
        <v>26.157799999999998</v>
      </c>
      <c r="G225" s="17">
        <f>24.4901 * CHOOSE(CONTROL!$C$15, $E$9, 100%, $G$9) + CHOOSE(CONTROL!$C$38, 0.0342, 0)</f>
        <v>24.5243</v>
      </c>
      <c r="H225" s="17">
        <f>24.4901 * CHOOSE(CONTROL!$C$15, $E$9, 100%, $G$9) + CHOOSE(CONTROL!$C$38, 0.0342, 0)</f>
        <v>24.5243</v>
      </c>
      <c r="I225" s="17">
        <f>24.4916 * CHOOSE(CONTROL!$C$15, $E$9, 100%, $G$9) + CHOOSE(CONTROL!$C$38, 0.0342, 0)</f>
        <v>24.525799999999997</v>
      </c>
      <c r="J225" s="44">
        <f>165.1347</f>
        <v>165.13470000000001</v>
      </c>
    </row>
    <row r="226" spans="1:10" ht="15" x14ac:dyDescent="0.2">
      <c r="A226" s="16">
        <v>47788</v>
      </c>
      <c r="B226" s="17">
        <f>26.4256 * CHOOSE(CONTROL!$C$15, $E$9, 100%, $G$9) + CHOOSE(CONTROL!$C$38, 0.034, 0)</f>
        <v>26.459599999999998</v>
      </c>
      <c r="C226" s="17">
        <f>24.7933 * CHOOSE(CONTROL!$C$15, $E$9, 100%, $G$9) + CHOOSE(CONTROL!$C$38, 0.0342, 0)</f>
        <v>24.827499999999997</v>
      </c>
      <c r="D226" s="17">
        <f>24.7855 * CHOOSE(CONTROL!$C$15, $E$9, 100%, $G$9) + CHOOSE(CONTROL!$C$38, 0.0342, 0)</f>
        <v>24.819699999999997</v>
      </c>
      <c r="E226" s="17">
        <f>24.7855 * CHOOSE(CONTROL!$C$15, $E$9, 100%, $G$9) + CHOOSE(CONTROL!$C$38, 0.0342, 0)</f>
        <v>24.819699999999997</v>
      </c>
      <c r="F226" s="45">
        <f>26.4256 * CHOOSE(CONTROL!$C$15, $E$9, 100%, $G$9) + CHOOSE(CONTROL!$C$38, 0.034, 0)</f>
        <v>26.459599999999998</v>
      </c>
      <c r="G226" s="17">
        <f>24.7918 * CHOOSE(CONTROL!$C$15, $E$9, 100%, $G$9) + CHOOSE(CONTROL!$C$38, 0.0342, 0)</f>
        <v>24.825999999999997</v>
      </c>
      <c r="H226" s="17">
        <f>24.7918 * CHOOSE(CONTROL!$C$15, $E$9, 100%, $G$9) + CHOOSE(CONTROL!$C$38, 0.0342, 0)</f>
        <v>24.825999999999997</v>
      </c>
      <c r="I226" s="17">
        <f>24.7933 * CHOOSE(CONTROL!$C$15, $E$9, 100%, $G$9) + CHOOSE(CONTROL!$C$38, 0.0342, 0)</f>
        <v>24.827499999999997</v>
      </c>
      <c r="J226" s="44">
        <f>163.9581</f>
        <v>163.9581</v>
      </c>
    </row>
    <row r="227" spans="1:10" ht="15" x14ac:dyDescent="0.2">
      <c r="A227" s="16">
        <v>47818</v>
      </c>
      <c r="B227" s="17">
        <f>27.3552 * CHOOSE(CONTROL!$C$15, $E$9, 100%, $G$9) + CHOOSE(CONTROL!$C$38, 0.034, 0)</f>
        <v>27.389199999999999</v>
      </c>
      <c r="C227" s="17">
        <f>25.723 * CHOOSE(CONTROL!$C$15, $E$9, 100%, $G$9) + CHOOSE(CONTROL!$C$38, 0.0342, 0)</f>
        <v>25.757199999999997</v>
      </c>
      <c r="D227" s="17">
        <f>25.7152 * CHOOSE(CONTROL!$C$15, $E$9, 100%, $G$9) + CHOOSE(CONTROL!$C$38, 0.0342, 0)</f>
        <v>25.749399999999998</v>
      </c>
      <c r="E227" s="17">
        <f>25.7152 * CHOOSE(CONTROL!$C$15, $E$9, 100%, $G$9) + CHOOSE(CONTROL!$C$38, 0.0342, 0)</f>
        <v>25.749399999999998</v>
      </c>
      <c r="F227" s="45">
        <f>27.3552 * CHOOSE(CONTROL!$C$15, $E$9, 100%, $G$9) + CHOOSE(CONTROL!$C$38, 0.034, 0)</f>
        <v>27.389199999999999</v>
      </c>
      <c r="G227" s="17">
        <f>25.7214 * CHOOSE(CONTROL!$C$15, $E$9, 100%, $G$9) + CHOOSE(CONTROL!$C$38, 0.0342, 0)</f>
        <v>25.755599999999998</v>
      </c>
      <c r="H227" s="17">
        <f>25.7214 * CHOOSE(CONTROL!$C$15, $E$9, 100%, $G$9) + CHOOSE(CONTROL!$C$38, 0.0342, 0)</f>
        <v>25.755599999999998</v>
      </c>
      <c r="I227" s="17">
        <f>25.723 * CHOOSE(CONTROL!$C$15, $E$9, 100%, $G$9) + CHOOSE(CONTROL!$C$38, 0.0342, 0)</f>
        <v>25.757199999999997</v>
      </c>
      <c r="J227" s="44">
        <f>159.0926</f>
        <v>159.0926</v>
      </c>
    </row>
    <row r="228" spans="1:10" ht="15" x14ac:dyDescent="0.2">
      <c r="A228" s="16">
        <v>47849</v>
      </c>
      <c r="B228" s="17">
        <f>28.5239 * CHOOSE(CONTROL!$C$15, $E$9, 100%, $G$9) + CHOOSE(CONTROL!$C$38, 0.034, 0)</f>
        <v>28.5579</v>
      </c>
      <c r="C228" s="17">
        <f>26.8669 * CHOOSE(CONTROL!$C$15, $E$9, 100%, $G$9) + CHOOSE(CONTROL!$C$38, 0.0342, 0)</f>
        <v>26.9011</v>
      </c>
      <c r="D228" s="17">
        <f>26.8591 * CHOOSE(CONTROL!$C$15, $E$9, 100%, $G$9) + CHOOSE(CONTROL!$C$38, 0.0342, 0)</f>
        <v>26.8933</v>
      </c>
      <c r="E228" s="17">
        <f>26.8591 * CHOOSE(CONTROL!$C$15, $E$9, 100%, $G$9) + CHOOSE(CONTROL!$C$38, 0.0342, 0)</f>
        <v>26.8933</v>
      </c>
      <c r="F228" s="45">
        <f>28.5239 * CHOOSE(CONTROL!$C$15, $E$9, 100%, $G$9) + CHOOSE(CONTROL!$C$38, 0.034, 0)</f>
        <v>28.5579</v>
      </c>
      <c r="G228" s="17">
        <f>26.8653 * CHOOSE(CONTROL!$C$15, $E$9, 100%, $G$9) + CHOOSE(CONTROL!$C$38, 0.0342, 0)</f>
        <v>26.8995</v>
      </c>
      <c r="H228" s="17">
        <f>26.8653 * CHOOSE(CONTROL!$C$15, $E$9, 100%, $G$9) + CHOOSE(CONTROL!$C$38, 0.0342, 0)</f>
        <v>26.8995</v>
      </c>
      <c r="I228" s="17">
        <f>26.8669 * CHOOSE(CONTROL!$C$15, $E$9, 100%, $G$9) + CHOOSE(CONTROL!$C$38, 0.0342, 0)</f>
        <v>26.9011</v>
      </c>
      <c r="J228" s="44">
        <f>158.9778</f>
        <v>158.9778</v>
      </c>
    </row>
    <row r="229" spans="1:10" ht="15" x14ac:dyDescent="0.2">
      <c r="A229" s="16">
        <v>47880</v>
      </c>
      <c r="B229" s="17">
        <f>28.8682 * CHOOSE(CONTROL!$C$15, $E$9, 100%, $G$9) + CHOOSE(CONTROL!$C$38, 0.034, 0)</f>
        <v>28.902200000000001</v>
      </c>
      <c r="C229" s="17">
        <f>27.2112 * CHOOSE(CONTROL!$C$15, $E$9, 100%, $G$9) + CHOOSE(CONTROL!$C$38, 0.0342, 0)</f>
        <v>27.2454</v>
      </c>
      <c r="D229" s="17">
        <f>27.2034 * CHOOSE(CONTROL!$C$15, $E$9, 100%, $G$9) + CHOOSE(CONTROL!$C$38, 0.0342, 0)</f>
        <v>27.237599999999997</v>
      </c>
      <c r="E229" s="17">
        <f>27.2034 * CHOOSE(CONTROL!$C$15, $E$9, 100%, $G$9) + CHOOSE(CONTROL!$C$38, 0.0342, 0)</f>
        <v>27.237599999999997</v>
      </c>
      <c r="F229" s="45">
        <f>28.8682 * CHOOSE(CONTROL!$C$15, $E$9, 100%, $G$9) + CHOOSE(CONTROL!$C$38, 0.034, 0)</f>
        <v>28.902200000000001</v>
      </c>
      <c r="G229" s="17">
        <f>27.2096 * CHOOSE(CONTROL!$C$15, $E$9, 100%, $G$9) + CHOOSE(CONTROL!$C$38, 0.0342, 0)</f>
        <v>27.243799999999997</v>
      </c>
      <c r="H229" s="17">
        <f>27.2096 * CHOOSE(CONTROL!$C$15, $E$9, 100%, $G$9) + CHOOSE(CONTROL!$C$38, 0.0342, 0)</f>
        <v>27.243799999999997</v>
      </c>
      <c r="I229" s="17">
        <f>27.2112 * CHOOSE(CONTROL!$C$15, $E$9, 100%, $G$9) + CHOOSE(CONTROL!$C$38, 0.0342, 0)</f>
        <v>27.2454</v>
      </c>
      <c r="J229" s="44">
        <f>158.5359</f>
        <v>158.5359</v>
      </c>
    </row>
    <row r="230" spans="1:10" ht="15" x14ac:dyDescent="0.2">
      <c r="A230" s="16">
        <v>47908</v>
      </c>
      <c r="B230" s="17">
        <f>28.0712 * CHOOSE(CONTROL!$C$15, $E$9, 100%, $G$9) + CHOOSE(CONTROL!$C$38, 0.034, 0)</f>
        <v>28.1052</v>
      </c>
      <c r="C230" s="17">
        <f>26.4141 * CHOOSE(CONTROL!$C$15, $E$9, 100%, $G$9) + CHOOSE(CONTROL!$C$38, 0.0342, 0)</f>
        <v>26.4483</v>
      </c>
      <c r="D230" s="17">
        <f>26.4063 * CHOOSE(CONTROL!$C$15, $E$9, 100%, $G$9) + CHOOSE(CONTROL!$C$38, 0.0342, 0)</f>
        <v>26.4405</v>
      </c>
      <c r="E230" s="17">
        <f>26.4063 * CHOOSE(CONTROL!$C$15, $E$9, 100%, $G$9) + CHOOSE(CONTROL!$C$38, 0.0342, 0)</f>
        <v>26.4405</v>
      </c>
      <c r="F230" s="45">
        <f>28.0712 * CHOOSE(CONTROL!$C$15, $E$9, 100%, $G$9) + CHOOSE(CONTROL!$C$38, 0.034, 0)</f>
        <v>28.1052</v>
      </c>
      <c r="G230" s="17">
        <f>26.4126 * CHOOSE(CONTROL!$C$15, $E$9, 100%, $G$9) + CHOOSE(CONTROL!$C$38, 0.0342, 0)</f>
        <v>26.4468</v>
      </c>
      <c r="H230" s="17">
        <f>26.4126 * CHOOSE(CONTROL!$C$15, $E$9, 100%, $G$9) + CHOOSE(CONTROL!$C$38, 0.0342, 0)</f>
        <v>26.4468</v>
      </c>
      <c r="I230" s="17">
        <f>26.4141 * CHOOSE(CONTROL!$C$15, $E$9, 100%, $G$9) + CHOOSE(CONTROL!$C$38, 0.0342, 0)</f>
        <v>26.4483</v>
      </c>
      <c r="J230" s="44">
        <f>166.8916</f>
        <v>166.89160000000001</v>
      </c>
    </row>
    <row r="231" spans="1:10" ht="15" x14ac:dyDescent="0.2">
      <c r="A231" s="16">
        <v>47939</v>
      </c>
      <c r="B231" s="17">
        <f>27.2988 * CHOOSE(CONTROL!$C$15, $E$9, 100%, $G$9) + CHOOSE(CONTROL!$C$38, 0.034, 0)</f>
        <v>27.332799999999999</v>
      </c>
      <c r="C231" s="17">
        <f>25.6418 * CHOOSE(CONTROL!$C$15, $E$9, 100%, $G$9) + CHOOSE(CONTROL!$C$38, 0.0342, 0)</f>
        <v>25.675999999999998</v>
      </c>
      <c r="D231" s="17">
        <f>25.634 * CHOOSE(CONTROL!$C$15, $E$9, 100%, $G$9) + CHOOSE(CONTROL!$C$38, 0.0342, 0)</f>
        <v>25.668199999999999</v>
      </c>
      <c r="E231" s="17">
        <f>25.634 * CHOOSE(CONTROL!$C$15, $E$9, 100%, $G$9) + CHOOSE(CONTROL!$C$38, 0.0342, 0)</f>
        <v>25.668199999999999</v>
      </c>
      <c r="F231" s="45">
        <f>27.2988 * CHOOSE(CONTROL!$C$15, $E$9, 100%, $G$9) + CHOOSE(CONTROL!$C$38, 0.034, 0)</f>
        <v>27.332799999999999</v>
      </c>
      <c r="G231" s="17">
        <f>25.6403 * CHOOSE(CONTROL!$C$15, $E$9, 100%, $G$9) + CHOOSE(CONTROL!$C$38, 0.0342, 0)</f>
        <v>25.674499999999998</v>
      </c>
      <c r="H231" s="17">
        <f>25.6403 * CHOOSE(CONTROL!$C$15, $E$9, 100%, $G$9) + CHOOSE(CONTROL!$C$38, 0.0342, 0)</f>
        <v>25.674499999999998</v>
      </c>
      <c r="I231" s="17">
        <f>25.6418 * CHOOSE(CONTROL!$C$15, $E$9, 100%, $G$9) + CHOOSE(CONTROL!$C$38, 0.0342, 0)</f>
        <v>25.675999999999998</v>
      </c>
      <c r="J231" s="44">
        <f>177.727</f>
        <v>177.727</v>
      </c>
    </row>
    <row r="232" spans="1:10" ht="15" x14ac:dyDescent="0.2">
      <c r="A232" s="16">
        <v>47969</v>
      </c>
      <c r="B232" s="17">
        <f>26.4939 * CHOOSE(CONTROL!$C$15, $E$9, 100%, $G$9) + CHOOSE(CONTROL!$C$38, 0.0353, 0)</f>
        <v>26.529199999999999</v>
      </c>
      <c r="C232" s="17">
        <f>24.8369 * CHOOSE(CONTROL!$C$15, $E$9, 100%, $G$9) + CHOOSE(CONTROL!$C$38, 0.0354, 0)</f>
        <v>24.872299999999999</v>
      </c>
      <c r="D232" s="17">
        <f>24.8291 * CHOOSE(CONTROL!$C$15, $E$9, 100%, $G$9) + CHOOSE(CONTROL!$C$38, 0.0354, 0)</f>
        <v>24.8645</v>
      </c>
      <c r="E232" s="17">
        <f>24.8291 * CHOOSE(CONTROL!$C$15, $E$9, 100%, $G$9) + CHOOSE(CONTROL!$C$38, 0.0354, 0)</f>
        <v>24.8645</v>
      </c>
      <c r="F232" s="45">
        <f>26.4939 * CHOOSE(CONTROL!$C$15, $E$9, 100%, $G$9) + CHOOSE(CONTROL!$C$38, 0.0353, 0)</f>
        <v>26.529199999999999</v>
      </c>
      <c r="G232" s="17">
        <f>24.8353 * CHOOSE(CONTROL!$C$15, $E$9, 100%, $G$9) + CHOOSE(CONTROL!$C$38, 0.0354, 0)</f>
        <v>24.870699999999999</v>
      </c>
      <c r="H232" s="17">
        <f>24.8353 * CHOOSE(CONTROL!$C$15, $E$9, 100%, $G$9) + CHOOSE(CONTROL!$C$38, 0.0354, 0)</f>
        <v>24.870699999999999</v>
      </c>
      <c r="I232" s="17">
        <f>24.8369 * CHOOSE(CONTROL!$C$15, $E$9, 100%, $G$9) + CHOOSE(CONTROL!$C$38, 0.0354, 0)</f>
        <v>24.872299999999999</v>
      </c>
      <c r="J232" s="44">
        <f>183.6912</f>
        <v>183.69120000000001</v>
      </c>
    </row>
    <row r="233" spans="1:10" ht="15" x14ac:dyDescent="0.2">
      <c r="A233" s="16">
        <v>48000</v>
      </c>
      <c r="B233" s="17">
        <f>25.9295 * CHOOSE(CONTROL!$C$15, $E$9, 100%, $G$9) + CHOOSE(CONTROL!$C$38, 0.0353, 0)</f>
        <v>25.9648</v>
      </c>
      <c r="C233" s="17">
        <f>24.2725 * CHOOSE(CONTROL!$C$15, $E$9, 100%, $G$9) + CHOOSE(CONTROL!$C$38, 0.0354, 0)</f>
        <v>24.3079</v>
      </c>
      <c r="D233" s="17">
        <f>24.2647 * CHOOSE(CONTROL!$C$15, $E$9, 100%, $G$9) + CHOOSE(CONTROL!$C$38, 0.0354, 0)</f>
        <v>24.3001</v>
      </c>
      <c r="E233" s="17">
        <f>24.2647 * CHOOSE(CONTROL!$C$15, $E$9, 100%, $G$9) + CHOOSE(CONTROL!$C$38, 0.0354, 0)</f>
        <v>24.3001</v>
      </c>
      <c r="F233" s="45">
        <f>25.9295 * CHOOSE(CONTROL!$C$15, $E$9, 100%, $G$9) + CHOOSE(CONTROL!$C$38, 0.0353, 0)</f>
        <v>25.9648</v>
      </c>
      <c r="G233" s="17">
        <f>24.271 * CHOOSE(CONTROL!$C$15, $E$9, 100%, $G$9) + CHOOSE(CONTROL!$C$38, 0.0354, 0)</f>
        <v>24.3064</v>
      </c>
      <c r="H233" s="17">
        <f>24.271 * CHOOSE(CONTROL!$C$15, $E$9, 100%, $G$9) + CHOOSE(CONTROL!$C$38, 0.0354, 0)</f>
        <v>24.3064</v>
      </c>
      <c r="I233" s="17">
        <f>24.2725 * CHOOSE(CONTROL!$C$15, $E$9, 100%, $G$9) + CHOOSE(CONTROL!$C$38, 0.0354, 0)</f>
        <v>24.3079</v>
      </c>
      <c r="J233" s="44">
        <f>186.338</f>
        <v>186.33799999999999</v>
      </c>
    </row>
    <row r="234" spans="1:10" ht="15" x14ac:dyDescent="0.2">
      <c r="A234" s="16">
        <v>48030</v>
      </c>
      <c r="B234" s="17">
        <f>25.6075 * CHOOSE(CONTROL!$C$15, $E$9, 100%, $G$9) + CHOOSE(CONTROL!$C$38, 0.0353, 0)</f>
        <v>25.642800000000001</v>
      </c>
      <c r="C234" s="17">
        <f>23.9505 * CHOOSE(CONTROL!$C$15, $E$9, 100%, $G$9) + CHOOSE(CONTROL!$C$38, 0.0354, 0)</f>
        <v>23.985900000000001</v>
      </c>
      <c r="D234" s="17">
        <f>23.9427 * CHOOSE(CONTROL!$C$15, $E$9, 100%, $G$9) + CHOOSE(CONTROL!$C$38, 0.0354, 0)</f>
        <v>23.978099999999998</v>
      </c>
      <c r="E234" s="17">
        <f>23.9427 * CHOOSE(CONTROL!$C$15, $E$9, 100%, $G$9) + CHOOSE(CONTROL!$C$38, 0.0354, 0)</f>
        <v>23.978099999999998</v>
      </c>
      <c r="F234" s="45">
        <f>25.6075 * CHOOSE(CONTROL!$C$15, $E$9, 100%, $G$9) + CHOOSE(CONTROL!$C$38, 0.0353, 0)</f>
        <v>25.642800000000001</v>
      </c>
      <c r="G234" s="17">
        <f>23.9489 * CHOOSE(CONTROL!$C$15, $E$9, 100%, $G$9) + CHOOSE(CONTROL!$C$38, 0.0354, 0)</f>
        <v>23.984299999999998</v>
      </c>
      <c r="H234" s="17">
        <f>23.9489 * CHOOSE(CONTROL!$C$15, $E$9, 100%, $G$9) + CHOOSE(CONTROL!$C$38, 0.0354, 0)</f>
        <v>23.984299999999998</v>
      </c>
      <c r="I234" s="17">
        <f>23.9505 * CHOOSE(CONTROL!$C$15, $E$9, 100%, $G$9) + CHOOSE(CONTROL!$C$38, 0.0354, 0)</f>
        <v>23.985900000000001</v>
      </c>
      <c r="J234" s="44">
        <f>185.4666</f>
        <v>185.4666</v>
      </c>
    </row>
    <row r="235" spans="1:10" ht="15" x14ac:dyDescent="0.2">
      <c r="A235" s="16">
        <v>48061</v>
      </c>
      <c r="B235" s="17">
        <f>25.7664 * CHOOSE(CONTROL!$C$15, $E$9, 100%, $G$9) + CHOOSE(CONTROL!$C$38, 0.0353, 0)</f>
        <v>25.8017</v>
      </c>
      <c r="C235" s="17">
        <f>24.1094 * CHOOSE(CONTROL!$C$15, $E$9, 100%, $G$9) + CHOOSE(CONTROL!$C$38, 0.0354, 0)</f>
        <v>24.1448</v>
      </c>
      <c r="D235" s="17">
        <f>24.1016 * CHOOSE(CONTROL!$C$15, $E$9, 100%, $G$9) + CHOOSE(CONTROL!$C$38, 0.0354, 0)</f>
        <v>24.137</v>
      </c>
      <c r="E235" s="17">
        <f>24.1016 * CHOOSE(CONTROL!$C$15, $E$9, 100%, $G$9) + CHOOSE(CONTROL!$C$38, 0.0354, 0)</f>
        <v>24.137</v>
      </c>
      <c r="F235" s="45">
        <f>25.7664 * CHOOSE(CONTROL!$C$15, $E$9, 100%, $G$9) + CHOOSE(CONTROL!$C$38, 0.0353, 0)</f>
        <v>25.8017</v>
      </c>
      <c r="G235" s="17">
        <f>24.1079 * CHOOSE(CONTROL!$C$15, $E$9, 100%, $G$9) + CHOOSE(CONTROL!$C$38, 0.0354, 0)</f>
        <v>24.1433</v>
      </c>
      <c r="H235" s="17">
        <f>24.1079 * CHOOSE(CONTROL!$C$15, $E$9, 100%, $G$9) + CHOOSE(CONTROL!$C$38, 0.0354, 0)</f>
        <v>24.1433</v>
      </c>
      <c r="I235" s="17">
        <f>24.1094 * CHOOSE(CONTROL!$C$15, $E$9, 100%, $G$9) + CHOOSE(CONTROL!$C$38, 0.0354, 0)</f>
        <v>24.1448</v>
      </c>
      <c r="J235" s="44">
        <f>181.149</f>
        <v>181.149</v>
      </c>
    </row>
    <row r="236" spans="1:10" ht="15" x14ac:dyDescent="0.2">
      <c r="A236" s="16">
        <v>48092</v>
      </c>
      <c r="B236" s="17">
        <f>26.1981 * CHOOSE(CONTROL!$C$15, $E$9, 100%, $G$9) + CHOOSE(CONTROL!$C$38, 0.0353, 0)</f>
        <v>26.2334</v>
      </c>
      <c r="C236" s="17">
        <f>24.5411 * CHOOSE(CONTROL!$C$15, $E$9, 100%, $G$9) + CHOOSE(CONTROL!$C$38, 0.0354, 0)</f>
        <v>24.576499999999999</v>
      </c>
      <c r="D236" s="17">
        <f>24.5333 * CHOOSE(CONTROL!$C$15, $E$9, 100%, $G$9) + CHOOSE(CONTROL!$C$38, 0.0354, 0)</f>
        <v>24.5687</v>
      </c>
      <c r="E236" s="17">
        <f>24.5333 * CHOOSE(CONTROL!$C$15, $E$9, 100%, $G$9) + CHOOSE(CONTROL!$C$38, 0.0354, 0)</f>
        <v>24.5687</v>
      </c>
      <c r="F236" s="45">
        <f>26.1981 * CHOOSE(CONTROL!$C$15, $E$9, 100%, $G$9) + CHOOSE(CONTROL!$C$38, 0.0353, 0)</f>
        <v>26.2334</v>
      </c>
      <c r="G236" s="17">
        <f>24.5396 * CHOOSE(CONTROL!$C$15, $E$9, 100%, $G$9) + CHOOSE(CONTROL!$C$38, 0.0354, 0)</f>
        <v>24.574999999999999</v>
      </c>
      <c r="H236" s="17">
        <f>24.5396 * CHOOSE(CONTROL!$C$15, $E$9, 100%, $G$9) + CHOOSE(CONTROL!$C$38, 0.0354, 0)</f>
        <v>24.574999999999999</v>
      </c>
      <c r="I236" s="17">
        <f>24.5411 * CHOOSE(CONTROL!$C$15, $E$9, 100%, $G$9) + CHOOSE(CONTROL!$C$38, 0.0354, 0)</f>
        <v>24.576499999999999</v>
      </c>
      <c r="J236" s="44">
        <f>175.1279</f>
        <v>175.12790000000001</v>
      </c>
    </row>
    <row r="237" spans="1:10" ht="15" x14ac:dyDescent="0.2">
      <c r="A237" s="16">
        <v>48122</v>
      </c>
      <c r="B237" s="17">
        <f>26.5597 * CHOOSE(CONTROL!$C$15, $E$9, 100%, $G$9) + CHOOSE(CONTROL!$C$38, 0.034, 0)</f>
        <v>26.593699999999998</v>
      </c>
      <c r="C237" s="17">
        <f>24.9027 * CHOOSE(CONTROL!$C$15, $E$9, 100%, $G$9) + CHOOSE(CONTROL!$C$38, 0.0342, 0)</f>
        <v>24.936899999999998</v>
      </c>
      <c r="D237" s="17">
        <f>24.8949 * CHOOSE(CONTROL!$C$15, $E$9, 100%, $G$9) + CHOOSE(CONTROL!$C$38, 0.0342, 0)</f>
        <v>24.929099999999998</v>
      </c>
      <c r="E237" s="17">
        <f>24.8949 * CHOOSE(CONTROL!$C$15, $E$9, 100%, $G$9) + CHOOSE(CONTROL!$C$38, 0.0342, 0)</f>
        <v>24.929099999999998</v>
      </c>
      <c r="F237" s="45">
        <f>26.5597 * CHOOSE(CONTROL!$C$15, $E$9, 100%, $G$9) + CHOOSE(CONTROL!$C$38, 0.034, 0)</f>
        <v>26.593699999999998</v>
      </c>
      <c r="G237" s="17">
        <f>24.9011 * CHOOSE(CONTROL!$C$15, $E$9, 100%, $G$9) + CHOOSE(CONTROL!$C$38, 0.0342, 0)</f>
        <v>24.935299999999998</v>
      </c>
      <c r="H237" s="17">
        <f>24.9011 * CHOOSE(CONTROL!$C$15, $E$9, 100%, $G$9) + CHOOSE(CONTROL!$C$38, 0.0342, 0)</f>
        <v>24.935299999999998</v>
      </c>
      <c r="I237" s="17">
        <f>24.9027 * CHOOSE(CONTROL!$C$15, $E$9, 100%, $G$9) + CHOOSE(CONTROL!$C$38, 0.0342, 0)</f>
        <v>24.936899999999998</v>
      </c>
      <c r="J237" s="44">
        <f>169.0718</f>
        <v>169.0718</v>
      </c>
    </row>
    <row r="238" spans="1:10" ht="15" x14ac:dyDescent="0.2">
      <c r="A238" s="16">
        <v>48153</v>
      </c>
      <c r="B238" s="17">
        <f>26.8614 * CHOOSE(CONTROL!$C$15, $E$9, 100%, $G$9) + CHOOSE(CONTROL!$C$38, 0.034, 0)</f>
        <v>26.895399999999999</v>
      </c>
      <c r="C238" s="17">
        <f>25.2044 * CHOOSE(CONTROL!$C$15, $E$9, 100%, $G$9) + CHOOSE(CONTROL!$C$38, 0.0342, 0)</f>
        <v>25.238599999999998</v>
      </c>
      <c r="D238" s="17">
        <f>25.1966 * CHOOSE(CONTROL!$C$15, $E$9, 100%, $G$9) + CHOOSE(CONTROL!$C$38, 0.0342, 0)</f>
        <v>25.230799999999999</v>
      </c>
      <c r="E238" s="17">
        <f>25.1966 * CHOOSE(CONTROL!$C$15, $E$9, 100%, $G$9) + CHOOSE(CONTROL!$C$38, 0.0342, 0)</f>
        <v>25.230799999999999</v>
      </c>
      <c r="F238" s="45">
        <f>26.8614 * CHOOSE(CONTROL!$C$15, $E$9, 100%, $G$9) + CHOOSE(CONTROL!$C$38, 0.034, 0)</f>
        <v>26.895399999999999</v>
      </c>
      <c r="G238" s="17">
        <f>25.2028 * CHOOSE(CONTROL!$C$15, $E$9, 100%, $G$9) + CHOOSE(CONTROL!$C$38, 0.0342, 0)</f>
        <v>25.236999999999998</v>
      </c>
      <c r="H238" s="17">
        <f>25.2028 * CHOOSE(CONTROL!$C$15, $E$9, 100%, $G$9) + CHOOSE(CONTROL!$C$38, 0.0342, 0)</f>
        <v>25.236999999999998</v>
      </c>
      <c r="I238" s="17">
        <f>25.2044 * CHOOSE(CONTROL!$C$15, $E$9, 100%, $G$9) + CHOOSE(CONTROL!$C$38, 0.0342, 0)</f>
        <v>25.238599999999998</v>
      </c>
      <c r="J238" s="44">
        <f>167.8671</f>
        <v>167.86709999999999</v>
      </c>
    </row>
    <row r="239" spans="1:10" ht="15" x14ac:dyDescent="0.2">
      <c r="A239" s="16">
        <v>48183</v>
      </c>
      <c r="B239" s="17">
        <f>27.7911 * CHOOSE(CONTROL!$C$15, $E$9, 100%, $G$9) + CHOOSE(CONTROL!$C$38, 0.034, 0)</f>
        <v>27.825099999999999</v>
      </c>
      <c r="C239" s="17">
        <f>26.1341 * CHOOSE(CONTROL!$C$15, $E$9, 100%, $G$9) + CHOOSE(CONTROL!$C$38, 0.0342, 0)</f>
        <v>26.168299999999999</v>
      </c>
      <c r="D239" s="17">
        <f>26.1263 * CHOOSE(CONTROL!$C$15, $E$9, 100%, $G$9) + CHOOSE(CONTROL!$C$38, 0.0342, 0)</f>
        <v>26.160499999999999</v>
      </c>
      <c r="E239" s="17">
        <f>26.1263 * CHOOSE(CONTROL!$C$15, $E$9, 100%, $G$9) + CHOOSE(CONTROL!$C$38, 0.0342, 0)</f>
        <v>26.160499999999999</v>
      </c>
      <c r="F239" s="45">
        <f>27.7911 * CHOOSE(CONTROL!$C$15, $E$9, 100%, $G$9) + CHOOSE(CONTROL!$C$38, 0.034, 0)</f>
        <v>27.825099999999999</v>
      </c>
      <c r="G239" s="17">
        <f>26.1325 * CHOOSE(CONTROL!$C$15, $E$9, 100%, $G$9) + CHOOSE(CONTROL!$C$38, 0.0342, 0)</f>
        <v>26.166699999999999</v>
      </c>
      <c r="H239" s="17">
        <f>26.1325 * CHOOSE(CONTROL!$C$15, $E$9, 100%, $G$9) + CHOOSE(CONTROL!$C$38, 0.0342, 0)</f>
        <v>26.166699999999999</v>
      </c>
      <c r="I239" s="17">
        <f>26.1341 * CHOOSE(CONTROL!$C$15, $E$9, 100%, $G$9) + CHOOSE(CONTROL!$C$38, 0.0342, 0)</f>
        <v>26.168299999999999</v>
      </c>
      <c r="J239" s="44">
        <f>162.8856</f>
        <v>162.88560000000001</v>
      </c>
    </row>
    <row r="240" spans="1:10" ht="15" x14ac:dyDescent="0.2">
      <c r="A240" s="16">
        <v>48214</v>
      </c>
      <c r="B240" s="17">
        <f>28.9671 * CHOOSE(CONTROL!$C$15, $E$9, 100%, $G$9) + CHOOSE(CONTROL!$C$38, 0.034, 0)</f>
        <v>29.001099999999997</v>
      </c>
      <c r="C240" s="17">
        <f>27.2848 * CHOOSE(CONTROL!$C$15, $E$9, 100%, $G$9) + CHOOSE(CONTROL!$C$38, 0.0342, 0)</f>
        <v>27.318999999999999</v>
      </c>
      <c r="D240" s="17">
        <f>27.277 * CHOOSE(CONTROL!$C$15, $E$9, 100%, $G$9) + CHOOSE(CONTROL!$C$38, 0.0342, 0)</f>
        <v>27.311199999999999</v>
      </c>
      <c r="E240" s="17">
        <f>27.277 * CHOOSE(CONTROL!$C$15, $E$9, 100%, $G$9) + CHOOSE(CONTROL!$C$38, 0.0342, 0)</f>
        <v>27.311199999999999</v>
      </c>
      <c r="F240" s="45">
        <f>28.9671 * CHOOSE(CONTROL!$C$15, $E$9, 100%, $G$9) + CHOOSE(CONTROL!$C$38, 0.034, 0)</f>
        <v>29.001099999999997</v>
      </c>
      <c r="G240" s="17">
        <f>27.2833 * CHOOSE(CONTROL!$C$15, $E$9, 100%, $G$9) + CHOOSE(CONTROL!$C$38, 0.0342, 0)</f>
        <v>27.317499999999999</v>
      </c>
      <c r="H240" s="17">
        <f>27.2833 * CHOOSE(CONTROL!$C$15, $E$9, 100%, $G$9) + CHOOSE(CONTROL!$C$38, 0.0342, 0)</f>
        <v>27.317499999999999</v>
      </c>
      <c r="I240" s="17">
        <f>27.2848 * CHOOSE(CONTROL!$C$15, $E$9, 100%, $G$9) + CHOOSE(CONTROL!$C$38, 0.0342, 0)</f>
        <v>27.318999999999999</v>
      </c>
      <c r="J240" s="44">
        <f>162.768</f>
        <v>162.768</v>
      </c>
    </row>
    <row r="241" spans="1:10" ht="15" x14ac:dyDescent="0.2">
      <c r="A241" s="16">
        <v>48245</v>
      </c>
      <c r="B241" s="17">
        <f>29.3114 * CHOOSE(CONTROL!$C$15, $E$9, 100%, $G$9) + CHOOSE(CONTROL!$C$38, 0.034, 0)</f>
        <v>29.345399999999998</v>
      </c>
      <c r="C241" s="17">
        <f>27.6292 * CHOOSE(CONTROL!$C$15, $E$9, 100%, $G$9) + CHOOSE(CONTROL!$C$38, 0.0342, 0)</f>
        <v>27.663399999999999</v>
      </c>
      <c r="D241" s="17">
        <f>27.6213 * CHOOSE(CONTROL!$C$15, $E$9, 100%, $G$9) + CHOOSE(CONTROL!$C$38, 0.0342, 0)</f>
        <v>27.6555</v>
      </c>
      <c r="E241" s="17">
        <f>27.6213 * CHOOSE(CONTROL!$C$15, $E$9, 100%, $G$9) + CHOOSE(CONTROL!$C$38, 0.0342, 0)</f>
        <v>27.6555</v>
      </c>
      <c r="F241" s="45">
        <f>29.3114 * CHOOSE(CONTROL!$C$15, $E$9, 100%, $G$9) + CHOOSE(CONTROL!$C$38, 0.034, 0)</f>
        <v>29.345399999999998</v>
      </c>
      <c r="G241" s="17">
        <f>27.6276 * CHOOSE(CONTROL!$C$15, $E$9, 100%, $G$9) + CHOOSE(CONTROL!$C$38, 0.0342, 0)</f>
        <v>27.661799999999999</v>
      </c>
      <c r="H241" s="17">
        <f>27.6276 * CHOOSE(CONTROL!$C$15, $E$9, 100%, $G$9) + CHOOSE(CONTROL!$C$38, 0.0342, 0)</f>
        <v>27.661799999999999</v>
      </c>
      <c r="I241" s="17">
        <f>27.6292 * CHOOSE(CONTROL!$C$15, $E$9, 100%, $G$9) + CHOOSE(CONTROL!$C$38, 0.0342, 0)</f>
        <v>27.663399999999999</v>
      </c>
      <c r="J241" s="44">
        <f>162.3156</f>
        <v>162.31559999999999</v>
      </c>
    </row>
    <row r="242" spans="1:10" ht="15" x14ac:dyDescent="0.2">
      <c r="A242" s="16">
        <v>48274</v>
      </c>
      <c r="B242" s="17">
        <f>28.5143 * CHOOSE(CONTROL!$C$15, $E$9, 100%, $G$9) + CHOOSE(CONTROL!$C$38, 0.034, 0)</f>
        <v>28.548299999999998</v>
      </c>
      <c r="C242" s="17">
        <f>26.8321 * CHOOSE(CONTROL!$C$15, $E$9, 100%, $G$9) + CHOOSE(CONTROL!$C$38, 0.0342, 0)</f>
        <v>26.866299999999999</v>
      </c>
      <c r="D242" s="17">
        <f>26.8243 * CHOOSE(CONTROL!$C$15, $E$9, 100%, $G$9) + CHOOSE(CONTROL!$C$38, 0.0342, 0)</f>
        <v>26.858499999999999</v>
      </c>
      <c r="E242" s="17">
        <f>26.8243 * CHOOSE(CONTROL!$C$15, $E$9, 100%, $G$9) + CHOOSE(CONTROL!$C$38, 0.0342, 0)</f>
        <v>26.858499999999999</v>
      </c>
      <c r="F242" s="45">
        <f>28.5143 * CHOOSE(CONTROL!$C$15, $E$9, 100%, $G$9) + CHOOSE(CONTROL!$C$38, 0.034, 0)</f>
        <v>28.548299999999998</v>
      </c>
      <c r="G242" s="17">
        <f>26.8306 * CHOOSE(CONTROL!$C$15, $E$9, 100%, $G$9) + CHOOSE(CONTROL!$C$38, 0.0342, 0)</f>
        <v>26.864799999999999</v>
      </c>
      <c r="H242" s="17">
        <f>26.8306 * CHOOSE(CONTROL!$C$15, $E$9, 100%, $G$9) + CHOOSE(CONTROL!$C$38, 0.0342, 0)</f>
        <v>26.864799999999999</v>
      </c>
      <c r="I242" s="17">
        <f>26.8321 * CHOOSE(CONTROL!$C$15, $E$9, 100%, $G$9) + CHOOSE(CONTROL!$C$38, 0.0342, 0)</f>
        <v>26.866299999999999</v>
      </c>
      <c r="J242" s="44">
        <f>170.8706</f>
        <v>170.8706</v>
      </c>
    </row>
    <row r="243" spans="1:10" ht="15" x14ac:dyDescent="0.2">
      <c r="A243" s="16">
        <v>48305</v>
      </c>
      <c r="B243" s="17">
        <f>27.742 * CHOOSE(CONTROL!$C$15, $E$9, 100%, $G$9) + CHOOSE(CONTROL!$C$38, 0.034, 0)</f>
        <v>27.776</v>
      </c>
      <c r="C243" s="17">
        <f>26.0598 * CHOOSE(CONTROL!$C$15, $E$9, 100%, $G$9) + CHOOSE(CONTROL!$C$38, 0.0342, 0)</f>
        <v>26.093999999999998</v>
      </c>
      <c r="D243" s="17">
        <f>26.052 * CHOOSE(CONTROL!$C$15, $E$9, 100%, $G$9) + CHOOSE(CONTROL!$C$38, 0.0342, 0)</f>
        <v>26.086199999999998</v>
      </c>
      <c r="E243" s="17">
        <f>26.052 * CHOOSE(CONTROL!$C$15, $E$9, 100%, $G$9) + CHOOSE(CONTROL!$C$38, 0.0342, 0)</f>
        <v>26.086199999999998</v>
      </c>
      <c r="F243" s="45">
        <f>27.742 * CHOOSE(CONTROL!$C$15, $E$9, 100%, $G$9) + CHOOSE(CONTROL!$C$38, 0.034, 0)</f>
        <v>27.776</v>
      </c>
      <c r="G243" s="17">
        <f>26.0582 * CHOOSE(CONTROL!$C$15, $E$9, 100%, $G$9) + CHOOSE(CONTROL!$C$38, 0.0342, 0)</f>
        <v>26.092399999999998</v>
      </c>
      <c r="H243" s="17">
        <f>26.0582 * CHOOSE(CONTROL!$C$15, $E$9, 100%, $G$9) + CHOOSE(CONTROL!$C$38, 0.0342, 0)</f>
        <v>26.092399999999998</v>
      </c>
      <c r="I243" s="17">
        <f>26.0598 * CHOOSE(CONTROL!$C$15, $E$9, 100%, $G$9) + CHOOSE(CONTROL!$C$38, 0.0342, 0)</f>
        <v>26.093999999999998</v>
      </c>
      <c r="J243" s="44">
        <f>181.9643</f>
        <v>181.96430000000001</v>
      </c>
    </row>
    <row r="244" spans="1:10" ht="15" x14ac:dyDescent="0.2">
      <c r="A244" s="16">
        <v>48335</v>
      </c>
      <c r="B244" s="17">
        <f>26.9371 * CHOOSE(CONTROL!$C$15, $E$9, 100%, $G$9) + CHOOSE(CONTROL!$C$38, 0.0353, 0)</f>
        <v>26.9724</v>
      </c>
      <c r="C244" s="17">
        <f>25.2548 * CHOOSE(CONTROL!$C$15, $E$9, 100%, $G$9) + CHOOSE(CONTROL!$C$38, 0.0354, 0)</f>
        <v>25.290199999999999</v>
      </c>
      <c r="D244" s="17">
        <f>25.247 * CHOOSE(CONTROL!$C$15, $E$9, 100%, $G$9) + CHOOSE(CONTROL!$C$38, 0.0354, 0)</f>
        <v>25.282399999999999</v>
      </c>
      <c r="E244" s="17">
        <f>25.247 * CHOOSE(CONTROL!$C$15, $E$9, 100%, $G$9) + CHOOSE(CONTROL!$C$38, 0.0354, 0)</f>
        <v>25.282399999999999</v>
      </c>
      <c r="F244" s="45">
        <f>26.9371 * CHOOSE(CONTROL!$C$15, $E$9, 100%, $G$9) + CHOOSE(CONTROL!$C$38, 0.0353, 0)</f>
        <v>26.9724</v>
      </c>
      <c r="G244" s="17">
        <f>25.2533 * CHOOSE(CONTROL!$C$15, $E$9, 100%, $G$9) + CHOOSE(CONTROL!$C$38, 0.0354, 0)</f>
        <v>25.288699999999999</v>
      </c>
      <c r="H244" s="17">
        <f>25.2533 * CHOOSE(CONTROL!$C$15, $E$9, 100%, $G$9) + CHOOSE(CONTROL!$C$38, 0.0354, 0)</f>
        <v>25.288699999999999</v>
      </c>
      <c r="I244" s="17">
        <f>25.2548 * CHOOSE(CONTROL!$C$15, $E$9, 100%, $G$9) + CHOOSE(CONTROL!$C$38, 0.0354, 0)</f>
        <v>25.290199999999999</v>
      </c>
      <c r="J244" s="44">
        <f>188.0707</f>
        <v>188.07069999999999</v>
      </c>
    </row>
    <row r="245" spans="1:10" ht="15" x14ac:dyDescent="0.2">
      <c r="A245" s="16">
        <v>48366</v>
      </c>
      <c r="B245" s="17">
        <f>26.3727 * CHOOSE(CONTROL!$C$15, $E$9, 100%, $G$9) + CHOOSE(CONTROL!$C$38, 0.0353, 0)</f>
        <v>26.407999999999998</v>
      </c>
      <c r="C245" s="17">
        <f>24.6905 * CHOOSE(CONTROL!$C$15, $E$9, 100%, $G$9) + CHOOSE(CONTROL!$C$38, 0.0354, 0)</f>
        <v>24.725899999999999</v>
      </c>
      <c r="D245" s="17">
        <f>24.6827 * CHOOSE(CONTROL!$C$15, $E$9, 100%, $G$9) + CHOOSE(CONTROL!$C$38, 0.0354, 0)</f>
        <v>24.7181</v>
      </c>
      <c r="E245" s="17">
        <f>24.6827 * CHOOSE(CONTROL!$C$15, $E$9, 100%, $G$9) + CHOOSE(CONTROL!$C$38, 0.0354, 0)</f>
        <v>24.7181</v>
      </c>
      <c r="F245" s="45">
        <f>26.3727 * CHOOSE(CONTROL!$C$15, $E$9, 100%, $G$9) + CHOOSE(CONTROL!$C$38, 0.0353, 0)</f>
        <v>26.407999999999998</v>
      </c>
      <c r="G245" s="17">
        <f>24.6889 * CHOOSE(CONTROL!$C$15, $E$9, 100%, $G$9) + CHOOSE(CONTROL!$C$38, 0.0354, 0)</f>
        <v>24.724299999999999</v>
      </c>
      <c r="H245" s="17">
        <f>24.6889 * CHOOSE(CONTROL!$C$15, $E$9, 100%, $G$9) + CHOOSE(CONTROL!$C$38, 0.0354, 0)</f>
        <v>24.724299999999999</v>
      </c>
      <c r="I245" s="17">
        <f>24.6905 * CHOOSE(CONTROL!$C$15, $E$9, 100%, $G$9) + CHOOSE(CONTROL!$C$38, 0.0354, 0)</f>
        <v>24.725899999999999</v>
      </c>
      <c r="J245" s="44">
        <f>190.7806</f>
        <v>190.78059999999999</v>
      </c>
    </row>
    <row r="246" spans="1:10" ht="15" x14ac:dyDescent="0.2">
      <c r="A246" s="16">
        <v>48396</v>
      </c>
      <c r="B246" s="17">
        <f>26.0507 * CHOOSE(CONTROL!$C$15, $E$9, 100%, $G$9) + CHOOSE(CONTROL!$C$38, 0.0353, 0)</f>
        <v>26.085999999999999</v>
      </c>
      <c r="C246" s="17">
        <f>24.3685 * CHOOSE(CONTROL!$C$15, $E$9, 100%, $G$9) + CHOOSE(CONTROL!$C$38, 0.0354, 0)</f>
        <v>24.4039</v>
      </c>
      <c r="D246" s="17">
        <f>24.3606 * CHOOSE(CONTROL!$C$15, $E$9, 100%, $G$9) + CHOOSE(CONTROL!$C$38, 0.0354, 0)</f>
        <v>24.396000000000001</v>
      </c>
      <c r="E246" s="17">
        <f>24.3606 * CHOOSE(CONTROL!$C$15, $E$9, 100%, $G$9) + CHOOSE(CONTROL!$C$38, 0.0354, 0)</f>
        <v>24.396000000000001</v>
      </c>
      <c r="F246" s="45">
        <f>26.0507 * CHOOSE(CONTROL!$C$15, $E$9, 100%, $G$9) + CHOOSE(CONTROL!$C$38, 0.0353, 0)</f>
        <v>26.085999999999999</v>
      </c>
      <c r="G246" s="17">
        <f>24.3669 * CHOOSE(CONTROL!$C$15, $E$9, 100%, $G$9) + CHOOSE(CONTROL!$C$38, 0.0354, 0)</f>
        <v>24.4023</v>
      </c>
      <c r="H246" s="17">
        <f>24.3669 * CHOOSE(CONTROL!$C$15, $E$9, 100%, $G$9) + CHOOSE(CONTROL!$C$38, 0.0354, 0)</f>
        <v>24.4023</v>
      </c>
      <c r="I246" s="17">
        <f>24.3685 * CHOOSE(CONTROL!$C$15, $E$9, 100%, $G$9) + CHOOSE(CONTROL!$C$38, 0.0354, 0)</f>
        <v>24.4039</v>
      </c>
      <c r="J246" s="44">
        <f>189.8884</f>
        <v>189.88839999999999</v>
      </c>
    </row>
    <row r="247" spans="1:10" ht="15" x14ac:dyDescent="0.2">
      <c r="A247" s="16">
        <v>48427</v>
      </c>
      <c r="B247" s="17">
        <f>26.2096 * CHOOSE(CONTROL!$C$15, $E$9, 100%, $G$9) + CHOOSE(CONTROL!$C$38, 0.0353, 0)</f>
        <v>26.244899999999998</v>
      </c>
      <c r="C247" s="17">
        <f>24.5274 * CHOOSE(CONTROL!$C$15, $E$9, 100%, $G$9) + CHOOSE(CONTROL!$C$38, 0.0354, 0)</f>
        <v>24.562799999999999</v>
      </c>
      <c r="D247" s="17">
        <f>24.5196 * CHOOSE(CONTROL!$C$15, $E$9, 100%, $G$9) + CHOOSE(CONTROL!$C$38, 0.0354, 0)</f>
        <v>24.555</v>
      </c>
      <c r="E247" s="17">
        <f>24.5196 * CHOOSE(CONTROL!$C$15, $E$9, 100%, $G$9) + CHOOSE(CONTROL!$C$38, 0.0354, 0)</f>
        <v>24.555</v>
      </c>
      <c r="F247" s="45">
        <f>26.2096 * CHOOSE(CONTROL!$C$15, $E$9, 100%, $G$9) + CHOOSE(CONTROL!$C$38, 0.0353, 0)</f>
        <v>26.244899999999998</v>
      </c>
      <c r="G247" s="17">
        <f>24.5258 * CHOOSE(CONTROL!$C$15, $E$9, 100%, $G$9) + CHOOSE(CONTROL!$C$38, 0.0354, 0)</f>
        <v>24.561199999999999</v>
      </c>
      <c r="H247" s="17">
        <f>24.5258 * CHOOSE(CONTROL!$C$15, $E$9, 100%, $G$9) + CHOOSE(CONTROL!$C$38, 0.0354, 0)</f>
        <v>24.561199999999999</v>
      </c>
      <c r="I247" s="17">
        <f>24.5274 * CHOOSE(CONTROL!$C$15, $E$9, 100%, $G$9) + CHOOSE(CONTROL!$C$38, 0.0354, 0)</f>
        <v>24.562799999999999</v>
      </c>
      <c r="J247" s="44">
        <f>185.4678</f>
        <v>185.46780000000001</v>
      </c>
    </row>
    <row r="248" spans="1:10" ht="15" x14ac:dyDescent="0.2">
      <c r="A248" s="16">
        <v>48458</v>
      </c>
      <c r="B248" s="17">
        <f>26.6413 * CHOOSE(CONTROL!$C$15, $E$9, 100%, $G$9) + CHOOSE(CONTROL!$C$38, 0.0353, 0)</f>
        <v>26.676600000000001</v>
      </c>
      <c r="C248" s="17">
        <f>24.9591 * CHOOSE(CONTROL!$C$15, $E$9, 100%, $G$9) + CHOOSE(CONTROL!$C$38, 0.0354, 0)</f>
        <v>24.994499999999999</v>
      </c>
      <c r="D248" s="17">
        <f>24.9513 * CHOOSE(CONTROL!$C$15, $E$9, 100%, $G$9) + CHOOSE(CONTROL!$C$38, 0.0354, 0)</f>
        <v>24.986699999999999</v>
      </c>
      <c r="E248" s="17">
        <f>24.9513 * CHOOSE(CONTROL!$C$15, $E$9, 100%, $G$9) + CHOOSE(CONTROL!$C$38, 0.0354, 0)</f>
        <v>24.986699999999999</v>
      </c>
      <c r="F248" s="45">
        <f>26.6413 * CHOOSE(CONTROL!$C$15, $E$9, 100%, $G$9) + CHOOSE(CONTROL!$C$38, 0.0353, 0)</f>
        <v>26.676600000000001</v>
      </c>
      <c r="G248" s="17">
        <f>24.9575 * CHOOSE(CONTROL!$C$15, $E$9, 100%, $G$9) + CHOOSE(CONTROL!$C$38, 0.0354, 0)</f>
        <v>24.992899999999999</v>
      </c>
      <c r="H248" s="17">
        <f>24.9575 * CHOOSE(CONTROL!$C$15, $E$9, 100%, $G$9) + CHOOSE(CONTROL!$C$38, 0.0354, 0)</f>
        <v>24.992899999999999</v>
      </c>
      <c r="I248" s="17">
        <f>24.9591 * CHOOSE(CONTROL!$C$15, $E$9, 100%, $G$9) + CHOOSE(CONTROL!$C$38, 0.0354, 0)</f>
        <v>24.994499999999999</v>
      </c>
      <c r="J248" s="44">
        <f>179.3032</f>
        <v>179.3032</v>
      </c>
    </row>
    <row r="249" spans="1:10" ht="15" x14ac:dyDescent="0.2">
      <c r="A249" s="16">
        <v>48488</v>
      </c>
      <c r="B249" s="17">
        <f>27.0029 * CHOOSE(CONTROL!$C$15, $E$9, 100%, $G$9) + CHOOSE(CONTROL!$C$38, 0.034, 0)</f>
        <v>27.036899999999999</v>
      </c>
      <c r="C249" s="17">
        <f>25.3207 * CHOOSE(CONTROL!$C$15, $E$9, 100%, $G$9) + CHOOSE(CONTROL!$C$38, 0.0342, 0)</f>
        <v>25.354899999999997</v>
      </c>
      <c r="D249" s="17">
        <f>25.3129 * CHOOSE(CONTROL!$C$15, $E$9, 100%, $G$9) + CHOOSE(CONTROL!$C$38, 0.0342, 0)</f>
        <v>25.347099999999998</v>
      </c>
      <c r="E249" s="17">
        <f>25.3129 * CHOOSE(CONTROL!$C$15, $E$9, 100%, $G$9) + CHOOSE(CONTROL!$C$38, 0.0342, 0)</f>
        <v>25.347099999999998</v>
      </c>
      <c r="F249" s="45">
        <f>27.0029 * CHOOSE(CONTROL!$C$15, $E$9, 100%, $G$9) + CHOOSE(CONTROL!$C$38, 0.034, 0)</f>
        <v>27.036899999999999</v>
      </c>
      <c r="G249" s="17">
        <f>25.3191 * CHOOSE(CONTROL!$C$15, $E$9, 100%, $G$9) + CHOOSE(CONTROL!$C$38, 0.0342, 0)</f>
        <v>25.353299999999997</v>
      </c>
      <c r="H249" s="17">
        <f>25.3191 * CHOOSE(CONTROL!$C$15, $E$9, 100%, $G$9) + CHOOSE(CONTROL!$C$38, 0.0342, 0)</f>
        <v>25.353299999999997</v>
      </c>
      <c r="I249" s="17">
        <f>25.3207 * CHOOSE(CONTROL!$C$15, $E$9, 100%, $G$9) + CHOOSE(CONTROL!$C$38, 0.0342, 0)</f>
        <v>25.354899999999997</v>
      </c>
      <c r="J249" s="44">
        <f>173.1027</f>
        <v>173.1027</v>
      </c>
    </row>
    <row r="250" spans="1:10" ht="15" x14ac:dyDescent="0.2">
      <c r="A250" s="16">
        <v>48519</v>
      </c>
      <c r="B250" s="17">
        <f>27.3046 * CHOOSE(CONTROL!$C$15, $E$9, 100%, $G$9) + CHOOSE(CONTROL!$C$38, 0.034, 0)</f>
        <v>27.3386</v>
      </c>
      <c r="C250" s="17">
        <f>25.6224 * CHOOSE(CONTROL!$C$15, $E$9, 100%, $G$9) + CHOOSE(CONTROL!$C$38, 0.0342, 0)</f>
        <v>25.656599999999997</v>
      </c>
      <c r="D250" s="17">
        <f>25.6146 * CHOOSE(CONTROL!$C$15, $E$9, 100%, $G$9) + CHOOSE(CONTROL!$C$38, 0.0342, 0)</f>
        <v>25.648799999999998</v>
      </c>
      <c r="E250" s="17">
        <f>25.6146 * CHOOSE(CONTROL!$C$15, $E$9, 100%, $G$9) + CHOOSE(CONTROL!$C$38, 0.0342, 0)</f>
        <v>25.648799999999998</v>
      </c>
      <c r="F250" s="45">
        <f>27.3046 * CHOOSE(CONTROL!$C$15, $E$9, 100%, $G$9) + CHOOSE(CONTROL!$C$38, 0.034, 0)</f>
        <v>27.3386</v>
      </c>
      <c r="G250" s="17">
        <f>25.6208 * CHOOSE(CONTROL!$C$15, $E$9, 100%, $G$9) + CHOOSE(CONTROL!$C$38, 0.0342, 0)</f>
        <v>25.654999999999998</v>
      </c>
      <c r="H250" s="17">
        <f>25.6208 * CHOOSE(CONTROL!$C$15, $E$9, 100%, $G$9) + CHOOSE(CONTROL!$C$38, 0.0342, 0)</f>
        <v>25.654999999999998</v>
      </c>
      <c r="I250" s="17">
        <f>25.6224 * CHOOSE(CONTROL!$C$15, $E$9, 100%, $G$9) + CHOOSE(CONTROL!$C$38, 0.0342, 0)</f>
        <v>25.656599999999997</v>
      </c>
      <c r="J250" s="44">
        <f>171.8693</f>
        <v>171.86930000000001</v>
      </c>
    </row>
    <row r="251" spans="1:10" ht="15" x14ac:dyDescent="0.2">
      <c r="A251" s="16">
        <v>48549</v>
      </c>
      <c r="B251" s="17">
        <f>28.2343 * CHOOSE(CONTROL!$C$15, $E$9, 100%, $G$9) + CHOOSE(CONTROL!$C$38, 0.034, 0)</f>
        <v>28.2683</v>
      </c>
      <c r="C251" s="17">
        <f>26.552 * CHOOSE(CONTROL!$C$15, $E$9, 100%, $G$9) + CHOOSE(CONTROL!$C$38, 0.0342, 0)</f>
        <v>26.586199999999998</v>
      </c>
      <c r="D251" s="17">
        <f>26.5442 * CHOOSE(CONTROL!$C$15, $E$9, 100%, $G$9) + CHOOSE(CONTROL!$C$38, 0.0342, 0)</f>
        <v>26.578399999999998</v>
      </c>
      <c r="E251" s="17">
        <f>26.5442 * CHOOSE(CONTROL!$C$15, $E$9, 100%, $G$9) + CHOOSE(CONTROL!$C$38, 0.0342, 0)</f>
        <v>26.578399999999998</v>
      </c>
      <c r="F251" s="45">
        <f>28.2343 * CHOOSE(CONTROL!$C$15, $E$9, 100%, $G$9) + CHOOSE(CONTROL!$C$38, 0.034, 0)</f>
        <v>28.2683</v>
      </c>
      <c r="G251" s="17">
        <f>26.5505 * CHOOSE(CONTROL!$C$15, $E$9, 100%, $G$9) + CHOOSE(CONTROL!$C$38, 0.0342, 0)</f>
        <v>26.584699999999998</v>
      </c>
      <c r="H251" s="17">
        <f>26.5505 * CHOOSE(CONTROL!$C$15, $E$9, 100%, $G$9) + CHOOSE(CONTROL!$C$38, 0.0342, 0)</f>
        <v>26.584699999999998</v>
      </c>
      <c r="I251" s="17">
        <f>26.552 * CHOOSE(CONTROL!$C$15, $E$9, 100%, $G$9) + CHOOSE(CONTROL!$C$38, 0.0342, 0)</f>
        <v>26.586199999999998</v>
      </c>
      <c r="J251" s="44">
        <f>166.7691</f>
        <v>166.76910000000001</v>
      </c>
    </row>
    <row r="252" spans="1:10" ht="15" x14ac:dyDescent="0.2">
      <c r="A252" s="16">
        <v>48580</v>
      </c>
      <c r="B252" s="17">
        <f>29.4177 * CHOOSE(CONTROL!$C$15, $E$9, 100%, $G$9) + CHOOSE(CONTROL!$C$38, 0.034, 0)</f>
        <v>29.451699999999999</v>
      </c>
      <c r="C252" s="17">
        <f>27.7098 * CHOOSE(CONTROL!$C$15, $E$9, 100%, $G$9) + CHOOSE(CONTROL!$C$38, 0.0342, 0)</f>
        <v>27.744</v>
      </c>
      <c r="D252" s="17">
        <f>27.702 * CHOOSE(CONTROL!$C$15, $E$9, 100%, $G$9) + CHOOSE(CONTROL!$C$38, 0.0342, 0)</f>
        <v>27.7362</v>
      </c>
      <c r="E252" s="17">
        <f>27.702 * CHOOSE(CONTROL!$C$15, $E$9, 100%, $G$9) + CHOOSE(CONTROL!$C$38, 0.0342, 0)</f>
        <v>27.7362</v>
      </c>
      <c r="F252" s="45">
        <f>29.4177 * CHOOSE(CONTROL!$C$15, $E$9, 100%, $G$9) + CHOOSE(CONTROL!$C$38, 0.034, 0)</f>
        <v>29.451699999999999</v>
      </c>
      <c r="G252" s="17">
        <f>27.7083 * CHOOSE(CONTROL!$C$15, $E$9, 100%, $G$9) + CHOOSE(CONTROL!$C$38, 0.0342, 0)</f>
        <v>27.7425</v>
      </c>
      <c r="H252" s="17">
        <f>27.7083 * CHOOSE(CONTROL!$C$15, $E$9, 100%, $G$9) + CHOOSE(CONTROL!$C$38, 0.0342, 0)</f>
        <v>27.7425</v>
      </c>
      <c r="I252" s="17">
        <f>27.7098 * CHOOSE(CONTROL!$C$15, $E$9, 100%, $G$9) + CHOOSE(CONTROL!$C$38, 0.0342, 0)</f>
        <v>27.744</v>
      </c>
      <c r="J252" s="44">
        <f>166.6487</f>
        <v>166.64869999999999</v>
      </c>
    </row>
    <row r="253" spans="1:10" ht="15" x14ac:dyDescent="0.2">
      <c r="A253" s="16">
        <v>48611</v>
      </c>
      <c r="B253" s="17">
        <f>29.762 * CHOOSE(CONTROL!$C$15, $E$9, 100%, $G$9) + CHOOSE(CONTROL!$C$38, 0.034, 0)</f>
        <v>29.795999999999999</v>
      </c>
      <c r="C253" s="17">
        <f>28.0541 * CHOOSE(CONTROL!$C$15, $E$9, 100%, $G$9) + CHOOSE(CONTROL!$C$38, 0.0342, 0)</f>
        <v>28.088299999999997</v>
      </c>
      <c r="D253" s="17">
        <f>28.0463 * CHOOSE(CONTROL!$C$15, $E$9, 100%, $G$9) + CHOOSE(CONTROL!$C$38, 0.0342, 0)</f>
        <v>28.080499999999997</v>
      </c>
      <c r="E253" s="17">
        <f>28.0463 * CHOOSE(CONTROL!$C$15, $E$9, 100%, $G$9) + CHOOSE(CONTROL!$C$38, 0.0342, 0)</f>
        <v>28.080499999999997</v>
      </c>
      <c r="F253" s="45">
        <f>29.762 * CHOOSE(CONTROL!$C$15, $E$9, 100%, $G$9) + CHOOSE(CONTROL!$C$38, 0.034, 0)</f>
        <v>29.795999999999999</v>
      </c>
      <c r="G253" s="17">
        <f>28.0526 * CHOOSE(CONTROL!$C$15, $E$9, 100%, $G$9) + CHOOSE(CONTROL!$C$38, 0.0342, 0)</f>
        <v>28.0868</v>
      </c>
      <c r="H253" s="17">
        <f>28.0526 * CHOOSE(CONTROL!$C$15, $E$9, 100%, $G$9) + CHOOSE(CONTROL!$C$38, 0.0342, 0)</f>
        <v>28.0868</v>
      </c>
      <c r="I253" s="17">
        <f>28.0541 * CHOOSE(CONTROL!$C$15, $E$9, 100%, $G$9) + CHOOSE(CONTROL!$C$38, 0.0342, 0)</f>
        <v>28.088299999999997</v>
      </c>
      <c r="J253" s="44">
        <f>166.1854</f>
        <v>166.18539999999999</v>
      </c>
    </row>
    <row r="254" spans="1:10" ht="15" x14ac:dyDescent="0.2">
      <c r="A254" s="16">
        <v>48639</v>
      </c>
      <c r="B254" s="17">
        <f>28.965 * CHOOSE(CONTROL!$C$15, $E$9, 100%, $G$9) + CHOOSE(CONTROL!$C$38, 0.034, 0)</f>
        <v>28.998999999999999</v>
      </c>
      <c r="C254" s="17">
        <f>27.2571 * CHOOSE(CONTROL!$C$15, $E$9, 100%, $G$9) + CHOOSE(CONTROL!$C$38, 0.0342, 0)</f>
        <v>27.2913</v>
      </c>
      <c r="D254" s="17">
        <f>27.2493 * CHOOSE(CONTROL!$C$15, $E$9, 100%, $G$9) + CHOOSE(CONTROL!$C$38, 0.0342, 0)</f>
        <v>27.2835</v>
      </c>
      <c r="E254" s="17">
        <f>27.2493 * CHOOSE(CONTROL!$C$15, $E$9, 100%, $G$9) + CHOOSE(CONTROL!$C$38, 0.0342, 0)</f>
        <v>27.2835</v>
      </c>
      <c r="F254" s="45">
        <f>28.965 * CHOOSE(CONTROL!$C$15, $E$9, 100%, $G$9) + CHOOSE(CONTROL!$C$38, 0.034, 0)</f>
        <v>28.998999999999999</v>
      </c>
      <c r="G254" s="17">
        <f>27.2555 * CHOOSE(CONTROL!$C$15, $E$9, 100%, $G$9) + CHOOSE(CONTROL!$C$38, 0.0342, 0)</f>
        <v>27.2897</v>
      </c>
      <c r="H254" s="17">
        <f>27.2555 * CHOOSE(CONTROL!$C$15, $E$9, 100%, $G$9) + CHOOSE(CONTROL!$C$38, 0.0342, 0)</f>
        <v>27.2897</v>
      </c>
      <c r="I254" s="17">
        <f>27.2571 * CHOOSE(CONTROL!$C$15, $E$9, 100%, $G$9) + CHOOSE(CONTROL!$C$38, 0.0342, 0)</f>
        <v>27.2913</v>
      </c>
      <c r="J254" s="44">
        <f>174.9444</f>
        <v>174.9444</v>
      </c>
    </row>
    <row r="255" spans="1:10" ht="15" x14ac:dyDescent="0.2">
      <c r="A255" s="16">
        <v>48670</v>
      </c>
      <c r="B255" s="17">
        <f>28.1927 * CHOOSE(CONTROL!$C$15, $E$9, 100%, $G$9) + CHOOSE(CONTROL!$C$38, 0.034, 0)</f>
        <v>28.226699999999997</v>
      </c>
      <c r="C255" s="17">
        <f>26.4848 * CHOOSE(CONTROL!$C$15, $E$9, 100%, $G$9) + CHOOSE(CONTROL!$C$38, 0.0342, 0)</f>
        <v>26.518999999999998</v>
      </c>
      <c r="D255" s="17">
        <f>26.477 * CHOOSE(CONTROL!$C$15, $E$9, 100%, $G$9) + CHOOSE(CONTROL!$C$38, 0.0342, 0)</f>
        <v>26.511199999999999</v>
      </c>
      <c r="E255" s="17">
        <f>26.477 * CHOOSE(CONTROL!$C$15, $E$9, 100%, $G$9) + CHOOSE(CONTROL!$C$38, 0.0342, 0)</f>
        <v>26.511199999999999</v>
      </c>
      <c r="F255" s="45">
        <f>28.1927 * CHOOSE(CONTROL!$C$15, $E$9, 100%, $G$9) + CHOOSE(CONTROL!$C$38, 0.034, 0)</f>
        <v>28.226699999999997</v>
      </c>
      <c r="G255" s="17">
        <f>26.4832 * CHOOSE(CONTROL!$C$15, $E$9, 100%, $G$9) + CHOOSE(CONTROL!$C$38, 0.0342, 0)</f>
        <v>26.517399999999999</v>
      </c>
      <c r="H255" s="17">
        <f>26.4832 * CHOOSE(CONTROL!$C$15, $E$9, 100%, $G$9) + CHOOSE(CONTROL!$C$38, 0.0342, 0)</f>
        <v>26.517399999999999</v>
      </c>
      <c r="I255" s="17">
        <f>26.4848 * CHOOSE(CONTROL!$C$15, $E$9, 100%, $G$9) + CHOOSE(CONTROL!$C$38, 0.0342, 0)</f>
        <v>26.518999999999998</v>
      </c>
      <c r="J255" s="44">
        <f>186.3026</f>
        <v>186.30260000000001</v>
      </c>
    </row>
    <row r="256" spans="1:10" ht="15" x14ac:dyDescent="0.2">
      <c r="A256" s="16">
        <v>48700</v>
      </c>
      <c r="B256" s="17">
        <f>27.3877 * CHOOSE(CONTROL!$C$15, $E$9, 100%, $G$9) + CHOOSE(CONTROL!$C$38, 0.0353, 0)</f>
        <v>27.422999999999998</v>
      </c>
      <c r="C256" s="17">
        <f>25.6798 * CHOOSE(CONTROL!$C$15, $E$9, 100%, $G$9) + CHOOSE(CONTROL!$C$38, 0.0354, 0)</f>
        <v>25.715199999999999</v>
      </c>
      <c r="D256" s="17">
        <f>25.672 * CHOOSE(CONTROL!$C$15, $E$9, 100%, $G$9) + CHOOSE(CONTROL!$C$38, 0.0354, 0)</f>
        <v>25.7074</v>
      </c>
      <c r="E256" s="17">
        <f>25.672 * CHOOSE(CONTROL!$C$15, $E$9, 100%, $G$9) + CHOOSE(CONTROL!$C$38, 0.0354, 0)</f>
        <v>25.7074</v>
      </c>
      <c r="F256" s="45">
        <f>27.3877 * CHOOSE(CONTROL!$C$15, $E$9, 100%, $G$9) + CHOOSE(CONTROL!$C$38, 0.0353, 0)</f>
        <v>27.422999999999998</v>
      </c>
      <c r="G256" s="17">
        <f>25.6783 * CHOOSE(CONTROL!$C$15, $E$9, 100%, $G$9) + CHOOSE(CONTROL!$C$38, 0.0354, 0)</f>
        <v>25.713699999999999</v>
      </c>
      <c r="H256" s="17">
        <f>25.6783 * CHOOSE(CONTROL!$C$15, $E$9, 100%, $G$9) + CHOOSE(CONTROL!$C$38, 0.0354, 0)</f>
        <v>25.713699999999999</v>
      </c>
      <c r="I256" s="17">
        <f>25.6798 * CHOOSE(CONTROL!$C$15, $E$9, 100%, $G$9) + CHOOSE(CONTROL!$C$38, 0.0354, 0)</f>
        <v>25.715199999999999</v>
      </c>
      <c r="J256" s="44">
        <f>192.5546</f>
        <v>192.55459999999999</v>
      </c>
    </row>
    <row r="257" spans="1:10" ht="15" x14ac:dyDescent="0.2">
      <c r="A257" s="16">
        <v>48731</v>
      </c>
      <c r="B257" s="17">
        <f>26.8234 * CHOOSE(CONTROL!$C$15, $E$9, 100%, $G$9) + CHOOSE(CONTROL!$C$38, 0.0353, 0)</f>
        <v>26.858699999999999</v>
      </c>
      <c r="C257" s="17">
        <f>25.1155 * CHOOSE(CONTROL!$C$15, $E$9, 100%, $G$9) + CHOOSE(CONTROL!$C$38, 0.0354, 0)</f>
        <v>25.1509</v>
      </c>
      <c r="D257" s="17">
        <f>25.1077 * CHOOSE(CONTROL!$C$15, $E$9, 100%, $G$9) + CHOOSE(CONTROL!$C$38, 0.0354, 0)</f>
        <v>25.1431</v>
      </c>
      <c r="E257" s="17">
        <f>25.1077 * CHOOSE(CONTROL!$C$15, $E$9, 100%, $G$9) + CHOOSE(CONTROL!$C$38, 0.0354, 0)</f>
        <v>25.1431</v>
      </c>
      <c r="F257" s="45">
        <f>26.8234 * CHOOSE(CONTROL!$C$15, $E$9, 100%, $G$9) + CHOOSE(CONTROL!$C$38, 0.0353, 0)</f>
        <v>26.858699999999999</v>
      </c>
      <c r="G257" s="17">
        <f>25.1139 * CHOOSE(CONTROL!$C$15, $E$9, 100%, $G$9) + CHOOSE(CONTROL!$C$38, 0.0354, 0)</f>
        <v>25.1493</v>
      </c>
      <c r="H257" s="17">
        <f>25.1139 * CHOOSE(CONTROL!$C$15, $E$9, 100%, $G$9) + CHOOSE(CONTROL!$C$38, 0.0354, 0)</f>
        <v>25.1493</v>
      </c>
      <c r="I257" s="17">
        <f>25.1155 * CHOOSE(CONTROL!$C$15, $E$9, 100%, $G$9) + CHOOSE(CONTROL!$C$38, 0.0354, 0)</f>
        <v>25.1509</v>
      </c>
      <c r="J257" s="44">
        <f>195.3291</f>
        <v>195.32910000000001</v>
      </c>
    </row>
    <row r="258" spans="1:10" ht="15" x14ac:dyDescent="0.2">
      <c r="A258" s="16">
        <v>48761</v>
      </c>
      <c r="B258" s="17">
        <f>26.5013 * CHOOSE(CONTROL!$C$15, $E$9, 100%, $G$9) + CHOOSE(CONTROL!$C$38, 0.0353, 0)</f>
        <v>26.5366</v>
      </c>
      <c r="C258" s="17">
        <f>24.7934 * CHOOSE(CONTROL!$C$15, $E$9, 100%, $G$9) + CHOOSE(CONTROL!$C$38, 0.0354, 0)</f>
        <v>24.828799999999998</v>
      </c>
      <c r="D258" s="17">
        <f>24.7856 * CHOOSE(CONTROL!$C$15, $E$9, 100%, $G$9) + CHOOSE(CONTROL!$C$38, 0.0354, 0)</f>
        <v>24.820999999999998</v>
      </c>
      <c r="E258" s="17">
        <f>24.7856 * CHOOSE(CONTROL!$C$15, $E$9, 100%, $G$9) + CHOOSE(CONTROL!$C$38, 0.0354, 0)</f>
        <v>24.820999999999998</v>
      </c>
      <c r="F258" s="45">
        <f>26.5013 * CHOOSE(CONTROL!$C$15, $E$9, 100%, $G$9) + CHOOSE(CONTROL!$C$38, 0.0353, 0)</f>
        <v>26.5366</v>
      </c>
      <c r="G258" s="17">
        <f>24.7919 * CHOOSE(CONTROL!$C$15, $E$9, 100%, $G$9) + CHOOSE(CONTROL!$C$38, 0.0354, 0)</f>
        <v>24.827299999999997</v>
      </c>
      <c r="H258" s="17">
        <f>24.7919 * CHOOSE(CONTROL!$C$15, $E$9, 100%, $G$9) + CHOOSE(CONTROL!$C$38, 0.0354, 0)</f>
        <v>24.827299999999997</v>
      </c>
      <c r="I258" s="17">
        <f>24.7934 * CHOOSE(CONTROL!$C$15, $E$9, 100%, $G$9) + CHOOSE(CONTROL!$C$38, 0.0354, 0)</f>
        <v>24.828799999999998</v>
      </c>
      <c r="J258" s="44">
        <f>194.4156</f>
        <v>194.41560000000001</v>
      </c>
    </row>
    <row r="259" spans="1:10" ht="15" x14ac:dyDescent="0.2">
      <c r="A259" s="16">
        <v>48792</v>
      </c>
      <c r="B259" s="17">
        <f>26.6602 * CHOOSE(CONTROL!$C$15, $E$9, 100%, $G$9) + CHOOSE(CONTROL!$C$38, 0.0353, 0)</f>
        <v>26.695499999999999</v>
      </c>
      <c r="C259" s="17">
        <f>24.9524 * CHOOSE(CONTROL!$C$15, $E$9, 100%, $G$9) + CHOOSE(CONTROL!$C$38, 0.0354, 0)</f>
        <v>24.9878</v>
      </c>
      <c r="D259" s="17">
        <f>24.9446 * CHOOSE(CONTROL!$C$15, $E$9, 100%, $G$9) + CHOOSE(CONTROL!$C$38, 0.0354, 0)</f>
        <v>24.98</v>
      </c>
      <c r="E259" s="17">
        <f>24.9446 * CHOOSE(CONTROL!$C$15, $E$9, 100%, $G$9) + CHOOSE(CONTROL!$C$38, 0.0354, 0)</f>
        <v>24.98</v>
      </c>
      <c r="F259" s="45">
        <f>26.6602 * CHOOSE(CONTROL!$C$15, $E$9, 100%, $G$9) + CHOOSE(CONTROL!$C$38, 0.0353, 0)</f>
        <v>26.695499999999999</v>
      </c>
      <c r="G259" s="17">
        <f>24.9508 * CHOOSE(CONTROL!$C$15, $E$9, 100%, $G$9) + CHOOSE(CONTROL!$C$38, 0.0354, 0)</f>
        <v>24.9862</v>
      </c>
      <c r="H259" s="17">
        <f>24.9508 * CHOOSE(CONTROL!$C$15, $E$9, 100%, $G$9) + CHOOSE(CONTROL!$C$38, 0.0354, 0)</f>
        <v>24.9862</v>
      </c>
      <c r="I259" s="17">
        <f>24.9524 * CHOOSE(CONTROL!$C$15, $E$9, 100%, $G$9) + CHOOSE(CONTROL!$C$38, 0.0354, 0)</f>
        <v>24.9878</v>
      </c>
      <c r="J259" s="44">
        <f>189.8897</f>
        <v>189.8897</v>
      </c>
    </row>
    <row r="260" spans="1:10" ht="15" x14ac:dyDescent="0.2">
      <c r="A260" s="16">
        <v>48823</v>
      </c>
      <c r="B260" s="17">
        <f>27.092 * CHOOSE(CONTROL!$C$15, $E$9, 100%, $G$9) + CHOOSE(CONTROL!$C$38, 0.0353, 0)</f>
        <v>27.127299999999998</v>
      </c>
      <c r="C260" s="17">
        <f>25.3841 * CHOOSE(CONTROL!$C$15, $E$9, 100%, $G$9) + CHOOSE(CONTROL!$C$38, 0.0354, 0)</f>
        <v>25.419499999999999</v>
      </c>
      <c r="D260" s="17">
        <f>25.3763 * CHOOSE(CONTROL!$C$15, $E$9, 100%, $G$9) + CHOOSE(CONTROL!$C$38, 0.0354, 0)</f>
        <v>25.4117</v>
      </c>
      <c r="E260" s="17">
        <f>25.3763 * CHOOSE(CONTROL!$C$15, $E$9, 100%, $G$9) + CHOOSE(CONTROL!$C$38, 0.0354, 0)</f>
        <v>25.4117</v>
      </c>
      <c r="F260" s="45">
        <f>27.092 * CHOOSE(CONTROL!$C$15, $E$9, 100%, $G$9) + CHOOSE(CONTROL!$C$38, 0.0353, 0)</f>
        <v>27.127299999999998</v>
      </c>
      <c r="G260" s="17">
        <f>25.3825 * CHOOSE(CONTROL!$C$15, $E$9, 100%, $G$9) + CHOOSE(CONTROL!$C$38, 0.0354, 0)</f>
        <v>25.417899999999999</v>
      </c>
      <c r="H260" s="17">
        <f>25.3825 * CHOOSE(CONTROL!$C$15, $E$9, 100%, $G$9) + CHOOSE(CONTROL!$C$38, 0.0354, 0)</f>
        <v>25.417899999999999</v>
      </c>
      <c r="I260" s="17">
        <f>25.3841 * CHOOSE(CONTROL!$C$15, $E$9, 100%, $G$9) + CHOOSE(CONTROL!$C$38, 0.0354, 0)</f>
        <v>25.419499999999999</v>
      </c>
      <c r="J260" s="44">
        <f>183.5781</f>
        <v>183.57810000000001</v>
      </c>
    </row>
    <row r="261" spans="1:10" ht="15" x14ac:dyDescent="0.2">
      <c r="A261" s="16">
        <v>48853</v>
      </c>
      <c r="B261" s="17">
        <f>27.4535 * CHOOSE(CONTROL!$C$15, $E$9, 100%, $G$9) + CHOOSE(CONTROL!$C$38, 0.034, 0)</f>
        <v>27.487499999999997</v>
      </c>
      <c r="C261" s="17">
        <f>25.7457 * CHOOSE(CONTROL!$C$15, $E$9, 100%, $G$9) + CHOOSE(CONTROL!$C$38, 0.0342, 0)</f>
        <v>25.779899999999998</v>
      </c>
      <c r="D261" s="17">
        <f>25.7379 * CHOOSE(CONTROL!$C$15, $E$9, 100%, $G$9) + CHOOSE(CONTROL!$C$38, 0.0342, 0)</f>
        <v>25.772099999999998</v>
      </c>
      <c r="E261" s="17">
        <f>25.7379 * CHOOSE(CONTROL!$C$15, $E$9, 100%, $G$9) + CHOOSE(CONTROL!$C$38, 0.0342, 0)</f>
        <v>25.772099999999998</v>
      </c>
      <c r="F261" s="45">
        <f>27.4535 * CHOOSE(CONTROL!$C$15, $E$9, 100%, $G$9) + CHOOSE(CONTROL!$C$38, 0.034, 0)</f>
        <v>27.487499999999997</v>
      </c>
      <c r="G261" s="17">
        <f>25.7441 * CHOOSE(CONTROL!$C$15, $E$9, 100%, $G$9) + CHOOSE(CONTROL!$C$38, 0.0342, 0)</f>
        <v>25.778299999999998</v>
      </c>
      <c r="H261" s="17">
        <f>25.7441 * CHOOSE(CONTROL!$C$15, $E$9, 100%, $G$9) + CHOOSE(CONTROL!$C$38, 0.0342, 0)</f>
        <v>25.778299999999998</v>
      </c>
      <c r="I261" s="17">
        <f>25.7457 * CHOOSE(CONTROL!$C$15, $E$9, 100%, $G$9) + CHOOSE(CONTROL!$C$38, 0.0342, 0)</f>
        <v>25.779899999999998</v>
      </c>
      <c r="J261" s="44">
        <f>177.2297</f>
        <v>177.22970000000001</v>
      </c>
    </row>
    <row r="262" spans="1:10" ht="15" x14ac:dyDescent="0.2">
      <c r="A262" s="16">
        <v>48884</v>
      </c>
      <c r="B262" s="17">
        <f>27.7552 * CHOOSE(CONTROL!$C$15, $E$9, 100%, $G$9) + CHOOSE(CONTROL!$C$38, 0.034, 0)</f>
        <v>27.789199999999997</v>
      </c>
      <c r="C262" s="17">
        <f>26.0474 * CHOOSE(CONTROL!$C$15, $E$9, 100%, $G$9) + CHOOSE(CONTROL!$C$38, 0.0342, 0)</f>
        <v>26.081599999999998</v>
      </c>
      <c r="D262" s="17">
        <f>26.0396 * CHOOSE(CONTROL!$C$15, $E$9, 100%, $G$9) + CHOOSE(CONTROL!$C$38, 0.0342, 0)</f>
        <v>26.073799999999999</v>
      </c>
      <c r="E262" s="17">
        <f>26.0396 * CHOOSE(CONTROL!$C$15, $E$9, 100%, $G$9) + CHOOSE(CONTROL!$C$38, 0.0342, 0)</f>
        <v>26.073799999999999</v>
      </c>
      <c r="F262" s="45">
        <f>27.7552 * CHOOSE(CONTROL!$C$15, $E$9, 100%, $G$9) + CHOOSE(CONTROL!$C$38, 0.034, 0)</f>
        <v>27.789199999999997</v>
      </c>
      <c r="G262" s="17">
        <f>26.0458 * CHOOSE(CONTROL!$C$15, $E$9, 100%, $G$9) + CHOOSE(CONTROL!$C$38, 0.0342, 0)</f>
        <v>26.08</v>
      </c>
      <c r="H262" s="17">
        <f>26.0458 * CHOOSE(CONTROL!$C$15, $E$9, 100%, $G$9) + CHOOSE(CONTROL!$C$38, 0.0342, 0)</f>
        <v>26.08</v>
      </c>
      <c r="I262" s="17">
        <f>26.0474 * CHOOSE(CONTROL!$C$15, $E$9, 100%, $G$9) + CHOOSE(CONTROL!$C$38, 0.0342, 0)</f>
        <v>26.081599999999998</v>
      </c>
      <c r="J262" s="44">
        <f>175.9669</f>
        <v>175.96690000000001</v>
      </c>
    </row>
    <row r="263" spans="1:10" ht="15" x14ac:dyDescent="0.2">
      <c r="A263" s="16">
        <v>48914</v>
      </c>
      <c r="B263" s="17">
        <f>28.6849 * CHOOSE(CONTROL!$C$15, $E$9, 100%, $G$9) + CHOOSE(CONTROL!$C$38, 0.034, 0)</f>
        <v>28.718899999999998</v>
      </c>
      <c r="C263" s="17">
        <f>26.977 * CHOOSE(CONTROL!$C$15, $E$9, 100%, $G$9) + CHOOSE(CONTROL!$C$38, 0.0342, 0)</f>
        <v>27.011199999999999</v>
      </c>
      <c r="D263" s="17">
        <f>26.9692 * CHOOSE(CONTROL!$C$15, $E$9, 100%, $G$9) + CHOOSE(CONTROL!$C$38, 0.0342, 0)</f>
        <v>27.003399999999999</v>
      </c>
      <c r="E263" s="17">
        <f>26.9692 * CHOOSE(CONTROL!$C$15, $E$9, 100%, $G$9) + CHOOSE(CONTROL!$C$38, 0.0342, 0)</f>
        <v>27.003399999999999</v>
      </c>
      <c r="F263" s="45">
        <f>28.6849 * CHOOSE(CONTROL!$C$15, $E$9, 100%, $G$9) + CHOOSE(CONTROL!$C$38, 0.034, 0)</f>
        <v>28.718899999999998</v>
      </c>
      <c r="G263" s="17">
        <f>26.9755 * CHOOSE(CONTROL!$C$15, $E$9, 100%, $G$9) + CHOOSE(CONTROL!$C$38, 0.0342, 0)</f>
        <v>27.009699999999999</v>
      </c>
      <c r="H263" s="17">
        <f>26.9755 * CHOOSE(CONTROL!$C$15, $E$9, 100%, $G$9) + CHOOSE(CONTROL!$C$38, 0.0342, 0)</f>
        <v>27.009699999999999</v>
      </c>
      <c r="I263" s="17">
        <f>26.977 * CHOOSE(CONTROL!$C$15, $E$9, 100%, $G$9) + CHOOSE(CONTROL!$C$38, 0.0342, 0)</f>
        <v>27.011199999999999</v>
      </c>
      <c r="J263" s="44">
        <f>170.7451</f>
        <v>170.74510000000001</v>
      </c>
    </row>
    <row r="264" spans="1:10" ht="15" x14ac:dyDescent="0.2">
      <c r="A264" s="16">
        <v>48945</v>
      </c>
      <c r="B264" s="17">
        <f>29.8759 * CHOOSE(CONTROL!$C$15, $E$9, 100%, $G$9) + CHOOSE(CONTROL!$C$38, 0.034, 0)</f>
        <v>29.9099</v>
      </c>
      <c r="C264" s="17">
        <f>28.142 * CHOOSE(CONTROL!$C$15, $E$9, 100%, $G$9) + CHOOSE(CONTROL!$C$38, 0.0342, 0)</f>
        <v>28.176199999999998</v>
      </c>
      <c r="D264" s="17">
        <f>28.1342 * CHOOSE(CONTROL!$C$15, $E$9, 100%, $G$9) + CHOOSE(CONTROL!$C$38, 0.0342, 0)</f>
        <v>28.168399999999998</v>
      </c>
      <c r="E264" s="17">
        <f>28.1342 * CHOOSE(CONTROL!$C$15, $E$9, 100%, $G$9) + CHOOSE(CONTROL!$C$38, 0.0342, 0)</f>
        <v>28.168399999999998</v>
      </c>
      <c r="F264" s="45">
        <f>29.8759 * CHOOSE(CONTROL!$C$15, $E$9, 100%, $G$9) + CHOOSE(CONTROL!$C$38, 0.034, 0)</f>
        <v>29.9099</v>
      </c>
      <c r="G264" s="17">
        <f>28.1404 * CHOOSE(CONTROL!$C$15, $E$9, 100%, $G$9) + CHOOSE(CONTROL!$C$38, 0.0342, 0)</f>
        <v>28.174599999999998</v>
      </c>
      <c r="H264" s="17">
        <f>28.1404 * CHOOSE(CONTROL!$C$15, $E$9, 100%, $G$9) + CHOOSE(CONTROL!$C$38, 0.0342, 0)</f>
        <v>28.174599999999998</v>
      </c>
      <c r="I264" s="17">
        <f>28.142 * CHOOSE(CONTROL!$C$15, $E$9, 100%, $G$9) + CHOOSE(CONTROL!$C$38, 0.0342, 0)</f>
        <v>28.176199999999998</v>
      </c>
      <c r="J264" s="44">
        <f>170.6218</f>
        <v>170.62180000000001</v>
      </c>
    </row>
    <row r="265" spans="1:10" ht="15" x14ac:dyDescent="0.2">
      <c r="A265" s="16">
        <v>48976</v>
      </c>
      <c r="B265" s="17">
        <f>30.2202 * CHOOSE(CONTROL!$C$15, $E$9, 100%, $G$9) + CHOOSE(CONTROL!$C$38, 0.034, 0)</f>
        <v>30.254199999999997</v>
      </c>
      <c r="C265" s="17">
        <f>28.4863 * CHOOSE(CONTROL!$C$15, $E$9, 100%, $G$9) + CHOOSE(CONTROL!$C$38, 0.0342, 0)</f>
        <v>28.520499999999998</v>
      </c>
      <c r="D265" s="17">
        <f>28.4785 * CHOOSE(CONTROL!$C$15, $E$9, 100%, $G$9) + CHOOSE(CONTROL!$C$38, 0.0342, 0)</f>
        <v>28.512699999999999</v>
      </c>
      <c r="E265" s="17">
        <f>28.4785 * CHOOSE(CONTROL!$C$15, $E$9, 100%, $G$9) + CHOOSE(CONTROL!$C$38, 0.0342, 0)</f>
        <v>28.512699999999999</v>
      </c>
      <c r="F265" s="45">
        <f>30.2202 * CHOOSE(CONTROL!$C$15, $E$9, 100%, $G$9) + CHOOSE(CONTROL!$C$38, 0.034, 0)</f>
        <v>30.254199999999997</v>
      </c>
      <c r="G265" s="17">
        <f>28.4847 * CHOOSE(CONTROL!$C$15, $E$9, 100%, $G$9) + CHOOSE(CONTROL!$C$38, 0.0342, 0)</f>
        <v>28.518899999999999</v>
      </c>
      <c r="H265" s="17">
        <f>28.4847 * CHOOSE(CONTROL!$C$15, $E$9, 100%, $G$9) + CHOOSE(CONTROL!$C$38, 0.0342, 0)</f>
        <v>28.518899999999999</v>
      </c>
      <c r="I265" s="17">
        <f>28.4863 * CHOOSE(CONTROL!$C$15, $E$9, 100%, $G$9) + CHOOSE(CONTROL!$C$38, 0.0342, 0)</f>
        <v>28.520499999999998</v>
      </c>
      <c r="J265" s="44">
        <f>170.1476</f>
        <v>170.14760000000001</v>
      </c>
    </row>
    <row r="266" spans="1:10" ht="15" x14ac:dyDescent="0.2">
      <c r="A266" s="16">
        <v>49004</v>
      </c>
      <c r="B266" s="17">
        <f>29.4232 * CHOOSE(CONTROL!$C$15, $E$9, 100%, $G$9) + CHOOSE(CONTROL!$C$38, 0.034, 0)</f>
        <v>29.4572</v>
      </c>
      <c r="C266" s="17">
        <f>27.6892 * CHOOSE(CONTROL!$C$15, $E$9, 100%, $G$9) + CHOOSE(CONTROL!$C$38, 0.0342, 0)</f>
        <v>27.723399999999998</v>
      </c>
      <c r="D266" s="17">
        <f>27.6814 * CHOOSE(CONTROL!$C$15, $E$9, 100%, $G$9) + CHOOSE(CONTROL!$C$38, 0.0342, 0)</f>
        <v>27.715599999999998</v>
      </c>
      <c r="E266" s="17">
        <f>27.6814 * CHOOSE(CONTROL!$C$15, $E$9, 100%, $G$9) + CHOOSE(CONTROL!$C$38, 0.0342, 0)</f>
        <v>27.715599999999998</v>
      </c>
      <c r="F266" s="45">
        <f>29.4232 * CHOOSE(CONTROL!$C$15, $E$9, 100%, $G$9) + CHOOSE(CONTROL!$C$38, 0.034, 0)</f>
        <v>29.4572</v>
      </c>
      <c r="G266" s="17">
        <f>27.6877 * CHOOSE(CONTROL!$C$15, $E$9, 100%, $G$9) + CHOOSE(CONTROL!$C$38, 0.0342, 0)</f>
        <v>27.721899999999998</v>
      </c>
      <c r="H266" s="17">
        <f>27.6877 * CHOOSE(CONTROL!$C$15, $E$9, 100%, $G$9) + CHOOSE(CONTROL!$C$38, 0.0342, 0)</f>
        <v>27.721899999999998</v>
      </c>
      <c r="I266" s="17">
        <f>27.6892 * CHOOSE(CONTROL!$C$15, $E$9, 100%, $G$9) + CHOOSE(CONTROL!$C$38, 0.0342, 0)</f>
        <v>27.723399999999998</v>
      </c>
      <c r="J266" s="44">
        <f>179.1153</f>
        <v>179.11529999999999</v>
      </c>
    </row>
    <row r="267" spans="1:10" ht="15" x14ac:dyDescent="0.2">
      <c r="A267" s="16">
        <v>49035</v>
      </c>
      <c r="B267" s="17">
        <f>28.6509 * CHOOSE(CONTROL!$C$15, $E$9, 100%, $G$9) + CHOOSE(CONTROL!$C$38, 0.034, 0)</f>
        <v>28.684899999999999</v>
      </c>
      <c r="C267" s="17">
        <f>26.9169 * CHOOSE(CONTROL!$C$15, $E$9, 100%, $G$9) + CHOOSE(CONTROL!$C$38, 0.0342, 0)</f>
        <v>26.951099999999997</v>
      </c>
      <c r="D267" s="17">
        <f>26.9091 * CHOOSE(CONTROL!$C$15, $E$9, 100%, $G$9) + CHOOSE(CONTROL!$C$38, 0.0342, 0)</f>
        <v>26.943299999999997</v>
      </c>
      <c r="E267" s="17">
        <f>26.9091 * CHOOSE(CONTROL!$C$15, $E$9, 100%, $G$9) + CHOOSE(CONTROL!$C$38, 0.0342, 0)</f>
        <v>26.943299999999997</v>
      </c>
      <c r="F267" s="45">
        <f>28.6509 * CHOOSE(CONTROL!$C$15, $E$9, 100%, $G$9) + CHOOSE(CONTROL!$C$38, 0.034, 0)</f>
        <v>28.684899999999999</v>
      </c>
      <c r="G267" s="17">
        <f>26.9154 * CHOOSE(CONTROL!$C$15, $E$9, 100%, $G$9) + CHOOSE(CONTROL!$C$38, 0.0342, 0)</f>
        <v>26.9496</v>
      </c>
      <c r="H267" s="17">
        <f>26.9154 * CHOOSE(CONTROL!$C$15, $E$9, 100%, $G$9) + CHOOSE(CONTROL!$C$38, 0.0342, 0)</f>
        <v>26.9496</v>
      </c>
      <c r="I267" s="17">
        <f>26.9169 * CHOOSE(CONTROL!$C$15, $E$9, 100%, $G$9) + CHOOSE(CONTROL!$C$38, 0.0342, 0)</f>
        <v>26.951099999999997</v>
      </c>
      <c r="J267" s="44">
        <f>190.7444</f>
        <v>190.74440000000001</v>
      </c>
    </row>
    <row r="268" spans="1:10" ht="15" x14ac:dyDescent="0.2">
      <c r="A268" s="16">
        <v>49065</v>
      </c>
      <c r="B268" s="17">
        <f>27.8459 * CHOOSE(CONTROL!$C$15, $E$9, 100%, $G$9) + CHOOSE(CONTROL!$C$38, 0.0353, 0)</f>
        <v>27.8812</v>
      </c>
      <c r="C268" s="17">
        <f>26.112 * CHOOSE(CONTROL!$C$15, $E$9, 100%, $G$9) + CHOOSE(CONTROL!$C$38, 0.0354, 0)</f>
        <v>26.147399999999998</v>
      </c>
      <c r="D268" s="17">
        <f>26.1042 * CHOOSE(CONTROL!$C$15, $E$9, 100%, $G$9) + CHOOSE(CONTROL!$C$38, 0.0354, 0)</f>
        <v>26.139599999999998</v>
      </c>
      <c r="E268" s="17">
        <f>26.1042 * CHOOSE(CONTROL!$C$15, $E$9, 100%, $G$9) + CHOOSE(CONTROL!$C$38, 0.0354, 0)</f>
        <v>26.139599999999998</v>
      </c>
      <c r="F268" s="45">
        <f>27.8459 * CHOOSE(CONTROL!$C$15, $E$9, 100%, $G$9) + CHOOSE(CONTROL!$C$38, 0.0353, 0)</f>
        <v>27.8812</v>
      </c>
      <c r="G268" s="17">
        <f>26.1104 * CHOOSE(CONTROL!$C$15, $E$9, 100%, $G$9) + CHOOSE(CONTROL!$C$38, 0.0354, 0)</f>
        <v>26.145799999999998</v>
      </c>
      <c r="H268" s="17">
        <f>26.1104 * CHOOSE(CONTROL!$C$15, $E$9, 100%, $G$9) + CHOOSE(CONTROL!$C$38, 0.0354, 0)</f>
        <v>26.145799999999998</v>
      </c>
      <c r="I268" s="17">
        <f>26.112 * CHOOSE(CONTROL!$C$15, $E$9, 100%, $G$9) + CHOOSE(CONTROL!$C$38, 0.0354, 0)</f>
        <v>26.147399999999998</v>
      </c>
      <c r="J268" s="44">
        <f>197.1454</f>
        <v>197.1454</v>
      </c>
    </row>
    <row r="269" spans="1:10" ht="15" x14ac:dyDescent="0.2">
      <c r="A269" s="16">
        <v>49096</v>
      </c>
      <c r="B269" s="17">
        <f>27.2816 * CHOOSE(CONTROL!$C$15, $E$9, 100%, $G$9) + CHOOSE(CONTROL!$C$38, 0.0353, 0)</f>
        <v>27.3169</v>
      </c>
      <c r="C269" s="17">
        <f>25.5476 * CHOOSE(CONTROL!$C$15, $E$9, 100%, $G$9) + CHOOSE(CONTROL!$C$38, 0.0354, 0)</f>
        <v>25.582999999999998</v>
      </c>
      <c r="D269" s="17">
        <f>25.5398 * CHOOSE(CONTROL!$C$15, $E$9, 100%, $G$9) + CHOOSE(CONTROL!$C$38, 0.0354, 0)</f>
        <v>25.575199999999999</v>
      </c>
      <c r="E269" s="17">
        <f>25.5398 * CHOOSE(CONTROL!$C$15, $E$9, 100%, $G$9) + CHOOSE(CONTROL!$C$38, 0.0354, 0)</f>
        <v>25.575199999999999</v>
      </c>
      <c r="F269" s="45">
        <f>27.2816 * CHOOSE(CONTROL!$C$15, $E$9, 100%, $G$9) + CHOOSE(CONTROL!$C$38, 0.0353, 0)</f>
        <v>27.3169</v>
      </c>
      <c r="G269" s="17">
        <f>25.5461 * CHOOSE(CONTROL!$C$15, $E$9, 100%, $G$9) + CHOOSE(CONTROL!$C$38, 0.0354, 0)</f>
        <v>25.581499999999998</v>
      </c>
      <c r="H269" s="17">
        <f>25.5461 * CHOOSE(CONTROL!$C$15, $E$9, 100%, $G$9) + CHOOSE(CONTROL!$C$38, 0.0354, 0)</f>
        <v>25.581499999999998</v>
      </c>
      <c r="I269" s="17">
        <f>25.5476 * CHOOSE(CONTROL!$C$15, $E$9, 100%, $G$9) + CHOOSE(CONTROL!$C$38, 0.0354, 0)</f>
        <v>25.582999999999998</v>
      </c>
      <c r="J269" s="44">
        <f>199.986</f>
        <v>199.98599999999999</v>
      </c>
    </row>
    <row r="270" spans="1:10" ht="15" x14ac:dyDescent="0.2">
      <c r="A270" s="16">
        <v>49126</v>
      </c>
      <c r="B270" s="17">
        <f>26.9595 * CHOOSE(CONTROL!$C$15, $E$9, 100%, $G$9) + CHOOSE(CONTROL!$C$38, 0.0353, 0)</f>
        <v>26.994799999999998</v>
      </c>
      <c r="C270" s="17">
        <f>25.2256 * CHOOSE(CONTROL!$C$15, $E$9, 100%, $G$9) + CHOOSE(CONTROL!$C$38, 0.0354, 0)</f>
        <v>25.260999999999999</v>
      </c>
      <c r="D270" s="17">
        <f>25.2178 * CHOOSE(CONTROL!$C$15, $E$9, 100%, $G$9) + CHOOSE(CONTROL!$C$38, 0.0354, 0)</f>
        <v>25.2532</v>
      </c>
      <c r="E270" s="17">
        <f>25.2178 * CHOOSE(CONTROL!$C$15, $E$9, 100%, $G$9) + CHOOSE(CONTROL!$C$38, 0.0354, 0)</f>
        <v>25.2532</v>
      </c>
      <c r="F270" s="45">
        <f>26.9595 * CHOOSE(CONTROL!$C$15, $E$9, 100%, $G$9) + CHOOSE(CONTROL!$C$38, 0.0353, 0)</f>
        <v>26.994799999999998</v>
      </c>
      <c r="G270" s="17">
        <f>25.224 * CHOOSE(CONTROL!$C$15, $E$9, 100%, $G$9) + CHOOSE(CONTROL!$C$38, 0.0354, 0)</f>
        <v>25.259399999999999</v>
      </c>
      <c r="H270" s="17">
        <f>25.224 * CHOOSE(CONTROL!$C$15, $E$9, 100%, $G$9) + CHOOSE(CONTROL!$C$38, 0.0354, 0)</f>
        <v>25.259399999999999</v>
      </c>
      <c r="I270" s="17">
        <f>25.2256 * CHOOSE(CONTROL!$C$15, $E$9, 100%, $G$9) + CHOOSE(CONTROL!$C$38, 0.0354, 0)</f>
        <v>25.260999999999999</v>
      </c>
      <c r="J270" s="44">
        <f>199.0507</f>
        <v>199.05070000000001</v>
      </c>
    </row>
    <row r="271" spans="1:10" ht="15" x14ac:dyDescent="0.2">
      <c r="A271" s="16">
        <v>49157</v>
      </c>
      <c r="B271" s="17">
        <f>27.1184 * CHOOSE(CONTROL!$C$15, $E$9, 100%, $G$9) + CHOOSE(CONTROL!$C$38, 0.0353, 0)</f>
        <v>27.153700000000001</v>
      </c>
      <c r="C271" s="17">
        <f>25.3845 * CHOOSE(CONTROL!$C$15, $E$9, 100%, $G$9) + CHOOSE(CONTROL!$C$38, 0.0354, 0)</f>
        <v>25.419899999999998</v>
      </c>
      <c r="D271" s="17">
        <f>25.3767 * CHOOSE(CONTROL!$C$15, $E$9, 100%, $G$9) + CHOOSE(CONTROL!$C$38, 0.0354, 0)</f>
        <v>25.412099999999999</v>
      </c>
      <c r="E271" s="17">
        <f>25.3767 * CHOOSE(CONTROL!$C$15, $E$9, 100%, $G$9) + CHOOSE(CONTROL!$C$38, 0.0354, 0)</f>
        <v>25.412099999999999</v>
      </c>
      <c r="F271" s="45">
        <f>27.1184 * CHOOSE(CONTROL!$C$15, $E$9, 100%, $G$9) + CHOOSE(CONTROL!$C$38, 0.0353, 0)</f>
        <v>27.153700000000001</v>
      </c>
      <c r="G271" s="17">
        <f>25.383 * CHOOSE(CONTROL!$C$15, $E$9, 100%, $G$9) + CHOOSE(CONTROL!$C$38, 0.0354, 0)</f>
        <v>25.418399999999998</v>
      </c>
      <c r="H271" s="17">
        <f>25.383 * CHOOSE(CONTROL!$C$15, $E$9, 100%, $G$9) + CHOOSE(CONTROL!$C$38, 0.0354, 0)</f>
        <v>25.418399999999998</v>
      </c>
      <c r="I271" s="17">
        <f>25.3845 * CHOOSE(CONTROL!$C$15, $E$9, 100%, $G$9) + CHOOSE(CONTROL!$C$38, 0.0354, 0)</f>
        <v>25.419899999999998</v>
      </c>
      <c r="J271" s="44">
        <f>194.4169</f>
        <v>194.4169</v>
      </c>
    </row>
    <row r="272" spans="1:10" ht="15" x14ac:dyDescent="0.2">
      <c r="A272" s="16">
        <v>49188</v>
      </c>
      <c r="B272" s="17">
        <f>27.5502 * CHOOSE(CONTROL!$C$15, $E$9, 100%, $G$9) + CHOOSE(CONTROL!$C$38, 0.0353, 0)</f>
        <v>27.5855</v>
      </c>
      <c r="C272" s="17">
        <f>25.8162 * CHOOSE(CONTROL!$C$15, $E$9, 100%, $G$9) + CHOOSE(CONTROL!$C$38, 0.0354, 0)</f>
        <v>25.851599999999998</v>
      </c>
      <c r="D272" s="17">
        <f>25.8084 * CHOOSE(CONTROL!$C$15, $E$9, 100%, $G$9) + CHOOSE(CONTROL!$C$38, 0.0354, 0)</f>
        <v>25.843799999999998</v>
      </c>
      <c r="E272" s="17">
        <f>25.8084 * CHOOSE(CONTROL!$C$15, $E$9, 100%, $G$9) + CHOOSE(CONTROL!$C$38, 0.0354, 0)</f>
        <v>25.843799999999998</v>
      </c>
      <c r="F272" s="45">
        <f>27.5502 * CHOOSE(CONTROL!$C$15, $E$9, 100%, $G$9) + CHOOSE(CONTROL!$C$38, 0.0353, 0)</f>
        <v>27.5855</v>
      </c>
      <c r="G272" s="17">
        <f>25.8147 * CHOOSE(CONTROL!$C$15, $E$9, 100%, $G$9) + CHOOSE(CONTROL!$C$38, 0.0354, 0)</f>
        <v>25.850099999999998</v>
      </c>
      <c r="H272" s="17">
        <f>25.8147 * CHOOSE(CONTROL!$C$15, $E$9, 100%, $G$9) + CHOOSE(CONTROL!$C$38, 0.0354, 0)</f>
        <v>25.850099999999998</v>
      </c>
      <c r="I272" s="17">
        <f>25.8162 * CHOOSE(CONTROL!$C$15, $E$9, 100%, $G$9) + CHOOSE(CONTROL!$C$38, 0.0354, 0)</f>
        <v>25.851599999999998</v>
      </c>
      <c r="J272" s="44">
        <f>187.9548</f>
        <v>187.95480000000001</v>
      </c>
    </row>
    <row r="273" spans="1:10" ht="15" x14ac:dyDescent="0.2">
      <c r="A273" s="16">
        <v>49218</v>
      </c>
      <c r="B273" s="17">
        <f>27.9117 * CHOOSE(CONTROL!$C$15, $E$9, 100%, $G$9) + CHOOSE(CONTROL!$C$38, 0.034, 0)</f>
        <v>27.945699999999999</v>
      </c>
      <c r="C273" s="17">
        <f>26.1778 * CHOOSE(CONTROL!$C$15, $E$9, 100%, $G$9) + CHOOSE(CONTROL!$C$38, 0.0342, 0)</f>
        <v>26.212</v>
      </c>
      <c r="D273" s="17">
        <f>26.17 * CHOOSE(CONTROL!$C$15, $E$9, 100%, $G$9) + CHOOSE(CONTROL!$C$38, 0.0342, 0)</f>
        <v>26.2042</v>
      </c>
      <c r="E273" s="17">
        <f>26.17 * CHOOSE(CONTROL!$C$15, $E$9, 100%, $G$9) + CHOOSE(CONTROL!$C$38, 0.0342, 0)</f>
        <v>26.2042</v>
      </c>
      <c r="F273" s="45">
        <f>27.9117 * CHOOSE(CONTROL!$C$15, $E$9, 100%, $G$9) + CHOOSE(CONTROL!$C$38, 0.034, 0)</f>
        <v>27.945699999999999</v>
      </c>
      <c r="G273" s="17">
        <f>26.1762 * CHOOSE(CONTROL!$C$15, $E$9, 100%, $G$9) + CHOOSE(CONTROL!$C$38, 0.0342, 0)</f>
        <v>26.2104</v>
      </c>
      <c r="H273" s="17">
        <f>26.1762 * CHOOSE(CONTROL!$C$15, $E$9, 100%, $G$9) + CHOOSE(CONTROL!$C$38, 0.0342, 0)</f>
        <v>26.2104</v>
      </c>
      <c r="I273" s="17">
        <f>26.1778 * CHOOSE(CONTROL!$C$15, $E$9, 100%, $G$9) + CHOOSE(CONTROL!$C$38, 0.0342, 0)</f>
        <v>26.212</v>
      </c>
      <c r="J273" s="44">
        <f>181.4552</f>
        <v>181.45519999999999</v>
      </c>
    </row>
    <row r="274" spans="1:10" ht="15" x14ac:dyDescent="0.2">
      <c r="A274" s="16">
        <v>49249</v>
      </c>
      <c r="B274" s="17">
        <f>28.2134 * CHOOSE(CONTROL!$C$15, $E$9, 100%, $G$9) + CHOOSE(CONTROL!$C$38, 0.034, 0)</f>
        <v>28.247399999999999</v>
      </c>
      <c r="C274" s="17">
        <f>26.4795 * CHOOSE(CONTROL!$C$15, $E$9, 100%, $G$9) + CHOOSE(CONTROL!$C$38, 0.0342, 0)</f>
        <v>26.5137</v>
      </c>
      <c r="D274" s="17">
        <f>26.4717 * CHOOSE(CONTROL!$C$15, $E$9, 100%, $G$9) + CHOOSE(CONTROL!$C$38, 0.0342, 0)</f>
        <v>26.505899999999997</v>
      </c>
      <c r="E274" s="17">
        <f>26.4717 * CHOOSE(CONTROL!$C$15, $E$9, 100%, $G$9) + CHOOSE(CONTROL!$C$38, 0.0342, 0)</f>
        <v>26.505899999999997</v>
      </c>
      <c r="F274" s="45">
        <f>28.2134 * CHOOSE(CONTROL!$C$15, $E$9, 100%, $G$9) + CHOOSE(CONTROL!$C$38, 0.034, 0)</f>
        <v>28.247399999999999</v>
      </c>
      <c r="G274" s="17">
        <f>26.4779 * CHOOSE(CONTROL!$C$15, $E$9, 100%, $G$9) + CHOOSE(CONTROL!$C$38, 0.0342, 0)</f>
        <v>26.5121</v>
      </c>
      <c r="H274" s="17">
        <f>26.4779 * CHOOSE(CONTROL!$C$15, $E$9, 100%, $G$9) + CHOOSE(CONTROL!$C$38, 0.0342, 0)</f>
        <v>26.5121</v>
      </c>
      <c r="I274" s="17">
        <f>26.4795 * CHOOSE(CONTROL!$C$15, $E$9, 100%, $G$9) + CHOOSE(CONTROL!$C$38, 0.0342, 0)</f>
        <v>26.5137</v>
      </c>
      <c r="J274" s="44">
        <f>180.1622</f>
        <v>180.16220000000001</v>
      </c>
    </row>
    <row r="275" spans="1:10" ht="15" x14ac:dyDescent="0.2">
      <c r="A275" s="16">
        <v>49279</v>
      </c>
      <c r="B275" s="17">
        <f>29.1431 * CHOOSE(CONTROL!$C$15, $E$9, 100%, $G$9) + CHOOSE(CONTROL!$C$38, 0.034, 0)</f>
        <v>29.177099999999999</v>
      </c>
      <c r="C275" s="17">
        <f>27.4092 * CHOOSE(CONTROL!$C$15, $E$9, 100%, $G$9) + CHOOSE(CONTROL!$C$38, 0.0342, 0)</f>
        <v>27.443399999999997</v>
      </c>
      <c r="D275" s="17">
        <f>27.4014 * CHOOSE(CONTROL!$C$15, $E$9, 100%, $G$9) + CHOOSE(CONTROL!$C$38, 0.0342, 0)</f>
        <v>27.435599999999997</v>
      </c>
      <c r="E275" s="17">
        <f>27.4014 * CHOOSE(CONTROL!$C$15, $E$9, 100%, $G$9) + CHOOSE(CONTROL!$C$38, 0.0342, 0)</f>
        <v>27.435599999999997</v>
      </c>
      <c r="F275" s="45">
        <f>29.1431 * CHOOSE(CONTROL!$C$15, $E$9, 100%, $G$9) + CHOOSE(CONTROL!$C$38, 0.034, 0)</f>
        <v>29.177099999999999</v>
      </c>
      <c r="G275" s="17">
        <f>27.4076 * CHOOSE(CONTROL!$C$15, $E$9, 100%, $G$9) + CHOOSE(CONTROL!$C$38, 0.0342, 0)</f>
        <v>27.441799999999997</v>
      </c>
      <c r="H275" s="17">
        <f>27.4076 * CHOOSE(CONTROL!$C$15, $E$9, 100%, $G$9) + CHOOSE(CONTROL!$C$38, 0.0342, 0)</f>
        <v>27.441799999999997</v>
      </c>
      <c r="I275" s="17">
        <f>27.4092 * CHOOSE(CONTROL!$C$15, $E$9, 100%, $G$9) + CHOOSE(CONTROL!$C$38, 0.0342, 0)</f>
        <v>27.443399999999997</v>
      </c>
      <c r="J275" s="44">
        <f>174.8159</f>
        <v>174.8159</v>
      </c>
    </row>
    <row r="276" spans="1:10" ht="15" x14ac:dyDescent="0.2">
      <c r="A276" s="16">
        <v>49310</v>
      </c>
      <c r="B276" s="17">
        <f>30.3418 * CHOOSE(CONTROL!$C$15, $E$9, 100%, $G$9) + CHOOSE(CONTROL!$C$38, 0.034, 0)</f>
        <v>30.375799999999998</v>
      </c>
      <c r="C276" s="17">
        <f>28.5814 * CHOOSE(CONTROL!$C$15, $E$9, 100%, $G$9) + CHOOSE(CONTROL!$C$38, 0.0342, 0)</f>
        <v>28.615599999999997</v>
      </c>
      <c r="D276" s="17">
        <f>28.5735 * CHOOSE(CONTROL!$C$15, $E$9, 100%, $G$9) + CHOOSE(CONTROL!$C$38, 0.0342, 0)</f>
        <v>28.607699999999998</v>
      </c>
      <c r="E276" s="17">
        <f>28.5735 * CHOOSE(CONTROL!$C$15, $E$9, 100%, $G$9) + CHOOSE(CONTROL!$C$38, 0.0342, 0)</f>
        <v>28.607699999999998</v>
      </c>
      <c r="F276" s="45">
        <f>30.3418 * CHOOSE(CONTROL!$C$15, $E$9, 100%, $G$9) + CHOOSE(CONTROL!$C$38, 0.034, 0)</f>
        <v>30.375799999999998</v>
      </c>
      <c r="G276" s="17">
        <f>28.5798 * CHOOSE(CONTROL!$C$15, $E$9, 100%, $G$9) + CHOOSE(CONTROL!$C$38, 0.0342, 0)</f>
        <v>28.613999999999997</v>
      </c>
      <c r="H276" s="17">
        <f>28.5798 * CHOOSE(CONTROL!$C$15, $E$9, 100%, $G$9) + CHOOSE(CONTROL!$C$38, 0.0342, 0)</f>
        <v>28.613999999999997</v>
      </c>
      <c r="I276" s="17">
        <f>28.5814 * CHOOSE(CONTROL!$C$15, $E$9, 100%, $G$9) + CHOOSE(CONTROL!$C$38, 0.0342, 0)</f>
        <v>28.615599999999997</v>
      </c>
      <c r="J276" s="44">
        <f>174.6897</f>
        <v>174.68969999999999</v>
      </c>
    </row>
    <row r="277" spans="1:10" ht="15" x14ac:dyDescent="0.2">
      <c r="A277" s="16">
        <v>49341</v>
      </c>
      <c r="B277" s="17">
        <f>30.6861 * CHOOSE(CONTROL!$C$15, $E$9, 100%, $G$9) + CHOOSE(CONTROL!$C$38, 0.034, 0)</f>
        <v>30.720099999999999</v>
      </c>
      <c r="C277" s="17">
        <f>28.9257 * CHOOSE(CONTROL!$C$15, $E$9, 100%, $G$9) + CHOOSE(CONTROL!$C$38, 0.0342, 0)</f>
        <v>28.959899999999998</v>
      </c>
      <c r="D277" s="17">
        <f>28.9179 * CHOOSE(CONTROL!$C$15, $E$9, 100%, $G$9) + CHOOSE(CONTROL!$C$38, 0.0342, 0)</f>
        <v>28.952099999999998</v>
      </c>
      <c r="E277" s="17">
        <f>28.9179 * CHOOSE(CONTROL!$C$15, $E$9, 100%, $G$9) + CHOOSE(CONTROL!$C$38, 0.0342, 0)</f>
        <v>28.952099999999998</v>
      </c>
      <c r="F277" s="45">
        <f>30.6861 * CHOOSE(CONTROL!$C$15, $E$9, 100%, $G$9) + CHOOSE(CONTROL!$C$38, 0.034, 0)</f>
        <v>30.720099999999999</v>
      </c>
      <c r="G277" s="17">
        <f>28.9241 * CHOOSE(CONTROL!$C$15, $E$9, 100%, $G$9) + CHOOSE(CONTROL!$C$38, 0.0342, 0)</f>
        <v>28.958299999999998</v>
      </c>
      <c r="H277" s="17">
        <f>28.9241 * CHOOSE(CONTROL!$C$15, $E$9, 100%, $G$9) + CHOOSE(CONTROL!$C$38, 0.0342, 0)</f>
        <v>28.958299999999998</v>
      </c>
      <c r="I277" s="17">
        <f>28.9257 * CHOOSE(CONTROL!$C$15, $E$9, 100%, $G$9) + CHOOSE(CONTROL!$C$38, 0.0342, 0)</f>
        <v>28.959899999999998</v>
      </c>
      <c r="J277" s="44">
        <f>174.2041</f>
        <v>174.20410000000001</v>
      </c>
    </row>
    <row r="278" spans="1:10" ht="15" x14ac:dyDescent="0.2">
      <c r="A278" s="16">
        <v>49369</v>
      </c>
      <c r="B278" s="17">
        <f>29.8891 * CHOOSE(CONTROL!$C$15, $E$9, 100%, $G$9) + CHOOSE(CONTROL!$C$38, 0.034, 0)</f>
        <v>29.923099999999998</v>
      </c>
      <c r="C278" s="17">
        <f>28.1286 * CHOOSE(CONTROL!$C$15, $E$9, 100%, $G$9) + CHOOSE(CONTROL!$C$38, 0.0342, 0)</f>
        <v>28.162799999999997</v>
      </c>
      <c r="D278" s="17">
        <f>28.1208 * CHOOSE(CONTROL!$C$15, $E$9, 100%, $G$9) + CHOOSE(CONTROL!$C$38, 0.0342, 0)</f>
        <v>28.154999999999998</v>
      </c>
      <c r="E278" s="17">
        <f>28.1208 * CHOOSE(CONTROL!$C$15, $E$9, 100%, $G$9) + CHOOSE(CONTROL!$C$38, 0.0342, 0)</f>
        <v>28.154999999999998</v>
      </c>
      <c r="F278" s="45">
        <f>29.8891 * CHOOSE(CONTROL!$C$15, $E$9, 100%, $G$9) + CHOOSE(CONTROL!$C$38, 0.034, 0)</f>
        <v>29.923099999999998</v>
      </c>
      <c r="G278" s="17">
        <f>28.1271 * CHOOSE(CONTROL!$C$15, $E$9, 100%, $G$9) + CHOOSE(CONTROL!$C$38, 0.0342, 0)</f>
        <v>28.161299999999997</v>
      </c>
      <c r="H278" s="17">
        <f>28.1271 * CHOOSE(CONTROL!$C$15, $E$9, 100%, $G$9) + CHOOSE(CONTROL!$C$38, 0.0342, 0)</f>
        <v>28.161299999999997</v>
      </c>
      <c r="I278" s="17">
        <f>28.1286 * CHOOSE(CONTROL!$C$15, $E$9, 100%, $G$9) + CHOOSE(CONTROL!$C$38, 0.0342, 0)</f>
        <v>28.162799999999997</v>
      </c>
      <c r="J278" s="44">
        <f>183.3857</f>
        <v>183.38570000000001</v>
      </c>
    </row>
    <row r="279" spans="1:10" ht="15" x14ac:dyDescent="0.2">
      <c r="A279" s="16">
        <v>49400</v>
      </c>
      <c r="B279" s="17">
        <f>29.1167 * CHOOSE(CONTROL!$C$15, $E$9, 100%, $G$9) + CHOOSE(CONTROL!$C$38, 0.034, 0)</f>
        <v>29.150700000000001</v>
      </c>
      <c r="C279" s="17">
        <f>27.3563 * CHOOSE(CONTROL!$C$15, $E$9, 100%, $G$9) + CHOOSE(CONTROL!$C$38, 0.0342, 0)</f>
        <v>27.390499999999999</v>
      </c>
      <c r="D279" s="17">
        <f>27.3485 * CHOOSE(CONTROL!$C$15, $E$9, 100%, $G$9) + CHOOSE(CONTROL!$C$38, 0.0342, 0)</f>
        <v>27.3827</v>
      </c>
      <c r="E279" s="17">
        <f>27.3485 * CHOOSE(CONTROL!$C$15, $E$9, 100%, $G$9) + CHOOSE(CONTROL!$C$38, 0.0342, 0)</f>
        <v>27.3827</v>
      </c>
      <c r="F279" s="45">
        <f>29.1167 * CHOOSE(CONTROL!$C$15, $E$9, 100%, $G$9) + CHOOSE(CONTROL!$C$38, 0.034, 0)</f>
        <v>29.150700000000001</v>
      </c>
      <c r="G279" s="17">
        <f>27.3548 * CHOOSE(CONTROL!$C$15, $E$9, 100%, $G$9) + CHOOSE(CONTROL!$C$38, 0.0342, 0)</f>
        <v>27.388999999999999</v>
      </c>
      <c r="H279" s="17">
        <f>27.3548 * CHOOSE(CONTROL!$C$15, $E$9, 100%, $G$9) + CHOOSE(CONTROL!$C$38, 0.0342, 0)</f>
        <v>27.388999999999999</v>
      </c>
      <c r="I279" s="17">
        <f>27.3563 * CHOOSE(CONTROL!$C$15, $E$9, 100%, $G$9) + CHOOSE(CONTROL!$C$38, 0.0342, 0)</f>
        <v>27.390499999999999</v>
      </c>
      <c r="J279" s="44">
        <f>195.292</f>
        <v>195.292</v>
      </c>
    </row>
    <row r="280" spans="1:10" ht="15" x14ac:dyDescent="0.2">
      <c r="A280" s="16">
        <v>49430</v>
      </c>
      <c r="B280" s="17">
        <f>28.3118 * CHOOSE(CONTROL!$C$15, $E$9, 100%, $G$9) + CHOOSE(CONTROL!$C$38, 0.0353, 0)</f>
        <v>28.347100000000001</v>
      </c>
      <c r="C280" s="17">
        <f>26.5514 * CHOOSE(CONTROL!$C$15, $E$9, 100%, $G$9) + CHOOSE(CONTROL!$C$38, 0.0354, 0)</f>
        <v>26.5868</v>
      </c>
      <c r="D280" s="17">
        <f>26.5435 * CHOOSE(CONTROL!$C$15, $E$9, 100%, $G$9) + CHOOSE(CONTROL!$C$38, 0.0354, 0)</f>
        <v>26.578900000000001</v>
      </c>
      <c r="E280" s="17">
        <f>26.5435 * CHOOSE(CONTROL!$C$15, $E$9, 100%, $G$9) + CHOOSE(CONTROL!$C$38, 0.0354, 0)</f>
        <v>26.578900000000001</v>
      </c>
      <c r="F280" s="45">
        <f>28.3118 * CHOOSE(CONTROL!$C$15, $E$9, 100%, $G$9) + CHOOSE(CONTROL!$C$38, 0.0353, 0)</f>
        <v>28.347100000000001</v>
      </c>
      <c r="G280" s="17">
        <f>26.5498 * CHOOSE(CONTROL!$C$15, $E$9, 100%, $G$9) + CHOOSE(CONTROL!$C$38, 0.0354, 0)</f>
        <v>26.5852</v>
      </c>
      <c r="H280" s="17">
        <f>26.5498 * CHOOSE(CONTROL!$C$15, $E$9, 100%, $G$9) + CHOOSE(CONTROL!$C$38, 0.0354, 0)</f>
        <v>26.5852</v>
      </c>
      <c r="I280" s="17">
        <f>26.5514 * CHOOSE(CONTROL!$C$15, $E$9, 100%, $G$9) + CHOOSE(CONTROL!$C$38, 0.0354, 0)</f>
        <v>26.5868</v>
      </c>
      <c r="J280" s="44">
        <f>201.8456</f>
        <v>201.84559999999999</v>
      </c>
    </row>
    <row r="281" spans="1:10" ht="15" x14ac:dyDescent="0.2">
      <c r="A281" s="15">
        <v>49461</v>
      </c>
      <c r="B281" s="17">
        <f>27.7474 * CHOOSE(CONTROL!$C$15, $E$9, 100%, $G$9) + CHOOSE(CONTROL!$C$38, 0.0353, 0)</f>
        <v>27.782699999999998</v>
      </c>
      <c r="C281" s="17">
        <f>25.987 * CHOOSE(CONTROL!$C$15, $E$9, 100%, $G$9) + CHOOSE(CONTROL!$C$38, 0.0354, 0)</f>
        <v>26.022399999999998</v>
      </c>
      <c r="D281" s="17">
        <f>25.9792 * CHOOSE(CONTROL!$C$15, $E$9, 100%, $G$9) + CHOOSE(CONTROL!$C$38, 0.0354, 0)</f>
        <v>26.014599999999998</v>
      </c>
      <c r="E281" s="17">
        <f>25.9792 * CHOOSE(CONTROL!$C$15, $E$9, 100%, $G$9) + CHOOSE(CONTROL!$C$38, 0.0354, 0)</f>
        <v>26.014599999999998</v>
      </c>
      <c r="F281" s="45">
        <f>27.7474 * CHOOSE(CONTROL!$C$15, $E$9, 100%, $G$9) + CHOOSE(CONTROL!$C$38, 0.0353, 0)</f>
        <v>27.782699999999998</v>
      </c>
      <c r="G281" s="17">
        <f>25.9855 * CHOOSE(CONTROL!$C$15, $E$9, 100%, $G$9) + CHOOSE(CONTROL!$C$38, 0.0354, 0)</f>
        <v>26.020899999999997</v>
      </c>
      <c r="H281" s="17">
        <f>25.9855 * CHOOSE(CONTROL!$C$15, $E$9, 100%, $G$9) + CHOOSE(CONTROL!$C$38, 0.0354, 0)</f>
        <v>26.020899999999997</v>
      </c>
      <c r="I281" s="17">
        <f>25.987 * CHOOSE(CONTROL!$C$15, $E$9, 100%, $G$9) + CHOOSE(CONTROL!$C$38, 0.0354, 0)</f>
        <v>26.022399999999998</v>
      </c>
      <c r="J281" s="44">
        <f>204.754</f>
        <v>204.75399999999999</v>
      </c>
    </row>
    <row r="282" spans="1:10" ht="15" x14ac:dyDescent="0.2">
      <c r="A282" s="15">
        <v>49491</v>
      </c>
      <c r="B282" s="17">
        <f>27.4254 * CHOOSE(CONTROL!$C$15, $E$9, 100%, $G$9) + CHOOSE(CONTROL!$C$38, 0.0353, 0)</f>
        <v>27.460699999999999</v>
      </c>
      <c r="C282" s="17">
        <f>25.665 * CHOOSE(CONTROL!$C$15, $E$9, 100%, $G$9) + CHOOSE(CONTROL!$C$38, 0.0354, 0)</f>
        <v>25.700399999999998</v>
      </c>
      <c r="D282" s="17">
        <f>25.6572 * CHOOSE(CONTROL!$C$15, $E$9, 100%, $G$9) + CHOOSE(CONTROL!$C$38, 0.0354, 0)</f>
        <v>25.692599999999999</v>
      </c>
      <c r="E282" s="17">
        <f>25.6572 * CHOOSE(CONTROL!$C$15, $E$9, 100%, $G$9) + CHOOSE(CONTROL!$C$38, 0.0354, 0)</f>
        <v>25.692599999999999</v>
      </c>
      <c r="F282" s="45">
        <f>27.4254 * CHOOSE(CONTROL!$C$15, $E$9, 100%, $G$9) + CHOOSE(CONTROL!$C$38, 0.0353, 0)</f>
        <v>27.460699999999999</v>
      </c>
      <c r="G282" s="17">
        <f>25.6634 * CHOOSE(CONTROL!$C$15, $E$9, 100%, $G$9) + CHOOSE(CONTROL!$C$38, 0.0354, 0)</f>
        <v>25.698799999999999</v>
      </c>
      <c r="H282" s="17">
        <f>25.6634 * CHOOSE(CONTROL!$C$15, $E$9, 100%, $G$9) + CHOOSE(CONTROL!$C$38, 0.0354, 0)</f>
        <v>25.698799999999999</v>
      </c>
      <c r="I282" s="17">
        <f>25.665 * CHOOSE(CONTROL!$C$15, $E$9, 100%, $G$9) + CHOOSE(CONTROL!$C$38, 0.0354, 0)</f>
        <v>25.700399999999998</v>
      </c>
      <c r="J282" s="44">
        <f>203.7964</f>
        <v>203.79640000000001</v>
      </c>
    </row>
    <row r="283" spans="1:10" ht="15" x14ac:dyDescent="0.2">
      <c r="A283" s="15">
        <v>49522</v>
      </c>
      <c r="B283" s="17">
        <f>27.5843 * CHOOSE(CONTROL!$C$15, $E$9, 100%, $G$9) + CHOOSE(CONTROL!$C$38, 0.0353, 0)</f>
        <v>27.619599999999998</v>
      </c>
      <c r="C283" s="17">
        <f>25.8239 * CHOOSE(CONTROL!$C$15, $E$9, 100%, $G$9) + CHOOSE(CONTROL!$C$38, 0.0354, 0)</f>
        <v>25.859299999999998</v>
      </c>
      <c r="D283" s="17">
        <f>25.8161 * CHOOSE(CONTROL!$C$15, $E$9, 100%, $G$9) + CHOOSE(CONTROL!$C$38, 0.0354, 0)</f>
        <v>25.851499999999998</v>
      </c>
      <c r="E283" s="17">
        <f>25.8161 * CHOOSE(CONTROL!$C$15, $E$9, 100%, $G$9) + CHOOSE(CONTROL!$C$38, 0.0354, 0)</f>
        <v>25.851499999999998</v>
      </c>
      <c r="F283" s="45">
        <f>27.5843 * CHOOSE(CONTROL!$C$15, $E$9, 100%, $G$9) + CHOOSE(CONTROL!$C$38, 0.0353, 0)</f>
        <v>27.619599999999998</v>
      </c>
      <c r="G283" s="17">
        <f>25.8224 * CHOOSE(CONTROL!$C$15, $E$9, 100%, $G$9) + CHOOSE(CONTROL!$C$38, 0.0354, 0)</f>
        <v>25.857799999999997</v>
      </c>
      <c r="H283" s="17">
        <f>25.8224 * CHOOSE(CONTROL!$C$15, $E$9, 100%, $G$9) + CHOOSE(CONTROL!$C$38, 0.0354, 0)</f>
        <v>25.857799999999997</v>
      </c>
      <c r="I283" s="17">
        <f>25.8239 * CHOOSE(CONTROL!$C$15, $E$9, 100%, $G$9) + CHOOSE(CONTROL!$C$38, 0.0354, 0)</f>
        <v>25.859299999999998</v>
      </c>
      <c r="J283" s="44">
        <f>199.0521</f>
        <v>199.0521</v>
      </c>
    </row>
    <row r="284" spans="1:10" ht="15" x14ac:dyDescent="0.2">
      <c r="A284" s="15">
        <v>49553</v>
      </c>
      <c r="B284" s="17">
        <f>28.016 * CHOOSE(CONTROL!$C$15, $E$9, 100%, $G$9) + CHOOSE(CONTROL!$C$38, 0.0353, 0)</f>
        <v>28.051299999999998</v>
      </c>
      <c r="C284" s="17">
        <f>26.2556 * CHOOSE(CONTROL!$C$15, $E$9, 100%, $G$9) + CHOOSE(CONTROL!$C$38, 0.0354, 0)</f>
        <v>26.291</v>
      </c>
      <c r="D284" s="17">
        <f>26.2478 * CHOOSE(CONTROL!$C$15, $E$9, 100%, $G$9) + CHOOSE(CONTROL!$C$38, 0.0354, 0)</f>
        <v>26.283200000000001</v>
      </c>
      <c r="E284" s="17">
        <f>26.2478 * CHOOSE(CONTROL!$C$15, $E$9, 100%, $G$9) + CHOOSE(CONTROL!$C$38, 0.0354, 0)</f>
        <v>26.283200000000001</v>
      </c>
      <c r="F284" s="45">
        <f>28.016 * CHOOSE(CONTROL!$C$15, $E$9, 100%, $G$9) + CHOOSE(CONTROL!$C$38, 0.0353, 0)</f>
        <v>28.051299999999998</v>
      </c>
      <c r="G284" s="17">
        <f>26.2541 * CHOOSE(CONTROL!$C$15, $E$9, 100%, $G$9) + CHOOSE(CONTROL!$C$38, 0.0354, 0)</f>
        <v>26.2895</v>
      </c>
      <c r="H284" s="17">
        <f>26.2541 * CHOOSE(CONTROL!$C$15, $E$9, 100%, $G$9) + CHOOSE(CONTROL!$C$38, 0.0354, 0)</f>
        <v>26.2895</v>
      </c>
      <c r="I284" s="17">
        <f>26.2556 * CHOOSE(CONTROL!$C$15, $E$9, 100%, $G$9) + CHOOSE(CONTROL!$C$38, 0.0354, 0)</f>
        <v>26.291</v>
      </c>
      <c r="J284" s="44">
        <f>192.436</f>
        <v>192.43600000000001</v>
      </c>
    </row>
    <row r="285" spans="1:10" ht="15" x14ac:dyDescent="0.2">
      <c r="A285" s="15">
        <v>49583</v>
      </c>
      <c r="B285" s="17">
        <f>28.3776 * CHOOSE(CONTROL!$C$15, $E$9, 100%, $G$9) + CHOOSE(CONTROL!$C$38, 0.034, 0)</f>
        <v>28.4116</v>
      </c>
      <c r="C285" s="17">
        <f>26.6172 * CHOOSE(CONTROL!$C$15, $E$9, 100%, $G$9) + CHOOSE(CONTROL!$C$38, 0.0342, 0)</f>
        <v>26.651399999999999</v>
      </c>
      <c r="D285" s="17">
        <f>26.6094 * CHOOSE(CONTROL!$C$15, $E$9, 100%, $G$9) + CHOOSE(CONTROL!$C$38, 0.0342, 0)</f>
        <v>26.643599999999999</v>
      </c>
      <c r="E285" s="17">
        <f>26.6094 * CHOOSE(CONTROL!$C$15, $E$9, 100%, $G$9) + CHOOSE(CONTROL!$C$38, 0.0342, 0)</f>
        <v>26.643599999999999</v>
      </c>
      <c r="F285" s="45">
        <f>28.3776 * CHOOSE(CONTROL!$C$15, $E$9, 100%, $G$9) + CHOOSE(CONTROL!$C$38, 0.034, 0)</f>
        <v>28.4116</v>
      </c>
      <c r="G285" s="17">
        <f>26.6156 * CHOOSE(CONTROL!$C$15, $E$9, 100%, $G$9) + CHOOSE(CONTROL!$C$38, 0.0342, 0)</f>
        <v>26.649799999999999</v>
      </c>
      <c r="H285" s="17">
        <f>26.6156 * CHOOSE(CONTROL!$C$15, $E$9, 100%, $G$9) + CHOOSE(CONTROL!$C$38, 0.0342, 0)</f>
        <v>26.649799999999999</v>
      </c>
      <c r="I285" s="17">
        <f>26.6172 * CHOOSE(CONTROL!$C$15, $E$9, 100%, $G$9) + CHOOSE(CONTROL!$C$38, 0.0342, 0)</f>
        <v>26.651399999999999</v>
      </c>
      <c r="J285" s="44">
        <f>185.7813</f>
        <v>185.78129999999999</v>
      </c>
    </row>
    <row r="286" spans="1:10" ht="15" x14ac:dyDescent="0.2">
      <c r="A286" s="15">
        <v>49614</v>
      </c>
      <c r="B286" s="17">
        <f>28.6793 * CHOOSE(CONTROL!$C$15, $E$9, 100%, $G$9) + CHOOSE(CONTROL!$C$38, 0.034, 0)</f>
        <v>28.7133</v>
      </c>
      <c r="C286" s="17">
        <f>26.9189 * CHOOSE(CONTROL!$C$15, $E$9, 100%, $G$9) + CHOOSE(CONTROL!$C$38, 0.0342, 0)</f>
        <v>26.953099999999999</v>
      </c>
      <c r="D286" s="17">
        <f>26.9111 * CHOOSE(CONTROL!$C$15, $E$9, 100%, $G$9) + CHOOSE(CONTROL!$C$38, 0.0342, 0)</f>
        <v>26.9453</v>
      </c>
      <c r="E286" s="17">
        <f>26.9111 * CHOOSE(CONTROL!$C$15, $E$9, 100%, $G$9) + CHOOSE(CONTROL!$C$38, 0.0342, 0)</f>
        <v>26.9453</v>
      </c>
      <c r="F286" s="45">
        <f>28.6793 * CHOOSE(CONTROL!$C$15, $E$9, 100%, $G$9) + CHOOSE(CONTROL!$C$38, 0.034, 0)</f>
        <v>28.7133</v>
      </c>
      <c r="G286" s="17">
        <f>26.9173 * CHOOSE(CONTROL!$C$15, $E$9, 100%, $G$9) + CHOOSE(CONTROL!$C$38, 0.0342, 0)</f>
        <v>26.951499999999999</v>
      </c>
      <c r="H286" s="17">
        <f>26.9173 * CHOOSE(CONTROL!$C$15, $E$9, 100%, $G$9) + CHOOSE(CONTROL!$C$38, 0.0342, 0)</f>
        <v>26.951499999999999</v>
      </c>
      <c r="I286" s="17">
        <f>26.9189 * CHOOSE(CONTROL!$C$15, $E$9, 100%, $G$9) + CHOOSE(CONTROL!$C$38, 0.0342, 0)</f>
        <v>26.953099999999999</v>
      </c>
      <c r="J286" s="44">
        <f>184.4576</f>
        <v>184.45760000000001</v>
      </c>
    </row>
    <row r="287" spans="1:10" ht="15" x14ac:dyDescent="0.2">
      <c r="A287" s="15">
        <v>49644</v>
      </c>
      <c r="B287" s="17">
        <f>29.609 * CHOOSE(CONTROL!$C$15, $E$9, 100%, $G$9) + CHOOSE(CONTROL!$C$38, 0.034, 0)</f>
        <v>29.643000000000001</v>
      </c>
      <c r="C287" s="17">
        <f>27.8486 * CHOOSE(CONTROL!$C$15, $E$9, 100%, $G$9) + CHOOSE(CONTROL!$C$38, 0.0342, 0)</f>
        <v>27.8828</v>
      </c>
      <c r="D287" s="17">
        <f>27.8407 * CHOOSE(CONTROL!$C$15, $E$9, 100%, $G$9) + CHOOSE(CONTROL!$C$38, 0.0342, 0)</f>
        <v>27.874899999999997</v>
      </c>
      <c r="E287" s="17">
        <f>27.8407 * CHOOSE(CONTROL!$C$15, $E$9, 100%, $G$9) + CHOOSE(CONTROL!$C$38, 0.0342, 0)</f>
        <v>27.874899999999997</v>
      </c>
      <c r="F287" s="45">
        <f>29.609 * CHOOSE(CONTROL!$C$15, $E$9, 100%, $G$9) + CHOOSE(CONTROL!$C$38, 0.034, 0)</f>
        <v>29.643000000000001</v>
      </c>
      <c r="G287" s="17">
        <f>27.847 * CHOOSE(CONTROL!$C$15, $E$9, 100%, $G$9) + CHOOSE(CONTROL!$C$38, 0.0342, 0)</f>
        <v>27.8812</v>
      </c>
      <c r="H287" s="17">
        <f>27.847 * CHOOSE(CONTROL!$C$15, $E$9, 100%, $G$9) + CHOOSE(CONTROL!$C$38, 0.0342, 0)</f>
        <v>27.8812</v>
      </c>
      <c r="I287" s="17">
        <f>27.8486 * CHOOSE(CONTROL!$C$15, $E$9, 100%, $G$9) + CHOOSE(CONTROL!$C$38, 0.0342, 0)</f>
        <v>27.8828</v>
      </c>
      <c r="J287" s="44">
        <f>178.9838</f>
        <v>178.9838</v>
      </c>
    </row>
    <row r="288" spans="1:10" ht="15" x14ac:dyDescent="0.2">
      <c r="A288" s="15">
        <v>49675</v>
      </c>
      <c r="B288" s="17">
        <f>30.8155 * CHOOSE(CONTROL!$C$15, $E$9, 100%, $G$9) + CHOOSE(CONTROL!$C$38, 0.034, 0)</f>
        <v>30.849499999999999</v>
      </c>
      <c r="C288" s="17">
        <f>29.0281 * CHOOSE(CONTROL!$C$15, $E$9, 100%, $G$9) + CHOOSE(CONTROL!$C$38, 0.0342, 0)</f>
        <v>29.062299999999997</v>
      </c>
      <c r="D288" s="17">
        <f>29.0203 * CHOOSE(CONTROL!$C$15, $E$9, 100%, $G$9) + CHOOSE(CONTROL!$C$38, 0.0342, 0)</f>
        <v>29.054499999999997</v>
      </c>
      <c r="E288" s="17">
        <f>29.0203 * CHOOSE(CONTROL!$C$15, $E$9, 100%, $G$9) + CHOOSE(CONTROL!$C$38, 0.0342, 0)</f>
        <v>29.054499999999997</v>
      </c>
      <c r="F288" s="45">
        <f>30.8155 * CHOOSE(CONTROL!$C$15, $E$9, 100%, $G$9) + CHOOSE(CONTROL!$C$38, 0.034, 0)</f>
        <v>30.849499999999999</v>
      </c>
      <c r="G288" s="17">
        <f>29.0266 * CHOOSE(CONTROL!$C$15, $E$9, 100%, $G$9) + CHOOSE(CONTROL!$C$38, 0.0342, 0)</f>
        <v>29.060799999999997</v>
      </c>
      <c r="H288" s="17">
        <f>29.0266 * CHOOSE(CONTROL!$C$15, $E$9, 100%, $G$9) + CHOOSE(CONTROL!$C$38, 0.0342, 0)</f>
        <v>29.060799999999997</v>
      </c>
      <c r="I288" s="17">
        <f>29.0281 * CHOOSE(CONTROL!$C$15, $E$9, 100%, $G$9) + CHOOSE(CONTROL!$C$38, 0.0342, 0)</f>
        <v>29.062299999999997</v>
      </c>
      <c r="J288" s="44">
        <f>178.8546</f>
        <v>178.8546</v>
      </c>
    </row>
    <row r="289" spans="1:10" ht="15" x14ac:dyDescent="0.2">
      <c r="A289" s="15">
        <v>49706</v>
      </c>
      <c r="B289" s="17">
        <f>31.1598 * CHOOSE(CONTROL!$C$15, $E$9, 100%, $G$9) + CHOOSE(CONTROL!$C$38, 0.034, 0)</f>
        <v>31.1938</v>
      </c>
      <c r="C289" s="17">
        <f>29.3724 * CHOOSE(CONTROL!$C$15, $E$9, 100%, $G$9) + CHOOSE(CONTROL!$C$38, 0.0342, 0)</f>
        <v>29.406599999999997</v>
      </c>
      <c r="D289" s="17">
        <f>29.3646 * CHOOSE(CONTROL!$C$15, $E$9, 100%, $G$9) + CHOOSE(CONTROL!$C$38, 0.0342, 0)</f>
        <v>29.398799999999998</v>
      </c>
      <c r="E289" s="17">
        <f>29.3646 * CHOOSE(CONTROL!$C$15, $E$9, 100%, $G$9) + CHOOSE(CONTROL!$C$38, 0.0342, 0)</f>
        <v>29.398799999999998</v>
      </c>
      <c r="F289" s="45">
        <f>31.1598 * CHOOSE(CONTROL!$C$15, $E$9, 100%, $G$9) + CHOOSE(CONTROL!$C$38, 0.034, 0)</f>
        <v>31.1938</v>
      </c>
      <c r="G289" s="17">
        <f>29.3709 * CHOOSE(CONTROL!$C$15, $E$9, 100%, $G$9) + CHOOSE(CONTROL!$C$38, 0.0342, 0)</f>
        <v>29.405099999999997</v>
      </c>
      <c r="H289" s="17">
        <f>29.3709 * CHOOSE(CONTROL!$C$15, $E$9, 100%, $G$9) + CHOOSE(CONTROL!$C$38, 0.0342, 0)</f>
        <v>29.405099999999997</v>
      </c>
      <c r="I289" s="17">
        <f>29.3724 * CHOOSE(CONTROL!$C$15, $E$9, 100%, $G$9) + CHOOSE(CONTROL!$C$38, 0.0342, 0)</f>
        <v>29.406599999999997</v>
      </c>
      <c r="J289" s="44">
        <f>178.3574</f>
        <v>178.35740000000001</v>
      </c>
    </row>
    <row r="290" spans="1:10" ht="15" x14ac:dyDescent="0.2">
      <c r="A290" s="15">
        <v>49735</v>
      </c>
      <c r="B290" s="17">
        <f>30.3628 * CHOOSE(CONTROL!$C$15, $E$9, 100%, $G$9) + CHOOSE(CONTROL!$C$38, 0.034, 0)</f>
        <v>30.396799999999999</v>
      </c>
      <c r="C290" s="17">
        <f>28.5754 * CHOOSE(CONTROL!$C$15, $E$9, 100%, $G$9) + CHOOSE(CONTROL!$C$38, 0.0342, 0)</f>
        <v>28.609599999999997</v>
      </c>
      <c r="D290" s="17">
        <f>28.5676 * CHOOSE(CONTROL!$C$15, $E$9, 100%, $G$9) + CHOOSE(CONTROL!$C$38, 0.0342, 0)</f>
        <v>28.601799999999997</v>
      </c>
      <c r="E290" s="17">
        <f>28.5676 * CHOOSE(CONTROL!$C$15, $E$9, 100%, $G$9) + CHOOSE(CONTROL!$C$38, 0.0342, 0)</f>
        <v>28.601799999999997</v>
      </c>
      <c r="F290" s="45">
        <f>30.3628 * CHOOSE(CONTROL!$C$15, $E$9, 100%, $G$9) + CHOOSE(CONTROL!$C$38, 0.034, 0)</f>
        <v>30.396799999999999</v>
      </c>
      <c r="G290" s="17">
        <f>28.5738 * CHOOSE(CONTROL!$C$15, $E$9, 100%, $G$9) + CHOOSE(CONTROL!$C$38, 0.0342, 0)</f>
        <v>28.607999999999997</v>
      </c>
      <c r="H290" s="17">
        <f>28.5738 * CHOOSE(CONTROL!$C$15, $E$9, 100%, $G$9) + CHOOSE(CONTROL!$C$38, 0.0342, 0)</f>
        <v>28.607999999999997</v>
      </c>
      <c r="I290" s="17">
        <f>28.5754 * CHOOSE(CONTROL!$C$15, $E$9, 100%, $G$9) + CHOOSE(CONTROL!$C$38, 0.0342, 0)</f>
        <v>28.609599999999997</v>
      </c>
      <c r="J290" s="44">
        <f>187.7579</f>
        <v>187.75790000000001</v>
      </c>
    </row>
    <row r="291" spans="1:10" ht="15" x14ac:dyDescent="0.2">
      <c r="A291" s="15">
        <v>49766</v>
      </c>
      <c r="B291" s="17">
        <f>29.5905 * CHOOSE(CONTROL!$C$15, $E$9, 100%, $G$9) + CHOOSE(CONTROL!$C$38, 0.034, 0)</f>
        <v>29.624499999999998</v>
      </c>
      <c r="C291" s="17">
        <f>27.8031 * CHOOSE(CONTROL!$C$15, $E$9, 100%, $G$9) + CHOOSE(CONTROL!$C$38, 0.0342, 0)</f>
        <v>27.837299999999999</v>
      </c>
      <c r="D291" s="17">
        <f>27.7953 * CHOOSE(CONTROL!$C$15, $E$9, 100%, $G$9) + CHOOSE(CONTROL!$C$38, 0.0342, 0)</f>
        <v>27.829499999999999</v>
      </c>
      <c r="E291" s="17">
        <f>27.7953 * CHOOSE(CONTROL!$C$15, $E$9, 100%, $G$9) + CHOOSE(CONTROL!$C$38, 0.0342, 0)</f>
        <v>27.829499999999999</v>
      </c>
      <c r="F291" s="45">
        <f>29.5905 * CHOOSE(CONTROL!$C$15, $E$9, 100%, $G$9) + CHOOSE(CONTROL!$C$38, 0.034, 0)</f>
        <v>29.624499999999998</v>
      </c>
      <c r="G291" s="17">
        <f>27.8015 * CHOOSE(CONTROL!$C$15, $E$9, 100%, $G$9) + CHOOSE(CONTROL!$C$38, 0.0342, 0)</f>
        <v>27.835699999999999</v>
      </c>
      <c r="H291" s="17">
        <f>27.8015 * CHOOSE(CONTROL!$C$15, $E$9, 100%, $G$9) + CHOOSE(CONTROL!$C$38, 0.0342, 0)</f>
        <v>27.835699999999999</v>
      </c>
      <c r="I291" s="17">
        <f>27.8031 * CHOOSE(CONTROL!$C$15, $E$9, 100%, $G$9) + CHOOSE(CONTROL!$C$38, 0.0342, 0)</f>
        <v>27.837299999999999</v>
      </c>
      <c r="J291" s="44">
        <f>199.948</f>
        <v>199.94800000000001</v>
      </c>
    </row>
    <row r="292" spans="1:10" ht="15" x14ac:dyDescent="0.2">
      <c r="A292" s="15">
        <v>49796</v>
      </c>
      <c r="B292" s="17">
        <f>28.7855 * CHOOSE(CONTROL!$C$15, $E$9, 100%, $G$9) + CHOOSE(CONTROL!$C$38, 0.0353, 0)</f>
        <v>28.820799999999998</v>
      </c>
      <c r="C292" s="17">
        <f>26.9981 * CHOOSE(CONTROL!$C$15, $E$9, 100%, $G$9) + CHOOSE(CONTROL!$C$38, 0.0354, 0)</f>
        <v>27.0335</v>
      </c>
      <c r="D292" s="17">
        <f>26.9903 * CHOOSE(CONTROL!$C$15, $E$9, 100%, $G$9) + CHOOSE(CONTROL!$C$38, 0.0354, 0)</f>
        <v>27.025700000000001</v>
      </c>
      <c r="E292" s="17">
        <f>26.9903 * CHOOSE(CONTROL!$C$15, $E$9, 100%, $G$9) + CHOOSE(CONTROL!$C$38, 0.0354, 0)</f>
        <v>27.025700000000001</v>
      </c>
      <c r="F292" s="45">
        <f>28.7855 * CHOOSE(CONTROL!$C$15, $E$9, 100%, $G$9) + CHOOSE(CONTROL!$C$38, 0.0353, 0)</f>
        <v>28.820799999999998</v>
      </c>
      <c r="G292" s="17">
        <f>26.9966 * CHOOSE(CONTROL!$C$15, $E$9, 100%, $G$9) + CHOOSE(CONTROL!$C$38, 0.0354, 0)</f>
        <v>27.032</v>
      </c>
      <c r="H292" s="17">
        <f>26.9966 * CHOOSE(CONTROL!$C$15, $E$9, 100%, $G$9) + CHOOSE(CONTROL!$C$38, 0.0354, 0)</f>
        <v>27.032</v>
      </c>
      <c r="I292" s="17">
        <f>26.9981 * CHOOSE(CONTROL!$C$15, $E$9, 100%, $G$9) + CHOOSE(CONTROL!$C$38, 0.0354, 0)</f>
        <v>27.0335</v>
      </c>
      <c r="J292" s="44">
        <f>206.6579</f>
        <v>206.65790000000001</v>
      </c>
    </row>
    <row r="293" spans="1:10" ht="15" x14ac:dyDescent="0.2">
      <c r="A293" s="15">
        <v>49827</v>
      </c>
      <c r="B293" s="17">
        <f>28.2212 * CHOOSE(CONTROL!$C$15, $E$9, 100%, $G$9) + CHOOSE(CONTROL!$C$38, 0.0353, 0)</f>
        <v>28.256499999999999</v>
      </c>
      <c r="C293" s="17">
        <f>26.4338 * CHOOSE(CONTROL!$C$15, $E$9, 100%, $G$9) + CHOOSE(CONTROL!$C$38, 0.0354, 0)</f>
        <v>26.469200000000001</v>
      </c>
      <c r="D293" s="17">
        <f>26.426 * CHOOSE(CONTROL!$C$15, $E$9, 100%, $G$9) + CHOOSE(CONTROL!$C$38, 0.0354, 0)</f>
        <v>26.461399999999998</v>
      </c>
      <c r="E293" s="17">
        <f>26.426 * CHOOSE(CONTROL!$C$15, $E$9, 100%, $G$9) + CHOOSE(CONTROL!$C$38, 0.0354, 0)</f>
        <v>26.461399999999998</v>
      </c>
      <c r="F293" s="45">
        <f>28.2212 * CHOOSE(CONTROL!$C$15, $E$9, 100%, $G$9) + CHOOSE(CONTROL!$C$38, 0.0353, 0)</f>
        <v>28.256499999999999</v>
      </c>
      <c r="G293" s="17">
        <f>26.4322 * CHOOSE(CONTROL!$C$15, $E$9, 100%, $G$9) + CHOOSE(CONTROL!$C$38, 0.0354, 0)</f>
        <v>26.467600000000001</v>
      </c>
      <c r="H293" s="17">
        <f>26.4322 * CHOOSE(CONTROL!$C$15, $E$9, 100%, $G$9) + CHOOSE(CONTROL!$C$38, 0.0354, 0)</f>
        <v>26.467600000000001</v>
      </c>
      <c r="I293" s="17">
        <f>26.4338 * CHOOSE(CONTROL!$C$15, $E$9, 100%, $G$9) + CHOOSE(CONTROL!$C$38, 0.0354, 0)</f>
        <v>26.469200000000001</v>
      </c>
      <c r="J293" s="44">
        <f>209.6356</f>
        <v>209.63560000000001</v>
      </c>
    </row>
    <row r="294" spans="1:10" ht="15" x14ac:dyDescent="0.2">
      <c r="A294" s="15">
        <v>49857</v>
      </c>
      <c r="B294" s="17">
        <f>27.8991 * CHOOSE(CONTROL!$C$15, $E$9, 100%, $G$9) + CHOOSE(CONTROL!$C$38, 0.0353, 0)</f>
        <v>27.9344</v>
      </c>
      <c r="C294" s="17">
        <f>26.1117 * CHOOSE(CONTROL!$C$15, $E$9, 100%, $G$9) + CHOOSE(CONTROL!$C$38, 0.0354, 0)</f>
        <v>26.147099999999998</v>
      </c>
      <c r="D294" s="17">
        <f>26.1039 * CHOOSE(CONTROL!$C$15, $E$9, 100%, $G$9) + CHOOSE(CONTROL!$C$38, 0.0354, 0)</f>
        <v>26.139299999999999</v>
      </c>
      <c r="E294" s="17">
        <f>26.1039 * CHOOSE(CONTROL!$C$15, $E$9, 100%, $G$9) + CHOOSE(CONTROL!$C$38, 0.0354, 0)</f>
        <v>26.139299999999999</v>
      </c>
      <c r="F294" s="45">
        <f>27.8991 * CHOOSE(CONTROL!$C$15, $E$9, 100%, $G$9) + CHOOSE(CONTROL!$C$38, 0.0353, 0)</f>
        <v>27.9344</v>
      </c>
      <c r="G294" s="17">
        <f>26.1102 * CHOOSE(CONTROL!$C$15, $E$9, 100%, $G$9) + CHOOSE(CONTROL!$C$38, 0.0354, 0)</f>
        <v>26.145599999999998</v>
      </c>
      <c r="H294" s="17">
        <f>26.1102 * CHOOSE(CONTROL!$C$15, $E$9, 100%, $G$9) + CHOOSE(CONTROL!$C$38, 0.0354, 0)</f>
        <v>26.145599999999998</v>
      </c>
      <c r="I294" s="17">
        <f>26.1117 * CHOOSE(CONTROL!$C$15, $E$9, 100%, $G$9) + CHOOSE(CONTROL!$C$38, 0.0354, 0)</f>
        <v>26.147099999999998</v>
      </c>
      <c r="J294" s="44">
        <f>208.6552</f>
        <v>208.65520000000001</v>
      </c>
    </row>
    <row r="295" spans="1:10" ht="15" x14ac:dyDescent="0.2">
      <c r="A295" s="15">
        <v>49888</v>
      </c>
      <c r="B295" s="17">
        <f>28.0581 * CHOOSE(CONTROL!$C$15, $E$9, 100%, $G$9) + CHOOSE(CONTROL!$C$38, 0.0353, 0)</f>
        <v>28.093399999999999</v>
      </c>
      <c r="C295" s="17">
        <f>26.2707 * CHOOSE(CONTROL!$C$15, $E$9, 100%, $G$9) + CHOOSE(CONTROL!$C$38, 0.0354, 0)</f>
        <v>26.306100000000001</v>
      </c>
      <c r="D295" s="17">
        <f>26.2629 * CHOOSE(CONTROL!$C$15, $E$9, 100%, $G$9) + CHOOSE(CONTROL!$C$38, 0.0354, 0)</f>
        <v>26.298299999999998</v>
      </c>
      <c r="E295" s="17">
        <f>26.2629 * CHOOSE(CONTROL!$C$15, $E$9, 100%, $G$9) + CHOOSE(CONTROL!$C$38, 0.0354, 0)</f>
        <v>26.298299999999998</v>
      </c>
      <c r="F295" s="45">
        <f>28.0581 * CHOOSE(CONTROL!$C$15, $E$9, 100%, $G$9) + CHOOSE(CONTROL!$C$38, 0.0353, 0)</f>
        <v>28.093399999999999</v>
      </c>
      <c r="G295" s="17">
        <f>26.2691 * CHOOSE(CONTROL!$C$15, $E$9, 100%, $G$9) + CHOOSE(CONTROL!$C$38, 0.0354, 0)</f>
        <v>26.304500000000001</v>
      </c>
      <c r="H295" s="17">
        <f>26.2691 * CHOOSE(CONTROL!$C$15, $E$9, 100%, $G$9) + CHOOSE(CONTROL!$C$38, 0.0354, 0)</f>
        <v>26.304500000000001</v>
      </c>
      <c r="I295" s="17">
        <f>26.2707 * CHOOSE(CONTROL!$C$15, $E$9, 100%, $G$9) + CHOOSE(CONTROL!$C$38, 0.0354, 0)</f>
        <v>26.306100000000001</v>
      </c>
      <c r="J295" s="44">
        <f>203.7978</f>
        <v>203.7978</v>
      </c>
    </row>
    <row r="296" spans="1:10" ht="15" x14ac:dyDescent="0.2">
      <c r="A296" s="15">
        <v>49919</v>
      </c>
      <c r="B296" s="17">
        <f>28.4898 * CHOOSE(CONTROL!$C$15, $E$9, 100%, $G$9) + CHOOSE(CONTROL!$C$38, 0.0353, 0)</f>
        <v>28.525099999999998</v>
      </c>
      <c r="C296" s="17">
        <f>26.7024 * CHOOSE(CONTROL!$C$15, $E$9, 100%, $G$9) + CHOOSE(CONTROL!$C$38, 0.0354, 0)</f>
        <v>26.7378</v>
      </c>
      <c r="D296" s="17">
        <f>26.6946 * CHOOSE(CONTROL!$C$15, $E$9, 100%, $G$9) + CHOOSE(CONTROL!$C$38, 0.0354, 0)</f>
        <v>26.73</v>
      </c>
      <c r="E296" s="17">
        <f>26.6946 * CHOOSE(CONTROL!$C$15, $E$9, 100%, $G$9) + CHOOSE(CONTROL!$C$38, 0.0354, 0)</f>
        <v>26.73</v>
      </c>
      <c r="F296" s="45">
        <f>28.4898 * CHOOSE(CONTROL!$C$15, $E$9, 100%, $G$9) + CHOOSE(CONTROL!$C$38, 0.0353, 0)</f>
        <v>28.525099999999998</v>
      </c>
      <c r="G296" s="17">
        <f>26.7008 * CHOOSE(CONTROL!$C$15, $E$9, 100%, $G$9) + CHOOSE(CONTROL!$C$38, 0.0354, 0)</f>
        <v>26.7362</v>
      </c>
      <c r="H296" s="17">
        <f>26.7008 * CHOOSE(CONTROL!$C$15, $E$9, 100%, $G$9) + CHOOSE(CONTROL!$C$38, 0.0354, 0)</f>
        <v>26.7362</v>
      </c>
      <c r="I296" s="17">
        <f>26.7024 * CHOOSE(CONTROL!$C$15, $E$9, 100%, $G$9) + CHOOSE(CONTROL!$C$38, 0.0354, 0)</f>
        <v>26.7378</v>
      </c>
      <c r="J296" s="44">
        <f>197.0239</f>
        <v>197.0239</v>
      </c>
    </row>
    <row r="297" spans="1:10" ht="15" x14ac:dyDescent="0.2">
      <c r="A297" s="15">
        <v>49949</v>
      </c>
      <c r="B297" s="17">
        <f>28.8513 * CHOOSE(CONTROL!$C$15, $E$9, 100%, $G$9) + CHOOSE(CONTROL!$C$38, 0.034, 0)</f>
        <v>28.885299999999997</v>
      </c>
      <c r="C297" s="17">
        <f>27.064 * CHOOSE(CONTROL!$C$15, $E$9, 100%, $G$9) + CHOOSE(CONTROL!$C$38, 0.0342, 0)</f>
        <v>27.098199999999999</v>
      </c>
      <c r="D297" s="17">
        <f>27.0561 * CHOOSE(CONTROL!$C$15, $E$9, 100%, $G$9) + CHOOSE(CONTROL!$C$38, 0.0342, 0)</f>
        <v>27.090299999999999</v>
      </c>
      <c r="E297" s="17">
        <f>27.0561 * CHOOSE(CONTROL!$C$15, $E$9, 100%, $G$9) + CHOOSE(CONTROL!$C$38, 0.0342, 0)</f>
        <v>27.090299999999999</v>
      </c>
      <c r="F297" s="45">
        <f>28.8513 * CHOOSE(CONTROL!$C$15, $E$9, 100%, $G$9) + CHOOSE(CONTROL!$C$38, 0.034, 0)</f>
        <v>28.885299999999997</v>
      </c>
      <c r="G297" s="17">
        <f>27.0624 * CHOOSE(CONTROL!$C$15, $E$9, 100%, $G$9) + CHOOSE(CONTROL!$C$38, 0.0342, 0)</f>
        <v>27.096599999999999</v>
      </c>
      <c r="H297" s="17">
        <f>27.0624 * CHOOSE(CONTROL!$C$15, $E$9, 100%, $G$9) + CHOOSE(CONTROL!$C$38, 0.0342, 0)</f>
        <v>27.096599999999999</v>
      </c>
      <c r="I297" s="17">
        <f>27.064 * CHOOSE(CONTROL!$C$15, $E$9, 100%, $G$9) + CHOOSE(CONTROL!$C$38, 0.0342, 0)</f>
        <v>27.098199999999999</v>
      </c>
      <c r="J297" s="44">
        <f>190.2106</f>
        <v>190.2106</v>
      </c>
    </row>
    <row r="298" spans="1:10" ht="15" x14ac:dyDescent="0.2">
      <c r="A298" s="15">
        <v>49980</v>
      </c>
      <c r="B298" s="17">
        <f>29.153 * CHOOSE(CONTROL!$C$15, $E$9, 100%, $G$9) + CHOOSE(CONTROL!$C$38, 0.034, 0)</f>
        <v>29.186999999999998</v>
      </c>
      <c r="C298" s="17">
        <f>27.3657 * CHOOSE(CONTROL!$C$15, $E$9, 100%, $G$9) + CHOOSE(CONTROL!$C$38, 0.0342, 0)</f>
        <v>27.399899999999999</v>
      </c>
      <c r="D298" s="17">
        <f>27.3579 * CHOOSE(CONTROL!$C$15, $E$9, 100%, $G$9) + CHOOSE(CONTROL!$C$38, 0.0342, 0)</f>
        <v>27.392099999999999</v>
      </c>
      <c r="E298" s="17">
        <f>27.3579 * CHOOSE(CONTROL!$C$15, $E$9, 100%, $G$9) + CHOOSE(CONTROL!$C$38, 0.0342, 0)</f>
        <v>27.392099999999999</v>
      </c>
      <c r="F298" s="45">
        <f>29.153 * CHOOSE(CONTROL!$C$15, $E$9, 100%, $G$9) + CHOOSE(CONTROL!$C$38, 0.034, 0)</f>
        <v>29.186999999999998</v>
      </c>
      <c r="G298" s="17">
        <f>27.3641 * CHOOSE(CONTROL!$C$15, $E$9, 100%, $G$9) + CHOOSE(CONTROL!$C$38, 0.0342, 0)</f>
        <v>27.398299999999999</v>
      </c>
      <c r="H298" s="17">
        <f>27.3641 * CHOOSE(CONTROL!$C$15, $E$9, 100%, $G$9) + CHOOSE(CONTROL!$C$38, 0.0342, 0)</f>
        <v>27.398299999999999</v>
      </c>
      <c r="I298" s="17">
        <f>27.3657 * CHOOSE(CONTROL!$C$15, $E$9, 100%, $G$9) + CHOOSE(CONTROL!$C$38, 0.0342, 0)</f>
        <v>27.399899999999999</v>
      </c>
      <c r="J298" s="44">
        <f>188.8553</f>
        <v>188.8553</v>
      </c>
    </row>
    <row r="299" spans="1:10" ht="15" x14ac:dyDescent="0.2">
      <c r="A299" s="15">
        <v>50010</v>
      </c>
      <c r="B299" s="17">
        <f>30.0827 * CHOOSE(CONTROL!$C$15, $E$9, 100%, $G$9) + CHOOSE(CONTROL!$C$38, 0.034, 0)</f>
        <v>30.116699999999998</v>
      </c>
      <c r="C299" s="17">
        <f>28.2953 * CHOOSE(CONTROL!$C$15, $E$9, 100%, $G$9) + CHOOSE(CONTROL!$C$38, 0.0342, 0)</f>
        <v>28.329499999999999</v>
      </c>
      <c r="D299" s="17">
        <f>28.2875 * CHOOSE(CONTROL!$C$15, $E$9, 100%, $G$9) + CHOOSE(CONTROL!$C$38, 0.0342, 0)</f>
        <v>28.3217</v>
      </c>
      <c r="E299" s="17">
        <f>28.2875 * CHOOSE(CONTROL!$C$15, $E$9, 100%, $G$9) + CHOOSE(CONTROL!$C$38, 0.0342, 0)</f>
        <v>28.3217</v>
      </c>
      <c r="F299" s="45">
        <f>30.0827 * CHOOSE(CONTROL!$C$15, $E$9, 100%, $G$9) + CHOOSE(CONTROL!$C$38, 0.034, 0)</f>
        <v>30.116699999999998</v>
      </c>
      <c r="G299" s="17">
        <f>28.2938 * CHOOSE(CONTROL!$C$15, $E$9, 100%, $G$9) + CHOOSE(CONTROL!$C$38, 0.0342, 0)</f>
        <v>28.327999999999999</v>
      </c>
      <c r="H299" s="17">
        <f>28.2938 * CHOOSE(CONTROL!$C$15, $E$9, 100%, $G$9) + CHOOSE(CONTROL!$C$38, 0.0342, 0)</f>
        <v>28.327999999999999</v>
      </c>
      <c r="I299" s="17">
        <f>28.2953 * CHOOSE(CONTROL!$C$15, $E$9, 100%, $G$9) + CHOOSE(CONTROL!$C$38, 0.0342, 0)</f>
        <v>28.329499999999999</v>
      </c>
      <c r="J299" s="44">
        <f>183.251</f>
        <v>183.251</v>
      </c>
    </row>
    <row r="300" spans="1:10" ht="15" x14ac:dyDescent="0.2">
      <c r="A300" s="15">
        <v>50041</v>
      </c>
      <c r="B300" s="17">
        <f>31.2972 * CHOOSE(CONTROL!$C$15, $E$9, 100%, $G$9) + CHOOSE(CONTROL!$C$38, 0.034, 0)</f>
        <v>31.331199999999999</v>
      </c>
      <c r="C300" s="17">
        <f>29.4824 * CHOOSE(CONTROL!$C$15, $E$9, 100%, $G$9) + CHOOSE(CONTROL!$C$38, 0.0342, 0)</f>
        <v>29.516599999999997</v>
      </c>
      <c r="D300" s="17">
        <f>29.4746 * CHOOSE(CONTROL!$C$15, $E$9, 100%, $G$9) + CHOOSE(CONTROL!$C$38, 0.0342, 0)</f>
        <v>29.508799999999997</v>
      </c>
      <c r="E300" s="17">
        <f>29.4746 * CHOOSE(CONTROL!$C$15, $E$9, 100%, $G$9) + CHOOSE(CONTROL!$C$38, 0.0342, 0)</f>
        <v>29.508799999999997</v>
      </c>
      <c r="F300" s="45">
        <f>31.2972 * CHOOSE(CONTROL!$C$15, $E$9, 100%, $G$9) + CHOOSE(CONTROL!$C$38, 0.034, 0)</f>
        <v>31.331199999999999</v>
      </c>
      <c r="G300" s="17">
        <f>29.4808 * CHOOSE(CONTROL!$C$15, $E$9, 100%, $G$9) + CHOOSE(CONTROL!$C$38, 0.0342, 0)</f>
        <v>29.514999999999997</v>
      </c>
      <c r="H300" s="17">
        <f>29.4808 * CHOOSE(CONTROL!$C$15, $E$9, 100%, $G$9) + CHOOSE(CONTROL!$C$38, 0.0342, 0)</f>
        <v>29.514999999999997</v>
      </c>
      <c r="I300" s="17">
        <f>29.4824 * CHOOSE(CONTROL!$C$15, $E$9, 100%, $G$9) + CHOOSE(CONTROL!$C$38, 0.0342, 0)</f>
        <v>29.516599999999997</v>
      </c>
      <c r="J300" s="44">
        <f>183.1187</f>
        <v>183.11869999999999</v>
      </c>
    </row>
    <row r="301" spans="1:10" ht="15" x14ac:dyDescent="0.2">
      <c r="A301" s="15">
        <v>50072</v>
      </c>
      <c r="B301" s="17">
        <f>31.6415 * CHOOSE(CONTROL!$C$15, $E$9, 100%, $G$9) + CHOOSE(CONTROL!$C$38, 0.034, 0)</f>
        <v>31.6755</v>
      </c>
      <c r="C301" s="17">
        <f>29.8267 * CHOOSE(CONTROL!$C$15, $E$9, 100%, $G$9) + CHOOSE(CONTROL!$C$38, 0.0342, 0)</f>
        <v>29.860899999999997</v>
      </c>
      <c r="D301" s="17">
        <f>29.8189 * CHOOSE(CONTROL!$C$15, $E$9, 100%, $G$9) + CHOOSE(CONTROL!$C$38, 0.0342, 0)</f>
        <v>29.853099999999998</v>
      </c>
      <c r="E301" s="17">
        <f>29.8189 * CHOOSE(CONTROL!$C$15, $E$9, 100%, $G$9) + CHOOSE(CONTROL!$C$38, 0.0342, 0)</f>
        <v>29.853099999999998</v>
      </c>
      <c r="F301" s="45">
        <f>31.6415 * CHOOSE(CONTROL!$C$15, $E$9, 100%, $G$9) + CHOOSE(CONTROL!$C$38, 0.034, 0)</f>
        <v>31.6755</v>
      </c>
      <c r="G301" s="17">
        <f>29.8252 * CHOOSE(CONTROL!$C$15, $E$9, 100%, $G$9) + CHOOSE(CONTROL!$C$38, 0.0342, 0)</f>
        <v>29.859399999999997</v>
      </c>
      <c r="H301" s="17">
        <f>29.8252 * CHOOSE(CONTROL!$C$15, $E$9, 100%, $G$9) + CHOOSE(CONTROL!$C$38, 0.0342, 0)</f>
        <v>29.859399999999997</v>
      </c>
      <c r="I301" s="17">
        <f>29.8267 * CHOOSE(CONTROL!$C$15, $E$9, 100%, $G$9) + CHOOSE(CONTROL!$C$38, 0.0342, 0)</f>
        <v>29.860899999999997</v>
      </c>
      <c r="J301" s="44">
        <f>182.6097</f>
        <v>182.6097</v>
      </c>
    </row>
    <row r="302" spans="1:10" ht="15" x14ac:dyDescent="0.2">
      <c r="A302" s="15">
        <v>50100</v>
      </c>
      <c r="B302" s="17">
        <f>30.8445 * CHOOSE(CONTROL!$C$15, $E$9, 100%, $G$9) + CHOOSE(CONTROL!$C$38, 0.034, 0)</f>
        <v>30.878499999999999</v>
      </c>
      <c r="C302" s="17">
        <f>29.0297 * CHOOSE(CONTROL!$C$15, $E$9, 100%, $G$9) + CHOOSE(CONTROL!$C$38, 0.0342, 0)</f>
        <v>29.063899999999997</v>
      </c>
      <c r="D302" s="17">
        <f>29.0219 * CHOOSE(CONTROL!$C$15, $E$9, 100%, $G$9) + CHOOSE(CONTROL!$C$38, 0.0342, 0)</f>
        <v>29.056099999999997</v>
      </c>
      <c r="E302" s="17">
        <f>29.0219 * CHOOSE(CONTROL!$C$15, $E$9, 100%, $G$9) + CHOOSE(CONTROL!$C$38, 0.0342, 0)</f>
        <v>29.056099999999997</v>
      </c>
      <c r="F302" s="45">
        <f>30.8445 * CHOOSE(CONTROL!$C$15, $E$9, 100%, $G$9) + CHOOSE(CONTROL!$C$38, 0.034, 0)</f>
        <v>30.878499999999999</v>
      </c>
      <c r="G302" s="17">
        <f>29.0281 * CHOOSE(CONTROL!$C$15, $E$9, 100%, $G$9) + CHOOSE(CONTROL!$C$38, 0.0342, 0)</f>
        <v>29.062299999999997</v>
      </c>
      <c r="H302" s="17">
        <f>29.0281 * CHOOSE(CONTROL!$C$15, $E$9, 100%, $G$9) + CHOOSE(CONTROL!$C$38, 0.0342, 0)</f>
        <v>29.062299999999997</v>
      </c>
      <c r="I302" s="17">
        <f>29.0297 * CHOOSE(CONTROL!$C$15, $E$9, 100%, $G$9) + CHOOSE(CONTROL!$C$38, 0.0342, 0)</f>
        <v>29.063899999999997</v>
      </c>
      <c r="J302" s="44">
        <f>192.2343</f>
        <v>192.23429999999999</v>
      </c>
    </row>
    <row r="303" spans="1:10" ht="15" x14ac:dyDescent="0.2">
      <c r="A303" s="15">
        <v>50131</v>
      </c>
      <c r="B303" s="17">
        <f>30.0722 * CHOOSE(CONTROL!$C$15, $E$9, 100%, $G$9) + CHOOSE(CONTROL!$C$38, 0.034, 0)</f>
        <v>30.106199999999998</v>
      </c>
      <c r="C303" s="17">
        <f>28.2574 * CHOOSE(CONTROL!$C$15, $E$9, 100%, $G$9) + CHOOSE(CONTROL!$C$38, 0.0342, 0)</f>
        <v>28.291599999999999</v>
      </c>
      <c r="D303" s="17">
        <f>28.2496 * CHOOSE(CONTROL!$C$15, $E$9, 100%, $G$9) + CHOOSE(CONTROL!$C$38, 0.0342, 0)</f>
        <v>28.283799999999999</v>
      </c>
      <c r="E303" s="17">
        <f>28.2496 * CHOOSE(CONTROL!$C$15, $E$9, 100%, $G$9) + CHOOSE(CONTROL!$C$38, 0.0342, 0)</f>
        <v>28.283799999999999</v>
      </c>
      <c r="F303" s="45">
        <f>30.0722 * CHOOSE(CONTROL!$C$15, $E$9, 100%, $G$9) + CHOOSE(CONTROL!$C$38, 0.034, 0)</f>
        <v>30.106199999999998</v>
      </c>
      <c r="G303" s="17">
        <f>28.2558 * CHOOSE(CONTROL!$C$15, $E$9, 100%, $G$9) + CHOOSE(CONTROL!$C$38, 0.0342, 0)</f>
        <v>28.29</v>
      </c>
      <c r="H303" s="17">
        <f>28.2558 * CHOOSE(CONTROL!$C$15, $E$9, 100%, $G$9) + CHOOSE(CONTROL!$C$38, 0.0342, 0)</f>
        <v>28.29</v>
      </c>
      <c r="I303" s="17">
        <f>28.2574 * CHOOSE(CONTROL!$C$15, $E$9, 100%, $G$9) + CHOOSE(CONTROL!$C$38, 0.0342, 0)</f>
        <v>28.291599999999999</v>
      </c>
      <c r="J303" s="44">
        <f>204.7151</f>
        <v>204.71510000000001</v>
      </c>
    </row>
    <row r="304" spans="1:10" ht="15" x14ac:dyDescent="0.2">
      <c r="A304" s="15">
        <v>50161</v>
      </c>
      <c r="B304" s="17">
        <f>29.2672 * CHOOSE(CONTROL!$C$15, $E$9, 100%, $G$9) + CHOOSE(CONTROL!$C$38, 0.0353, 0)</f>
        <v>29.302499999999998</v>
      </c>
      <c r="C304" s="17">
        <f>27.4524 * CHOOSE(CONTROL!$C$15, $E$9, 100%, $G$9) + CHOOSE(CONTROL!$C$38, 0.0354, 0)</f>
        <v>27.4878</v>
      </c>
      <c r="D304" s="17">
        <f>27.4446 * CHOOSE(CONTROL!$C$15, $E$9, 100%, $G$9) + CHOOSE(CONTROL!$C$38, 0.0354, 0)</f>
        <v>27.48</v>
      </c>
      <c r="E304" s="17">
        <f>27.4446 * CHOOSE(CONTROL!$C$15, $E$9, 100%, $G$9) + CHOOSE(CONTROL!$C$38, 0.0354, 0)</f>
        <v>27.48</v>
      </c>
      <c r="F304" s="45">
        <f>29.2672 * CHOOSE(CONTROL!$C$15, $E$9, 100%, $G$9) + CHOOSE(CONTROL!$C$38, 0.0353, 0)</f>
        <v>29.302499999999998</v>
      </c>
      <c r="G304" s="17">
        <f>27.4508 * CHOOSE(CONTROL!$C$15, $E$9, 100%, $G$9) + CHOOSE(CONTROL!$C$38, 0.0354, 0)</f>
        <v>27.4862</v>
      </c>
      <c r="H304" s="17">
        <f>27.4508 * CHOOSE(CONTROL!$C$15, $E$9, 100%, $G$9) + CHOOSE(CONTROL!$C$38, 0.0354, 0)</f>
        <v>27.4862</v>
      </c>
      <c r="I304" s="17">
        <f>27.4524 * CHOOSE(CONTROL!$C$15, $E$9, 100%, $G$9) + CHOOSE(CONTROL!$C$38, 0.0354, 0)</f>
        <v>27.4878</v>
      </c>
      <c r="J304" s="44">
        <f>211.5849</f>
        <v>211.5849</v>
      </c>
    </row>
    <row r="305" spans="1:10" ht="15" x14ac:dyDescent="0.2">
      <c r="A305" s="15">
        <v>50192</v>
      </c>
      <c r="B305" s="17">
        <f>28.7029 * CHOOSE(CONTROL!$C$15, $E$9, 100%, $G$9) + CHOOSE(CONTROL!$C$38, 0.0353, 0)</f>
        <v>28.738199999999999</v>
      </c>
      <c r="C305" s="17">
        <f>26.8881 * CHOOSE(CONTROL!$C$15, $E$9, 100%, $G$9) + CHOOSE(CONTROL!$C$38, 0.0354, 0)</f>
        <v>26.923500000000001</v>
      </c>
      <c r="D305" s="17">
        <f>26.8803 * CHOOSE(CONTROL!$C$15, $E$9, 100%, $G$9) + CHOOSE(CONTROL!$C$38, 0.0354, 0)</f>
        <v>26.915699999999998</v>
      </c>
      <c r="E305" s="17">
        <f>26.8803 * CHOOSE(CONTROL!$C$15, $E$9, 100%, $G$9) + CHOOSE(CONTROL!$C$38, 0.0354, 0)</f>
        <v>26.915699999999998</v>
      </c>
      <c r="F305" s="45">
        <f>28.7029 * CHOOSE(CONTROL!$C$15, $E$9, 100%, $G$9) + CHOOSE(CONTROL!$C$38, 0.0353, 0)</f>
        <v>28.738199999999999</v>
      </c>
      <c r="G305" s="17">
        <f>26.8865 * CHOOSE(CONTROL!$C$15, $E$9, 100%, $G$9) + CHOOSE(CONTROL!$C$38, 0.0354, 0)</f>
        <v>26.921900000000001</v>
      </c>
      <c r="H305" s="17">
        <f>26.8865 * CHOOSE(CONTROL!$C$15, $E$9, 100%, $G$9) + CHOOSE(CONTROL!$C$38, 0.0354, 0)</f>
        <v>26.921900000000001</v>
      </c>
      <c r="I305" s="17">
        <f>26.8881 * CHOOSE(CONTROL!$C$15, $E$9, 100%, $G$9) + CHOOSE(CONTROL!$C$38, 0.0354, 0)</f>
        <v>26.923500000000001</v>
      </c>
      <c r="J305" s="44">
        <f>214.6336</f>
        <v>214.6336</v>
      </c>
    </row>
    <row r="306" spans="1:10" ht="15" x14ac:dyDescent="0.2">
      <c r="A306" s="15">
        <v>50222</v>
      </c>
      <c r="B306" s="17">
        <f>28.3808 * CHOOSE(CONTROL!$C$15, $E$9, 100%, $G$9) + CHOOSE(CONTROL!$C$38, 0.0353, 0)</f>
        <v>28.4161</v>
      </c>
      <c r="C306" s="17">
        <f>26.566 * CHOOSE(CONTROL!$C$15, $E$9, 100%, $G$9) + CHOOSE(CONTROL!$C$38, 0.0354, 0)</f>
        <v>26.601399999999998</v>
      </c>
      <c r="D306" s="17">
        <f>26.5582 * CHOOSE(CONTROL!$C$15, $E$9, 100%, $G$9) + CHOOSE(CONTROL!$C$38, 0.0354, 0)</f>
        <v>26.593599999999999</v>
      </c>
      <c r="E306" s="17">
        <f>26.5582 * CHOOSE(CONTROL!$C$15, $E$9, 100%, $G$9) + CHOOSE(CONTROL!$C$38, 0.0354, 0)</f>
        <v>26.593599999999999</v>
      </c>
      <c r="F306" s="45">
        <f>28.3808 * CHOOSE(CONTROL!$C$15, $E$9, 100%, $G$9) + CHOOSE(CONTROL!$C$38, 0.0353, 0)</f>
        <v>28.4161</v>
      </c>
      <c r="G306" s="17">
        <f>26.5645 * CHOOSE(CONTROL!$C$15, $E$9, 100%, $G$9) + CHOOSE(CONTROL!$C$38, 0.0354, 0)</f>
        <v>26.599899999999998</v>
      </c>
      <c r="H306" s="17">
        <f>26.5645 * CHOOSE(CONTROL!$C$15, $E$9, 100%, $G$9) + CHOOSE(CONTROL!$C$38, 0.0354, 0)</f>
        <v>26.599899999999998</v>
      </c>
      <c r="I306" s="17">
        <f>26.566 * CHOOSE(CONTROL!$C$15, $E$9, 100%, $G$9) + CHOOSE(CONTROL!$C$38, 0.0354, 0)</f>
        <v>26.601399999999998</v>
      </c>
      <c r="J306" s="44">
        <f>213.6299</f>
        <v>213.62989999999999</v>
      </c>
    </row>
    <row r="307" spans="1:10" ht="15" x14ac:dyDescent="0.2">
      <c r="A307" s="15">
        <v>50253</v>
      </c>
      <c r="B307" s="17">
        <f>28.5397 * CHOOSE(CONTROL!$C$15, $E$9, 100%, $G$9) + CHOOSE(CONTROL!$C$38, 0.0353, 0)</f>
        <v>28.574999999999999</v>
      </c>
      <c r="C307" s="17">
        <f>26.725 * CHOOSE(CONTROL!$C$15, $E$9, 100%, $G$9) + CHOOSE(CONTROL!$C$38, 0.0354, 0)</f>
        <v>26.760400000000001</v>
      </c>
      <c r="D307" s="17">
        <f>26.7172 * CHOOSE(CONTROL!$C$15, $E$9, 100%, $G$9) + CHOOSE(CONTROL!$C$38, 0.0354, 0)</f>
        <v>26.752599999999997</v>
      </c>
      <c r="E307" s="17">
        <f>26.7172 * CHOOSE(CONTROL!$C$15, $E$9, 100%, $G$9) + CHOOSE(CONTROL!$C$38, 0.0354, 0)</f>
        <v>26.752599999999997</v>
      </c>
      <c r="F307" s="45">
        <f>28.5397 * CHOOSE(CONTROL!$C$15, $E$9, 100%, $G$9) + CHOOSE(CONTROL!$C$38, 0.0353, 0)</f>
        <v>28.574999999999999</v>
      </c>
      <c r="G307" s="17">
        <f>26.7234 * CHOOSE(CONTROL!$C$15, $E$9, 100%, $G$9) + CHOOSE(CONTROL!$C$38, 0.0354, 0)</f>
        <v>26.758800000000001</v>
      </c>
      <c r="H307" s="17">
        <f>26.7234 * CHOOSE(CONTROL!$C$15, $E$9, 100%, $G$9) + CHOOSE(CONTROL!$C$38, 0.0354, 0)</f>
        <v>26.758800000000001</v>
      </c>
      <c r="I307" s="17">
        <f>26.725 * CHOOSE(CONTROL!$C$15, $E$9, 100%, $G$9) + CHOOSE(CONTROL!$C$38, 0.0354, 0)</f>
        <v>26.760400000000001</v>
      </c>
      <c r="J307" s="44">
        <f>208.6567</f>
        <v>208.6567</v>
      </c>
    </row>
    <row r="308" spans="1:10" ht="15" x14ac:dyDescent="0.2">
      <c r="A308" s="15">
        <v>50284</v>
      </c>
      <c r="B308" s="17">
        <f>28.9715 * CHOOSE(CONTROL!$C$15, $E$9, 100%, $G$9) + CHOOSE(CONTROL!$C$38, 0.0353, 0)</f>
        <v>29.006799999999998</v>
      </c>
      <c r="C308" s="17">
        <f>27.1567 * CHOOSE(CONTROL!$C$15, $E$9, 100%, $G$9) + CHOOSE(CONTROL!$C$38, 0.0354, 0)</f>
        <v>27.1921</v>
      </c>
      <c r="D308" s="17">
        <f>27.1489 * CHOOSE(CONTROL!$C$15, $E$9, 100%, $G$9) + CHOOSE(CONTROL!$C$38, 0.0354, 0)</f>
        <v>27.1843</v>
      </c>
      <c r="E308" s="17">
        <f>27.1489 * CHOOSE(CONTROL!$C$15, $E$9, 100%, $G$9) + CHOOSE(CONTROL!$C$38, 0.0354, 0)</f>
        <v>27.1843</v>
      </c>
      <c r="F308" s="45">
        <f>28.9715 * CHOOSE(CONTROL!$C$15, $E$9, 100%, $G$9) + CHOOSE(CONTROL!$C$38, 0.0353, 0)</f>
        <v>29.006799999999998</v>
      </c>
      <c r="G308" s="17">
        <f>27.1551 * CHOOSE(CONTROL!$C$15, $E$9, 100%, $G$9) + CHOOSE(CONTROL!$C$38, 0.0354, 0)</f>
        <v>27.1905</v>
      </c>
      <c r="H308" s="17">
        <f>27.1551 * CHOOSE(CONTROL!$C$15, $E$9, 100%, $G$9) + CHOOSE(CONTROL!$C$38, 0.0354, 0)</f>
        <v>27.1905</v>
      </c>
      <c r="I308" s="17">
        <f>27.1567 * CHOOSE(CONTROL!$C$15, $E$9, 100%, $G$9) + CHOOSE(CONTROL!$C$38, 0.0354, 0)</f>
        <v>27.1921</v>
      </c>
      <c r="J308" s="44">
        <f>201.7213</f>
        <v>201.72130000000001</v>
      </c>
    </row>
    <row r="309" spans="1:10" ht="15" x14ac:dyDescent="0.2">
      <c r="A309" s="15">
        <v>50314</v>
      </c>
      <c r="B309" s="17">
        <f>29.333 * CHOOSE(CONTROL!$C$15, $E$9, 100%, $G$9) + CHOOSE(CONTROL!$C$38, 0.034, 0)</f>
        <v>29.366999999999997</v>
      </c>
      <c r="C309" s="17">
        <f>27.5182 * CHOOSE(CONTROL!$C$15, $E$9, 100%, $G$9) + CHOOSE(CONTROL!$C$38, 0.0342, 0)</f>
        <v>27.552399999999999</v>
      </c>
      <c r="D309" s="17">
        <f>27.5104 * CHOOSE(CONTROL!$C$15, $E$9, 100%, $G$9) + CHOOSE(CONTROL!$C$38, 0.0342, 0)</f>
        <v>27.544599999999999</v>
      </c>
      <c r="E309" s="17">
        <f>27.5104 * CHOOSE(CONTROL!$C$15, $E$9, 100%, $G$9) + CHOOSE(CONTROL!$C$38, 0.0342, 0)</f>
        <v>27.544599999999999</v>
      </c>
      <c r="F309" s="45">
        <f>29.333 * CHOOSE(CONTROL!$C$15, $E$9, 100%, $G$9) + CHOOSE(CONTROL!$C$38, 0.034, 0)</f>
        <v>29.366999999999997</v>
      </c>
      <c r="G309" s="17">
        <f>27.5167 * CHOOSE(CONTROL!$C$15, $E$9, 100%, $G$9) + CHOOSE(CONTROL!$C$38, 0.0342, 0)</f>
        <v>27.550899999999999</v>
      </c>
      <c r="H309" s="17">
        <f>27.5167 * CHOOSE(CONTROL!$C$15, $E$9, 100%, $G$9) + CHOOSE(CONTROL!$C$38, 0.0342, 0)</f>
        <v>27.550899999999999</v>
      </c>
      <c r="I309" s="17">
        <f>27.5182 * CHOOSE(CONTROL!$C$15, $E$9, 100%, $G$9) + CHOOSE(CONTROL!$C$38, 0.0342, 0)</f>
        <v>27.552399999999999</v>
      </c>
      <c r="J309" s="44">
        <f>194.7455</f>
        <v>194.74549999999999</v>
      </c>
    </row>
    <row r="310" spans="1:10" ht="15" x14ac:dyDescent="0.2">
      <c r="A310" s="15">
        <v>50345</v>
      </c>
      <c r="B310" s="17">
        <f>29.6347 * CHOOSE(CONTROL!$C$15, $E$9, 100%, $G$9) + CHOOSE(CONTROL!$C$38, 0.034, 0)</f>
        <v>29.668699999999998</v>
      </c>
      <c r="C310" s="17">
        <f>27.8199 * CHOOSE(CONTROL!$C$15, $E$9, 100%, $G$9) + CHOOSE(CONTROL!$C$38, 0.0342, 0)</f>
        <v>27.854099999999999</v>
      </c>
      <c r="D310" s="17">
        <f>27.8121 * CHOOSE(CONTROL!$C$15, $E$9, 100%, $G$9) + CHOOSE(CONTROL!$C$38, 0.0342, 0)</f>
        <v>27.846299999999999</v>
      </c>
      <c r="E310" s="17">
        <f>27.8121 * CHOOSE(CONTROL!$C$15, $E$9, 100%, $G$9) + CHOOSE(CONTROL!$C$38, 0.0342, 0)</f>
        <v>27.846299999999999</v>
      </c>
      <c r="F310" s="45">
        <f>29.6347 * CHOOSE(CONTROL!$C$15, $E$9, 100%, $G$9) + CHOOSE(CONTROL!$C$38, 0.034, 0)</f>
        <v>29.668699999999998</v>
      </c>
      <c r="G310" s="17">
        <f>27.8184 * CHOOSE(CONTROL!$C$15, $E$9, 100%, $G$9) + CHOOSE(CONTROL!$C$38, 0.0342, 0)</f>
        <v>27.852599999999999</v>
      </c>
      <c r="H310" s="17">
        <f>27.8184 * CHOOSE(CONTROL!$C$15, $E$9, 100%, $G$9) + CHOOSE(CONTROL!$C$38, 0.0342, 0)</f>
        <v>27.852599999999999</v>
      </c>
      <c r="I310" s="17">
        <f>27.8199 * CHOOSE(CONTROL!$C$15, $E$9, 100%, $G$9) + CHOOSE(CONTROL!$C$38, 0.0342, 0)</f>
        <v>27.854099999999999</v>
      </c>
      <c r="J310" s="44">
        <f>193.3579</f>
        <v>193.3579</v>
      </c>
    </row>
    <row r="311" spans="1:10" ht="15" x14ac:dyDescent="0.2">
      <c r="A311" s="15">
        <v>50375</v>
      </c>
      <c r="B311" s="17">
        <f>30.5644 * CHOOSE(CONTROL!$C$15, $E$9, 100%, $G$9) + CHOOSE(CONTROL!$C$38, 0.034, 0)</f>
        <v>30.598399999999998</v>
      </c>
      <c r="C311" s="17">
        <f>28.7496 * CHOOSE(CONTROL!$C$15, $E$9, 100%, $G$9) + CHOOSE(CONTROL!$C$38, 0.0342, 0)</f>
        <v>28.783799999999999</v>
      </c>
      <c r="D311" s="17">
        <f>28.7418 * CHOOSE(CONTROL!$C$15, $E$9, 100%, $G$9) + CHOOSE(CONTROL!$C$38, 0.0342, 0)</f>
        <v>28.776</v>
      </c>
      <c r="E311" s="17">
        <f>28.7418 * CHOOSE(CONTROL!$C$15, $E$9, 100%, $G$9) + CHOOSE(CONTROL!$C$38, 0.0342, 0)</f>
        <v>28.776</v>
      </c>
      <c r="F311" s="45">
        <f>30.5644 * CHOOSE(CONTROL!$C$15, $E$9, 100%, $G$9) + CHOOSE(CONTROL!$C$38, 0.034, 0)</f>
        <v>30.598399999999998</v>
      </c>
      <c r="G311" s="17">
        <f>28.748 * CHOOSE(CONTROL!$C$15, $E$9, 100%, $G$9) + CHOOSE(CONTROL!$C$38, 0.0342, 0)</f>
        <v>28.7822</v>
      </c>
      <c r="H311" s="17">
        <f>28.748 * CHOOSE(CONTROL!$C$15, $E$9, 100%, $G$9) + CHOOSE(CONTROL!$C$38, 0.0342, 0)</f>
        <v>28.7822</v>
      </c>
      <c r="I311" s="17">
        <f>28.7496 * CHOOSE(CONTROL!$C$15, $E$9, 100%, $G$9) + CHOOSE(CONTROL!$C$38, 0.0342, 0)</f>
        <v>28.783799999999999</v>
      </c>
      <c r="J311" s="44">
        <f>187.62</f>
        <v>187.62</v>
      </c>
    </row>
    <row r="312" spans="1:10" ht="15.75" x14ac:dyDescent="0.25">
      <c r="A312" s="14">
        <v>50436</v>
      </c>
      <c r="B312" s="17">
        <f>31.787 * CHOOSE(CONTROL!$C$15, $E$9, 100%, $G$9) + CHOOSE(CONTROL!$C$38, 0.034, 0)</f>
        <v>31.820999999999998</v>
      </c>
      <c r="C312" s="17">
        <f>29.9443 * CHOOSE(CONTROL!$C$15, $E$9, 100%, $G$9) + CHOOSE(CONTROL!$C$38, 0.0342, 0)</f>
        <v>29.978499999999997</v>
      </c>
      <c r="D312" s="17">
        <f>29.9365 * CHOOSE(CONTROL!$C$15, $E$9, 100%, $G$9) + CHOOSE(CONTROL!$C$38, 0.0342, 0)</f>
        <v>29.970699999999997</v>
      </c>
      <c r="E312" s="17">
        <f>29.9365 * CHOOSE(CONTROL!$C$15, $E$9, 100%, $G$9) + CHOOSE(CONTROL!$C$38, 0.0342, 0)</f>
        <v>29.970699999999997</v>
      </c>
      <c r="F312" s="45">
        <f>31.787 * CHOOSE(CONTROL!$C$15, $E$9, 100%, $G$9) + CHOOSE(CONTROL!$C$38, 0.034, 0)</f>
        <v>31.820999999999998</v>
      </c>
      <c r="G312" s="17">
        <f>29.9428 * CHOOSE(CONTROL!$C$15, $E$9, 100%, $G$9) + CHOOSE(CONTROL!$C$38, 0.0342, 0)</f>
        <v>29.976999999999997</v>
      </c>
      <c r="H312" s="17">
        <f>29.9428 * CHOOSE(CONTROL!$C$15, $E$9, 100%, $G$9) + CHOOSE(CONTROL!$C$38, 0.0342, 0)</f>
        <v>29.976999999999997</v>
      </c>
      <c r="I312" s="17">
        <f>29.9443 * CHOOSE(CONTROL!$C$15, $E$9, 100%, $G$9) + CHOOSE(CONTROL!$C$38, 0.0342, 0)</f>
        <v>29.978499999999997</v>
      </c>
      <c r="J312" s="44">
        <f>187.4846</f>
        <v>187.4846</v>
      </c>
    </row>
    <row r="313" spans="1:10" ht="15.75" x14ac:dyDescent="0.25">
      <c r="A313" s="14">
        <v>50464</v>
      </c>
      <c r="B313" s="17">
        <f>32.1313 * CHOOSE(CONTROL!$C$15, $E$9, 100%, $G$9) + CHOOSE(CONTROL!$C$38, 0.034, 0)</f>
        <v>32.165300000000002</v>
      </c>
      <c r="C313" s="17">
        <f>30.2886 * CHOOSE(CONTROL!$C$15, $E$9, 100%, $G$9) + CHOOSE(CONTROL!$C$38, 0.0342, 0)</f>
        <v>30.322799999999997</v>
      </c>
      <c r="D313" s="17">
        <f>30.2808 * CHOOSE(CONTROL!$C$15, $E$9, 100%, $G$9) + CHOOSE(CONTROL!$C$38, 0.0342, 0)</f>
        <v>30.314999999999998</v>
      </c>
      <c r="E313" s="17">
        <f>30.2808 * CHOOSE(CONTROL!$C$15, $E$9, 100%, $G$9) + CHOOSE(CONTROL!$C$38, 0.0342, 0)</f>
        <v>30.314999999999998</v>
      </c>
      <c r="F313" s="45">
        <f>32.1313 * CHOOSE(CONTROL!$C$15, $E$9, 100%, $G$9) + CHOOSE(CONTROL!$C$38, 0.034, 0)</f>
        <v>32.165300000000002</v>
      </c>
      <c r="G313" s="17">
        <f>30.2871 * CHOOSE(CONTROL!$C$15, $E$9, 100%, $G$9) + CHOOSE(CONTROL!$C$38, 0.0342, 0)</f>
        <v>30.321299999999997</v>
      </c>
      <c r="H313" s="17">
        <f>30.2871 * CHOOSE(CONTROL!$C$15, $E$9, 100%, $G$9) + CHOOSE(CONTROL!$C$38, 0.0342, 0)</f>
        <v>30.321299999999997</v>
      </c>
      <c r="I313" s="17">
        <f>30.2886 * CHOOSE(CONTROL!$C$15, $E$9, 100%, $G$9) + CHOOSE(CONTROL!$C$38, 0.0342, 0)</f>
        <v>30.322799999999997</v>
      </c>
      <c r="J313" s="44">
        <f>186.9634</f>
        <v>186.96340000000001</v>
      </c>
    </row>
    <row r="314" spans="1:10" ht="15.75" x14ac:dyDescent="0.25">
      <c r="A314" s="14">
        <v>50495</v>
      </c>
      <c r="B314" s="17">
        <f>31.3342 * CHOOSE(CONTROL!$C$15, $E$9, 100%, $G$9) + CHOOSE(CONTROL!$C$38, 0.034, 0)</f>
        <v>31.368199999999998</v>
      </c>
      <c r="C314" s="17">
        <f>29.4916 * CHOOSE(CONTROL!$C$15, $E$9, 100%, $G$9) + CHOOSE(CONTROL!$C$38, 0.0342, 0)</f>
        <v>29.525799999999997</v>
      </c>
      <c r="D314" s="17">
        <f>29.4838 * CHOOSE(CONTROL!$C$15, $E$9, 100%, $G$9) + CHOOSE(CONTROL!$C$38, 0.0342, 0)</f>
        <v>29.517999999999997</v>
      </c>
      <c r="E314" s="17">
        <f>29.4838 * CHOOSE(CONTROL!$C$15, $E$9, 100%, $G$9) + CHOOSE(CONTROL!$C$38, 0.0342, 0)</f>
        <v>29.517999999999997</v>
      </c>
      <c r="F314" s="45">
        <f>31.3342 * CHOOSE(CONTROL!$C$15, $E$9, 100%, $G$9) + CHOOSE(CONTROL!$C$38, 0.034, 0)</f>
        <v>31.368199999999998</v>
      </c>
      <c r="G314" s="17">
        <f>29.49 * CHOOSE(CONTROL!$C$15, $E$9, 100%, $G$9) + CHOOSE(CONTROL!$C$38, 0.0342, 0)</f>
        <v>29.524199999999997</v>
      </c>
      <c r="H314" s="17">
        <f>29.49 * CHOOSE(CONTROL!$C$15, $E$9, 100%, $G$9) + CHOOSE(CONTROL!$C$38, 0.0342, 0)</f>
        <v>29.524199999999997</v>
      </c>
      <c r="I314" s="17">
        <f>29.4916 * CHOOSE(CONTROL!$C$15, $E$9, 100%, $G$9) + CHOOSE(CONTROL!$C$38, 0.0342, 0)</f>
        <v>29.525799999999997</v>
      </c>
      <c r="J314" s="44">
        <f>196.8175</f>
        <v>196.8175</v>
      </c>
    </row>
    <row r="315" spans="1:10" ht="15.75" x14ac:dyDescent="0.25">
      <c r="A315" s="14">
        <v>50525</v>
      </c>
      <c r="B315" s="17">
        <f>30.5619 * CHOOSE(CONTROL!$C$15, $E$9, 100%, $G$9) + CHOOSE(CONTROL!$C$38, 0.034, 0)</f>
        <v>30.5959</v>
      </c>
      <c r="C315" s="17">
        <f>28.7193 * CHOOSE(CONTROL!$C$15, $E$9, 100%, $G$9) + CHOOSE(CONTROL!$C$38, 0.0342, 0)</f>
        <v>28.753499999999999</v>
      </c>
      <c r="D315" s="17">
        <f>28.7115 * CHOOSE(CONTROL!$C$15, $E$9, 100%, $G$9) + CHOOSE(CONTROL!$C$38, 0.0342, 0)</f>
        <v>28.745699999999999</v>
      </c>
      <c r="E315" s="17">
        <f>28.7115 * CHOOSE(CONTROL!$C$15, $E$9, 100%, $G$9) + CHOOSE(CONTROL!$C$38, 0.0342, 0)</f>
        <v>28.745699999999999</v>
      </c>
      <c r="F315" s="45">
        <f>30.5619 * CHOOSE(CONTROL!$C$15, $E$9, 100%, $G$9) + CHOOSE(CONTROL!$C$38, 0.034, 0)</f>
        <v>30.5959</v>
      </c>
      <c r="G315" s="17">
        <f>28.7177 * CHOOSE(CONTROL!$C$15, $E$9, 100%, $G$9) + CHOOSE(CONTROL!$C$38, 0.0342, 0)</f>
        <v>28.751899999999999</v>
      </c>
      <c r="H315" s="17">
        <f>28.7177 * CHOOSE(CONTROL!$C$15, $E$9, 100%, $G$9) + CHOOSE(CONTROL!$C$38, 0.0342, 0)</f>
        <v>28.751899999999999</v>
      </c>
      <c r="I315" s="17">
        <f>28.7193 * CHOOSE(CONTROL!$C$15, $E$9, 100%, $G$9) + CHOOSE(CONTROL!$C$38, 0.0342, 0)</f>
        <v>28.753499999999999</v>
      </c>
      <c r="J315" s="44">
        <f>209.5958</f>
        <v>209.5958</v>
      </c>
    </row>
    <row r="316" spans="1:10" ht="15.75" x14ac:dyDescent="0.25">
      <c r="A316" s="14">
        <v>50556</v>
      </c>
      <c r="B316" s="17">
        <f>29.757 * CHOOSE(CONTROL!$C$15, $E$9, 100%, $G$9) + CHOOSE(CONTROL!$C$38, 0.0353, 0)</f>
        <v>29.792300000000001</v>
      </c>
      <c r="C316" s="17">
        <f>27.9143 * CHOOSE(CONTROL!$C$15, $E$9, 100%, $G$9) + CHOOSE(CONTROL!$C$38, 0.0354, 0)</f>
        <v>27.9497</v>
      </c>
      <c r="D316" s="17">
        <f>27.9065 * CHOOSE(CONTROL!$C$15, $E$9, 100%, $G$9) + CHOOSE(CONTROL!$C$38, 0.0354, 0)</f>
        <v>27.9419</v>
      </c>
      <c r="E316" s="17">
        <f>27.9065 * CHOOSE(CONTROL!$C$15, $E$9, 100%, $G$9) + CHOOSE(CONTROL!$C$38, 0.0354, 0)</f>
        <v>27.9419</v>
      </c>
      <c r="F316" s="45">
        <f>29.757 * CHOOSE(CONTROL!$C$15, $E$9, 100%, $G$9) + CHOOSE(CONTROL!$C$38, 0.0353, 0)</f>
        <v>29.792300000000001</v>
      </c>
      <c r="G316" s="17">
        <f>27.9128 * CHOOSE(CONTROL!$C$15, $E$9, 100%, $G$9) + CHOOSE(CONTROL!$C$38, 0.0354, 0)</f>
        <v>27.9482</v>
      </c>
      <c r="H316" s="17">
        <f>27.9128 * CHOOSE(CONTROL!$C$15, $E$9, 100%, $G$9) + CHOOSE(CONTROL!$C$38, 0.0354, 0)</f>
        <v>27.9482</v>
      </c>
      <c r="I316" s="17">
        <f>27.9143 * CHOOSE(CONTROL!$C$15, $E$9, 100%, $G$9) + CHOOSE(CONTROL!$C$38, 0.0354, 0)</f>
        <v>27.9497</v>
      </c>
      <c r="J316" s="44">
        <f>216.6294</f>
        <v>216.6294</v>
      </c>
    </row>
    <row r="317" spans="1:10" ht="15.75" x14ac:dyDescent="0.25">
      <c r="A317" s="14">
        <v>50586</v>
      </c>
      <c r="B317" s="17">
        <f>29.1926 * CHOOSE(CONTROL!$C$15, $E$9, 100%, $G$9) + CHOOSE(CONTROL!$C$38, 0.0353, 0)</f>
        <v>29.227899999999998</v>
      </c>
      <c r="C317" s="17">
        <f>27.35 * CHOOSE(CONTROL!$C$15, $E$9, 100%, $G$9) + CHOOSE(CONTROL!$C$38, 0.0354, 0)</f>
        <v>27.385400000000001</v>
      </c>
      <c r="D317" s="17">
        <f>27.3422 * CHOOSE(CONTROL!$C$15, $E$9, 100%, $G$9) + CHOOSE(CONTROL!$C$38, 0.0354, 0)</f>
        <v>27.377599999999997</v>
      </c>
      <c r="E317" s="17">
        <f>27.3422 * CHOOSE(CONTROL!$C$15, $E$9, 100%, $G$9) + CHOOSE(CONTROL!$C$38, 0.0354, 0)</f>
        <v>27.377599999999997</v>
      </c>
      <c r="F317" s="45">
        <f>29.1926 * CHOOSE(CONTROL!$C$15, $E$9, 100%, $G$9) + CHOOSE(CONTROL!$C$38, 0.0353, 0)</f>
        <v>29.227899999999998</v>
      </c>
      <c r="G317" s="17">
        <f>27.3484 * CHOOSE(CONTROL!$C$15, $E$9, 100%, $G$9) + CHOOSE(CONTROL!$C$38, 0.0354, 0)</f>
        <v>27.383800000000001</v>
      </c>
      <c r="H317" s="17">
        <f>27.3484 * CHOOSE(CONTROL!$C$15, $E$9, 100%, $G$9) + CHOOSE(CONTROL!$C$38, 0.0354, 0)</f>
        <v>27.383800000000001</v>
      </c>
      <c r="I317" s="17">
        <f>27.35 * CHOOSE(CONTROL!$C$15, $E$9, 100%, $G$9) + CHOOSE(CONTROL!$C$38, 0.0354, 0)</f>
        <v>27.385400000000001</v>
      </c>
      <c r="J317" s="44">
        <f>219.7508</f>
        <v>219.7508</v>
      </c>
    </row>
    <row r="318" spans="1:10" ht="15.75" x14ac:dyDescent="0.25">
      <c r="A318" s="14">
        <v>50617</v>
      </c>
      <c r="B318" s="17">
        <f>28.8706 * CHOOSE(CONTROL!$C$15, $E$9, 100%, $G$9) + CHOOSE(CONTROL!$C$38, 0.0353, 0)</f>
        <v>28.905899999999999</v>
      </c>
      <c r="C318" s="17">
        <f>27.0279 * CHOOSE(CONTROL!$C$15, $E$9, 100%, $G$9) + CHOOSE(CONTROL!$C$38, 0.0354, 0)</f>
        <v>27.063299999999998</v>
      </c>
      <c r="D318" s="17">
        <f>27.0201 * CHOOSE(CONTROL!$C$15, $E$9, 100%, $G$9) + CHOOSE(CONTROL!$C$38, 0.0354, 0)</f>
        <v>27.055499999999999</v>
      </c>
      <c r="E318" s="17">
        <f>27.0201 * CHOOSE(CONTROL!$C$15, $E$9, 100%, $G$9) + CHOOSE(CONTROL!$C$38, 0.0354, 0)</f>
        <v>27.055499999999999</v>
      </c>
      <c r="F318" s="45">
        <f>28.8706 * CHOOSE(CONTROL!$C$15, $E$9, 100%, $G$9) + CHOOSE(CONTROL!$C$38, 0.0353, 0)</f>
        <v>28.905899999999999</v>
      </c>
      <c r="G318" s="17">
        <f>27.0264 * CHOOSE(CONTROL!$C$15, $E$9, 100%, $G$9) + CHOOSE(CONTROL!$C$38, 0.0354, 0)</f>
        <v>27.061799999999998</v>
      </c>
      <c r="H318" s="17">
        <f>27.0264 * CHOOSE(CONTROL!$C$15, $E$9, 100%, $G$9) + CHOOSE(CONTROL!$C$38, 0.0354, 0)</f>
        <v>27.061799999999998</v>
      </c>
      <c r="I318" s="17">
        <f>27.0279 * CHOOSE(CONTROL!$C$15, $E$9, 100%, $G$9) + CHOOSE(CONTROL!$C$38, 0.0354, 0)</f>
        <v>27.063299999999998</v>
      </c>
      <c r="J318" s="44">
        <f>218.7231</f>
        <v>218.72309999999999</v>
      </c>
    </row>
    <row r="319" spans="1:10" ht="15.75" x14ac:dyDescent="0.25">
      <c r="A319" s="14">
        <v>50648</v>
      </c>
      <c r="B319" s="17">
        <f>29.0295 * CHOOSE(CONTROL!$C$15, $E$9, 100%, $G$9) + CHOOSE(CONTROL!$C$38, 0.0353, 0)</f>
        <v>29.064799999999998</v>
      </c>
      <c r="C319" s="17">
        <f>27.1869 * CHOOSE(CONTROL!$C$15, $E$9, 100%, $G$9) + CHOOSE(CONTROL!$C$38, 0.0354, 0)</f>
        <v>27.222300000000001</v>
      </c>
      <c r="D319" s="17">
        <f>27.1791 * CHOOSE(CONTROL!$C$15, $E$9, 100%, $G$9) + CHOOSE(CONTROL!$C$38, 0.0354, 0)</f>
        <v>27.214499999999997</v>
      </c>
      <c r="E319" s="17">
        <f>27.1791 * CHOOSE(CONTROL!$C$15, $E$9, 100%, $G$9) + CHOOSE(CONTROL!$C$38, 0.0354, 0)</f>
        <v>27.214499999999997</v>
      </c>
      <c r="F319" s="45">
        <f>29.0295 * CHOOSE(CONTROL!$C$15, $E$9, 100%, $G$9) + CHOOSE(CONTROL!$C$38, 0.0353, 0)</f>
        <v>29.064799999999998</v>
      </c>
      <c r="G319" s="17">
        <f>27.1853 * CHOOSE(CONTROL!$C$15, $E$9, 100%, $G$9) + CHOOSE(CONTROL!$C$38, 0.0354, 0)</f>
        <v>27.220700000000001</v>
      </c>
      <c r="H319" s="17">
        <f>27.1853 * CHOOSE(CONTROL!$C$15, $E$9, 100%, $G$9) + CHOOSE(CONTROL!$C$38, 0.0354, 0)</f>
        <v>27.220700000000001</v>
      </c>
      <c r="I319" s="17">
        <f>27.1869 * CHOOSE(CONTROL!$C$15, $E$9, 100%, $G$9) + CHOOSE(CONTROL!$C$38, 0.0354, 0)</f>
        <v>27.222300000000001</v>
      </c>
      <c r="J319" s="44">
        <f>213.6313</f>
        <v>213.63130000000001</v>
      </c>
    </row>
    <row r="320" spans="1:10" ht="15.75" x14ac:dyDescent="0.25">
      <c r="A320" s="14">
        <v>50678</v>
      </c>
      <c r="B320" s="17">
        <f>29.4612 * CHOOSE(CONTROL!$C$15, $E$9, 100%, $G$9) + CHOOSE(CONTROL!$C$38, 0.0353, 0)</f>
        <v>29.496500000000001</v>
      </c>
      <c r="C320" s="17">
        <f>27.6186 * CHOOSE(CONTROL!$C$15, $E$9, 100%, $G$9) + CHOOSE(CONTROL!$C$38, 0.0354, 0)</f>
        <v>27.654</v>
      </c>
      <c r="D320" s="17">
        <f>27.6108 * CHOOSE(CONTROL!$C$15, $E$9, 100%, $G$9) + CHOOSE(CONTROL!$C$38, 0.0354, 0)</f>
        <v>27.6462</v>
      </c>
      <c r="E320" s="17">
        <f>27.6108 * CHOOSE(CONTROL!$C$15, $E$9, 100%, $G$9) + CHOOSE(CONTROL!$C$38, 0.0354, 0)</f>
        <v>27.6462</v>
      </c>
      <c r="F320" s="45">
        <f>29.4612 * CHOOSE(CONTROL!$C$15, $E$9, 100%, $G$9) + CHOOSE(CONTROL!$C$38, 0.0353, 0)</f>
        <v>29.496500000000001</v>
      </c>
      <c r="G320" s="17">
        <f>27.617 * CHOOSE(CONTROL!$C$15, $E$9, 100%, $G$9) + CHOOSE(CONTROL!$C$38, 0.0354, 0)</f>
        <v>27.6524</v>
      </c>
      <c r="H320" s="17">
        <f>27.617 * CHOOSE(CONTROL!$C$15, $E$9, 100%, $G$9) + CHOOSE(CONTROL!$C$38, 0.0354, 0)</f>
        <v>27.6524</v>
      </c>
      <c r="I320" s="17">
        <f>27.6186 * CHOOSE(CONTROL!$C$15, $E$9, 100%, $G$9) + CHOOSE(CONTROL!$C$38, 0.0354, 0)</f>
        <v>27.654</v>
      </c>
      <c r="J320" s="44">
        <f>206.5306</f>
        <v>206.53059999999999</v>
      </c>
    </row>
    <row r="321" spans="1:10" ht="15.75" x14ac:dyDescent="0.25">
      <c r="A321" s="14">
        <v>50709</v>
      </c>
      <c r="B321" s="17">
        <f>29.8228 * CHOOSE(CONTROL!$C$15, $E$9, 100%, $G$9) + CHOOSE(CONTROL!$C$38, 0.034, 0)</f>
        <v>29.8568</v>
      </c>
      <c r="C321" s="17">
        <f>27.9801 * CHOOSE(CONTROL!$C$15, $E$9, 100%, $G$9) + CHOOSE(CONTROL!$C$38, 0.0342, 0)</f>
        <v>28.014299999999999</v>
      </c>
      <c r="D321" s="17">
        <f>27.9723 * CHOOSE(CONTROL!$C$15, $E$9, 100%, $G$9) + CHOOSE(CONTROL!$C$38, 0.0342, 0)</f>
        <v>28.006499999999999</v>
      </c>
      <c r="E321" s="17">
        <f>27.9723 * CHOOSE(CONTROL!$C$15, $E$9, 100%, $G$9) + CHOOSE(CONTROL!$C$38, 0.0342, 0)</f>
        <v>28.006499999999999</v>
      </c>
      <c r="F321" s="45">
        <f>29.8228 * CHOOSE(CONTROL!$C$15, $E$9, 100%, $G$9) + CHOOSE(CONTROL!$C$38, 0.034, 0)</f>
        <v>29.8568</v>
      </c>
      <c r="G321" s="17">
        <f>27.9786 * CHOOSE(CONTROL!$C$15, $E$9, 100%, $G$9) + CHOOSE(CONTROL!$C$38, 0.0342, 0)</f>
        <v>28.012799999999999</v>
      </c>
      <c r="H321" s="17">
        <f>27.9786 * CHOOSE(CONTROL!$C$15, $E$9, 100%, $G$9) + CHOOSE(CONTROL!$C$38, 0.0342, 0)</f>
        <v>28.012799999999999</v>
      </c>
      <c r="I321" s="17">
        <f>27.9801 * CHOOSE(CONTROL!$C$15, $E$9, 100%, $G$9) + CHOOSE(CONTROL!$C$38, 0.0342, 0)</f>
        <v>28.014299999999999</v>
      </c>
      <c r="J321" s="44">
        <f>199.3886</f>
        <v>199.3886</v>
      </c>
    </row>
    <row r="322" spans="1:10" ht="15.75" x14ac:dyDescent="0.25">
      <c r="A322" s="14">
        <v>50739</v>
      </c>
      <c r="B322" s="17">
        <f>30.1245 * CHOOSE(CONTROL!$C$15, $E$9, 100%, $G$9) + CHOOSE(CONTROL!$C$38, 0.034, 0)</f>
        <v>30.1585</v>
      </c>
      <c r="C322" s="17">
        <f>28.2819 * CHOOSE(CONTROL!$C$15, $E$9, 100%, $G$9) + CHOOSE(CONTROL!$C$38, 0.0342, 0)</f>
        <v>28.316099999999999</v>
      </c>
      <c r="D322" s="17">
        <f>28.274 * CHOOSE(CONTROL!$C$15, $E$9, 100%, $G$9) + CHOOSE(CONTROL!$C$38, 0.0342, 0)</f>
        <v>28.308199999999999</v>
      </c>
      <c r="E322" s="17">
        <f>28.274 * CHOOSE(CONTROL!$C$15, $E$9, 100%, $G$9) + CHOOSE(CONTROL!$C$38, 0.0342, 0)</f>
        <v>28.308199999999999</v>
      </c>
      <c r="F322" s="45">
        <f>30.1245 * CHOOSE(CONTROL!$C$15, $E$9, 100%, $G$9) + CHOOSE(CONTROL!$C$38, 0.034, 0)</f>
        <v>30.1585</v>
      </c>
      <c r="G322" s="17">
        <f>28.2803 * CHOOSE(CONTROL!$C$15, $E$9, 100%, $G$9) + CHOOSE(CONTROL!$C$38, 0.0342, 0)</f>
        <v>28.314499999999999</v>
      </c>
      <c r="H322" s="17">
        <f>28.2803 * CHOOSE(CONTROL!$C$15, $E$9, 100%, $G$9) + CHOOSE(CONTROL!$C$38, 0.0342, 0)</f>
        <v>28.314499999999999</v>
      </c>
      <c r="I322" s="17">
        <f>28.2819 * CHOOSE(CONTROL!$C$15, $E$9, 100%, $G$9) + CHOOSE(CONTROL!$C$38, 0.0342, 0)</f>
        <v>28.316099999999999</v>
      </c>
      <c r="J322" s="44">
        <f>197.9679</f>
        <v>197.96789999999999</v>
      </c>
    </row>
    <row r="323" spans="1:10" ht="15.75" x14ac:dyDescent="0.25">
      <c r="A323" s="14">
        <v>50770</v>
      </c>
      <c r="B323" s="17">
        <f>31.0542 * CHOOSE(CONTROL!$C$15, $E$9, 100%, $G$9) + CHOOSE(CONTROL!$C$38, 0.034, 0)</f>
        <v>31.088200000000001</v>
      </c>
      <c r="C323" s="17">
        <f>29.2115 * CHOOSE(CONTROL!$C$15, $E$9, 100%, $G$9) + CHOOSE(CONTROL!$C$38, 0.0342, 0)</f>
        <v>29.245699999999999</v>
      </c>
      <c r="D323" s="17">
        <f>29.2037 * CHOOSE(CONTROL!$C$15, $E$9, 100%, $G$9) + CHOOSE(CONTROL!$C$38, 0.0342, 0)</f>
        <v>29.2379</v>
      </c>
      <c r="E323" s="17">
        <f>29.2037 * CHOOSE(CONTROL!$C$15, $E$9, 100%, $G$9) + CHOOSE(CONTROL!$C$38, 0.0342, 0)</f>
        <v>29.2379</v>
      </c>
      <c r="F323" s="45">
        <f>31.0542 * CHOOSE(CONTROL!$C$15, $E$9, 100%, $G$9) + CHOOSE(CONTROL!$C$38, 0.034, 0)</f>
        <v>31.088200000000001</v>
      </c>
      <c r="G323" s="17">
        <f>29.21 * CHOOSE(CONTROL!$C$15, $E$9, 100%, $G$9) + CHOOSE(CONTROL!$C$38, 0.0342, 0)</f>
        <v>29.244199999999999</v>
      </c>
      <c r="H323" s="17">
        <f>29.21 * CHOOSE(CONTROL!$C$15, $E$9, 100%, $G$9) + CHOOSE(CONTROL!$C$38, 0.0342, 0)</f>
        <v>29.244199999999999</v>
      </c>
      <c r="I323" s="17">
        <f>29.2115 * CHOOSE(CONTROL!$C$15, $E$9, 100%, $G$9) + CHOOSE(CONTROL!$C$38, 0.0342, 0)</f>
        <v>29.245699999999999</v>
      </c>
      <c r="J323" s="44">
        <f>192.0932</f>
        <v>192.0932</v>
      </c>
    </row>
    <row r="324" spans="1:10" ht="15.75" x14ac:dyDescent="0.25">
      <c r="A324" s="14">
        <v>50801</v>
      </c>
      <c r="B324" s="17">
        <f>32.285 * CHOOSE(CONTROL!$C$15, $E$9, 100%, $G$9) + CHOOSE(CONTROL!$C$38, 0.034, 0)</f>
        <v>32.318999999999996</v>
      </c>
      <c r="C324" s="17">
        <f>30.414 * CHOOSE(CONTROL!$C$15, $E$9, 100%, $G$9) + CHOOSE(CONTROL!$C$38, 0.0342, 0)</f>
        <v>30.4482</v>
      </c>
      <c r="D324" s="17">
        <f>30.4062 * CHOOSE(CONTROL!$C$15, $E$9, 100%, $G$9) + CHOOSE(CONTROL!$C$38, 0.0342, 0)</f>
        <v>30.440399999999997</v>
      </c>
      <c r="E324" s="17">
        <f>30.4062 * CHOOSE(CONTROL!$C$15, $E$9, 100%, $G$9) + CHOOSE(CONTROL!$C$38, 0.0342, 0)</f>
        <v>30.440399999999997</v>
      </c>
      <c r="F324" s="45">
        <f>32.285 * CHOOSE(CONTROL!$C$15, $E$9, 100%, $G$9) + CHOOSE(CONTROL!$C$38, 0.034, 0)</f>
        <v>32.318999999999996</v>
      </c>
      <c r="G324" s="17">
        <f>30.4124 * CHOOSE(CONTROL!$C$15, $E$9, 100%, $G$9) + CHOOSE(CONTROL!$C$38, 0.0342, 0)</f>
        <v>30.4466</v>
      </c>
      <c r="H324" s="17">
        <f>30.4124 * CHOOSE(CONTROL!$C$15, $E$9, 100%, $G$9) + CHOOSE(CONTROL!$C$38, 0.0342, 0)</f>
        <v>30.4466</v>
      </c>
      <c r="I324" s="17">
        <f>30.414 * CHOOSE(CONTROL!$C$15, $E$9, 100%, $G$9) + CHOOSE(CONTROL!$C$38, 0.0342, 0)</f>
        <v>30.4482</v>
      </c>
      <c r="J324" s="44">
        <f>191.9545</f>
        <v>191.9545</v>
      </c>
    </row>
    <row r="325" spans="1:10" ht="15.75" x14ac:dyDescent="0.25">
      <c r="A325" s="14">
        <v>50829</v>
      </c>
      <c r="B325" s="17">
        <f>32.6293 * CHOOSE(CONTROL!$C$15, $E$9, 100%, $G$9) + CHOOSE(CONTROL!$C$38, 0.034, 0)</f>
        <v>32.6633</v>
      </c>
      <c r="C325" s="17">
        <f>30.7583 * CHOOSE(CONTROL!$C$15, $E$9, 100%, $G$9) + CHOOSE(CONTROL!$C$38, 0.0342, 0)</f>
        <v>30.792499999999997</v>
      </c>
      <c r="D325" s="17">
        <f>30.7505 * CHOOSE(CONTROL!$C$15, $E$9, 100%, $G$9) + CHOOSE(CONTROL!$C$38, 0.0342, 0)</f>
        <v>30.784699999999997</v>
      </c>
      <c r="E325" s="17">
        <f>30.7505 * CHOOSE(CONTROL!$C$15, $E$9, 100%, $G$9) + CHOOSE(CONTROL!$C$38, 0.0342, 0)</f>
        <v>30.784699999999997</v>
      </c>
      <c r="F325" s="45">
        <f>32.6293 * CHOOSE(CONTROL!$C$15, $E$9, 100%, $G$9) + CHOOSE(CONTROL!$C$38, 0.034, 0)</f>
        <v>32.6633</v>
      </c>
      <c r="G325" s="17">
        <f>30.7567 * CHOOSE(CONTROL!$C$15, $E$9, 100%, $G$9) + CHOOSE(CONTROL!$C$38, 0.0342, 0)</f>
        <v>30.790899999999997</v>
      </c>
      <c r="H325" s="17">
        <f>30.7567 * CHOOSE(CONTROL!$C$15, $E$9, 100%, $G$9) + CHOOSE(CONTROL!$C$38, 0.0342, 0)</f>
        <v>30.790899999999997</v>
      </c>
      <c r="I325" s="17">
        <f>30.7583 * CHOOSE(CONTROL!$C$15, $E$9, 100%, $G$9) + CHOOSE(CONTROL!$C$38, 0.0342, 0)</f>
        <v>30.792499999999997</v>
      </c>
      <c r="J325" s="44">
        <f>191.4209</f>
        <v>191.42089999999999</v>
      </c>
    </row>
    <row r="326" spans="1:10" ht="15.75" x14ac:dyDescent="0.25">
      <c r="A326" s="14">
        <v>50860</v>
      </c>
      <c r="B326" s="17">
        <f>31.8322 * CHOOSE(CONTROL!$C$15, $E$9, 100%, $G$9) + CHOOSE(CONTROL!$C$38, 0.034, 0)</f>
        <v>31.866199999999999</v>
      </c>
      <c r="C326" s="17">
        <f>29.9613 * CHOOSE(CONTROL!$C$15, $E$9, 100%, $G$9) + CHOOSE(CONTROL!$C$38, 0.0342, 0)</f>
        <v>29.9955</v>
      </c>
      <c r="D326" s="17">
        <f>29.9535 * CHOOSE(CONTROL!$C$15, $E$9, 100%, $G$9) + CHOOSE(CONTROL!$C$38, 0.0342, 0)</f>
        <v>29.987699999999997</v>
      </c>
      <c r="E326" s="17">
        <f>29.9535 * CHOOSE(CONTROL!$C$15, $E$9, 100%, $G$9) + CHOOSE(CONTROL!$C$38, 0.0342, 0)</f>
        <v>29.987699999999997</v>
      </c>
      <c r="F326" s="45">
        <f>31.8322 * CHOOSE(CONTROL!$C$15, $E$9, 100%, $G$9) + CHOOSE(CONTROL!$C$38, 0.034, 0)</f>
        <v>31.866199999999999</v>
      </c>
      <c r="G326" s="17">
        <f>29.9597 * CHOOSE(CONTROL!$C$15, $E$9, 100%, $G$9) + CHOOSE(CONTROL!$C$38, 0.0342, 0)</f>
        <v>29.9939</v>
      </c>
      <c r="H326" s="17">
        <f>29.9597 * CHOOSE(CONTROL!$C$15, $E$9, 100%, $G$9) + CHOOSE(CONTROL!$C$38, 0.0342, 0)</f>
        <v>29.9939</v>
      </c>
      <c r="I326" s="17">
        <f>29.9613 * CHOOSE(CONTROL!$C$15, $E$9, 100%, $G$9) + CHOOSE(CONTROL!$C$38, 0.0342, 0)</f>
        <v>29.9955</v>
      </c>
      <c r="J326" s="44">
        <f>201.5099</f>
        <v>201.50989999999999</v>
      </c>
    </row>
    <row r="327" spans="1:10" ht="15.75" x14ac:dyDescent="0.25">
      <c r="A327" s="14">
        <v>50890</v>
      </c>
      <c r="B327" s="17">
        <f>31.0599 * CHOOSE(CONTROL!$C$15, $E$9, 100%, $G$9) + CHOOSE(CONTROL!$C$38, 0.034, 0)</f>
        <v>31.093899999999998</v>
      </c>
      <c r="C327" s="17">
        <f>29.189 * CHOOSE(CONTROL!$C$15, $E$9, 100%, $G$9) + CHOOSE(CONTROL!$C$38, 0.0342, 0)</f>
        <v>29.223199999999999</v>
      </c>
      <c r="D327" s="17">
        <f>29.1811 * CHOOSE(CONTROL!$C$15, $E$9, 100%, $G$9) + CHOOSE(CONTROL!$C$38, 0.0342, 0)</f>
        <v>29.215299999999999</v>
      </c>
      <c r="E327" s="17">
        <f>29.1811 * CHOOSE(CONTROL!$C$15, $E$9, 100%, $G$9) + CHOOSE(CONTROL!$C$38, 0.0342, 0)</f>
        <v>29.215299999999999</v>
      </c>
      <c r="F327" s="45">
        <f>31.0599 * CHOOSE(CONTROL!$C$15, $E$9, 100%, $G$9) + CHOOSE(CONTROL!$C$38, 0.034, 0)</f>
        <v>31.093899999999998</v>
      </c>
      <c r="G327" s="17">
        <f>29.1874 * CHOOSE(CONTROL!$C$15, $E$9, 100%, $G$9) + CHOOSE(CONTROL!$C$38, 0.0342, 0)</f>
        <v>29.221599999999999</v>
      </c>
      <c r="H327" s="17">
        <f>29.1874 * CHOOSE(CONTROL!$C$15, $E$9, 100%, $G$9) + CHOOSE(CONTROL!$C$38, 0.0342, 0)</f>
        <v>29.221599999999999</v>
      </c>
      <c r="I327" s="17">
        <f>29.189 * CHOOSE(CONTROL!$C$15, $E$9, 100%, $G$9) + CHOOSE(CONTROL!$C$38, 0.0342, 0)</f>
        <v>29.223199999999999</v>
      </c>
      <c r="J327" s="44">
        <f>214.5929</f>
        <v>214.59289999999999</v>
      </c>
    </row>
    <row r="328" spans="1:10" ht="15.75" x14ac:dyDescent="0.25">
      <c r="A328" s="14">
        <v>50921</v>
      </c>
      <c r="B328" s="17">
        <f>30.255 * CHOOSE(CONTROL!$C$15, $E$9, 100%, $G$9) + CHOOSE(CONTROL!$C$38, 0.0353, 0)</f>
        <v>30.290299999999998</v>
      </c>
      <c r="C328" s="17">
        <f>28.384 * CHOOSE(CONTROL!$C$15, $E$9, 100%, $G$9) + CHOOSE(CONTROL!$C$38, 0.0354, 0)</f>
        <v>28.4194</v>
      </c>
      <c r="D328" s="17">
        <f>28.3762 * CHOOSE(CONTROL!$C$15, $E$9, 100%, $G$9) + CHOOSE(CONTROL!$C$38, 0.0354, 0)</f>
        <v>28.4116</v>
      </c>
      <c r="E328" s="17">
        <f>28.3762 * CHOOSE(CONTROL!$C$15, $E$9, 100%, $G$9) + CHOOSE(CONTROL!$C$38, 0.0354, 0)</f>
        <v>28.4116</v>
      </c>
      <c r="F328" s="45">
        <f>30.255 * CHOOSE(CONTROL!$C$15, $E$9, 100%, $G$9) + CHOOSE(CONTROL!$C$38, 0.0353, 0)</f>
        <v>30.290299999999998</v>
      </c>
      <c r="G328" s="17">
        <f>28.3824 * CHOOSE(CONTROL!$C$15, $E$9, 100%, $G$9) + CHOOSE(CONTROL!$C$38, 0.0354, 0)</f>
        <v>28.4178</v>
      </c>
      <c r="H328" s="17">
        <f>28.3824 * CHOOSE(CONTROL!$C$15, $E$9, 100%, $G$9) + CHOOSE(CONTROL!$C$38, 0.0354, 0)</f>
        <v>28.4178</v>
      </c>
      <c r="I328" s="17">
        <f>28.384 * CHOOSE(CONTROL!$C$15, $E$9, 100%, $G$9) + CHOOSE(CONTROL!$C$38, 0.0354, 0)</f>
        <v>28.4194</v>
      </c>
      <c r="J328" s="44">
        <f>221.7942</f>
        <v>221.79419999999999</v>
      </c>
    </row>
    <row r="329" spans="1:10" ht="15.75" x14ac:dyDescent="0.25">
      <c r="A329" s="14">
        <v>50951</v>
      </c>
      <c r="B329" s="17">
        <f>29.6906 * CHOOSE(CONTROL!$C$15, $E$9, 100%, $G$9) + CHOOSE(CONTROL!$C$38, 0.0353, 0)</f>
        <v>29.725899999999999</v>
      </c>
      <c r="C329" s="17">
        <f>27.8197 * CHOOSE(CONTROL!$C$15, $E$9, 100%, $G$9) + CHOOSE(CONTROL!$C$38, 0.0354, 0)</f>
        <v>27.8551</v>
      </c>
      <c r="D329" s="17">
        <f>27.8118 * CHOOSE(CONTROL!$C$15, $E$9, 100%, $G$9) + CHOOSE(CONTROL!$C$38, 0.0354, 0)</f>
        <v>27.847200000000001</v>
      </c>
      <c r="E329" s="17">
        <f>27.8118 * CHOOSE(CONTROL!$C$15, $E$9, 100%, $G$9) + CHOOSE(CONTROL!$C$38, 0.0354, 0)</f>
        <v>27.847200000000001</v>
      </c>
      <c r="F329" s="45">
        <f>29.6906 * CHOOSE(CONTROL!$C$15, $E$9, 100%, $G$9) + CHOOSE(CONTROL!$C$38, 0.0353, 0)</f>
        <v>29.725899999999999</v>
      </c>
      <c r="G329" s="17">
        <f>27.8181 * CHOOSE(CONTROL!$C$15, $E$9, 100%, $G$9) + CHOOSE(CONTROL!$C$38, 0.0354, 0)</f>
        <v>27.8535</v>
      </c>
      <c r="H329" s="17">
        <f>27.8181 * CHOOSE(CONTROL!$C$15, $E$9, 100%, $G$9) + CHOOSE(CONTROL!$C$38, 0.0354, 0)</f>
        <v>27.8535</v>
      </c>
      <c r="I329" s="17">
        <f>27.8197 * CHOOSE(CONTROL!$C$15, $E$9, 100%, $G$9) + CHOOSE(CONTROL!$C$38, 0.0354, 0)</f>
        <v>27.8551</v>
      </c>
      <c r="J329" s="44">
        <f>224.99</f>
        <v>224.99</v>
      </c>
    </row>
    <row r="330" spans="1:10" ht="15.75" x14ac:dyDescent="0.25">
      <c r="A330" s="14">
        <v>50982</v>
      </c>
      <c r="B330" s="17">
        <f>29.3686 * CHOOSE(CONTROL!$C$15, $E$9, 100%, $G$9) + CHOOSE(CONTROL!$C$38, 0.0353, 0)</f>
        <v>29.4039</v>
      </c>
      <c r="C330" s="17">
        <f>27.4976 * CHOOSE(CONTROL!$C$15, $E$9, 100%, $G$9) + CHOOSE(CONTROL!$C$38, 0.0354, 0)</f>
        <v>27.532999999999998</v>
      </c>
      <c r="D330" s="17">
        <f>27.4898 * CHOOSE(CONTROL!$C$15, $E$9, 100%, $G$9) + CHOOSE(CONTROL!$C$38, 0.0354, 0)</f>
        <v>27.525199999999998</v>
      </c>
      <c r="E330" s="17">
        <f>27.4898 * CHOOSE(CONTROL!$C$15, $E$9, 100%, $G$9) + CHOOSE(CONTROL!$C$38, 0.0354, 0)</f>
        <v>27.525199999999998</v>
      </c>
      <c r="F330" s="45">
        <f>29.3686 * CHOOSE(CONTROL!$C$15, $E$9, 100%, $G$9) + CHOOSE(CONTROL!$C$38, 0.0353, 0)</f>
        <v>29.4039</v>
      </c>
      <c r="G330" s="17">
        <f>27.496 * CHOOSE(CONTROL!$C$15, $E$9, 100%, $G$9) + CHOOSE(CONTROL!$C$38, 0.0354, 0)</f>
        <v>27.531399999999998</v>
      </c>
      <c r="H330" s="17">
        <f>27.496 * CHOOSE(CONTROL!$C$15, $E$9, 100%, $G$9) + CHOOSE(CONTROL!$C$38, 0.0354, 0)</f>
        <v>27.531399999999998</v>
      </c>
      <c r="I330" s="17">
        <f>27.4976 * CHOOSE(CONTROL!$C$15, $E$9, 100%, $G$9) + CHOOSE(CONTROL!$C$38, 0.0354, 0)</f>
        <v>27.532999999999998</v>
      </c>
      <c r="J330" s="44">
        <f>223.9378</f>
        <v>223.93780000000001</v>
      </c>
    </row>
    <row r="331" spans="1:10" ht="15.75" x14ac:dyDescent="0.25">
      <c r="A331" s="14">
        <v>51013</v>
      </c>
      <c r="B331" s="17">
        <f>29.5275 * CHOOSE(CONTROL!$C$15, $E$9, 100%, $G$9) + CHOOSE(CONTROL!$C$38, 0.0353, 0)</f>
        <v>29.562799999999999</v>
      </c>
      <c r="C331" s="17">
        <f>27.6565 * CHOOSE(CONTROL!$C$15, $E$9, 100%, $G$9) + CHOOSE(CONTROL!$C$38, 0.0354, 0)</f>
        <v>27.6919</v>
      </c>
      <c r="D331" s="17">
        <f>27.6487 * CHOOSE(CONTROL!$C$15, $E$9, 100%, $G$9) + CHOOSE(CONTROL!$C$38, 0.0354, 0)</f>
        <v>27.684100000000001</v>
      </c>
      <c r="E331" s="17">
        <f>27.6487 * CHOOSE(CONTROL!$C$15, $E$9, 100%, $G$9) + CHOOSE(CONTROL!$C$38, 0.0354, 0)</f>
        <v>27.684100000000001</v>
      </c>
      <c r="F331" s="45">
        <f>29.5275 * CHOOSE(CONTROL!$C$15, $E$9, 100%, $G$9) + CHOOSE(CONTROL!$C$38, 0.0353, 0)</f>
        <v>29.562799999999999</v>
      </c>
      <c r="G331" s="17">
        <f>27.655 * CHOOSE(CONTROL!$C$15, $E$9, 100%, $G$9) + CHOOSE(CONTROL!$C$38, 0.0354, 0)</f>
        <v>27.6904</v>
      </c>
      <c r="H331" s="17">
        <f>27.655 * CHOOSE(CONTROL!$C$15, $E$9, 100%, $G$9) + CHOOSE(CONTROL!$C$38, 0.0354, 0)</f>
        <v>27.6904</v>
      </c>
      <c r="I331" s="17">
        <f>27.6565 * CHOOSE(CONTROL!$C$15, $E$9, 100%, $G$9) + CHOOSE(CONTROL!$C$38, 0.0354, 0)</f>
        <v>27.6919</v>
      </c>
      <c r="J331" s="44">
        <f>218.7246</f>
        <v>218.72460000000001</v>
      </c>
    </row>
    <row r="332" spans="1:10" ht="15.75" x14ac:dyDescent="0.25">
      <c r="A332" s="14">
        <v>51043</v>
      </c>
      <c r="B332" s="17">
        <f>29.9592 * CHOOSE(CONTROL!$C$15, $E$9, 100%, $G$9) + CHOOSE(CONTROL!$C$38, 0.0353, 0)</f>
        <v>29.994499999999999</v>
      </c>
      <c r="C332" s="17">
        <f>28.0883 * CHOOSE(CONTROL!$C$15, $E$9, 100%, $G$9) + CHOOSE(CONTROL!$C$38, 0.0354, 0)</f>
        <v>28.123699999999999</v>
      </c>
      <c r="D332" s="17">
        <f>28.0804 * CHOOSE(CONTROL!$C$15, $E$9, 100%, $G$9) + CHOOSE(CONTROL!$C$38, 0.0354, 0)</f>
        <v>28.1158</v>
      </c>
      <c r="E332" s="17">
        <f>28.0804 * CHOOSE(CONTROL!$C$15, $E$9, 100%, $G$9) + CHOOSE(CONTROL!$C$38, 0.0354, 0)</f>
        <v>28.1158</v>
      </c>
      <c r="F332" s="45">
        <f>29.9592 * CHOOSE(CONTROL!$C$15, $E$9, 100%, $G$9) + CHOOSE(CONTROL!$C$38, 0.0353, 0)</f>
        <v>29.994499999999999</v>
      </c>
      <c r="G332" s="17">
        <f>28.0867 * CHOOSE(CONTROL!$C$15, $E$9, 100%, $G$9) + CHOOSE(CONTROL!$C$38, 0.0354, 0)</f>
        <v>28.1221</v>
      </c>
      <c r="H332" s="17">
        <f>28.0867 * CHOOSE(CONTROL!$C$15, $E$9, 100%, $G$9) + CHOOSE(CONTROL!$C$38, 0.0354, 0)</f>
        <v>28.1221</v>
      </c>
      <c r="I332" s="17">
        <f>28.0883 * CHOOSE(CONTROL!$C$15, $E$9, 100%, $G$9) + CHOOSE(CONTROL!$C$38, 0.0354, 0)</f>
        <v>28.123699999999999</v>
      </c>
      <c r="J332" s="44">
        <f>211.4546</f>
        <v>211.4546</v>
      </c>
    </row>
    <row r="333" spans="1:10" ht="15.75" x14ac:dyDescent="0.25">
      <c r="A333" s="14">
        <v>51074</v>
      </c>
      <c r="B333" s="17">
        <f>30.3208 * CHOOSE(CONTROL!$C$15, $E$9, 100%, $G$9) + CHOOSE(CONTROL!$C$38, 0.034, 0)</f>
        <v>30.354799999999997</v>
      </c>
      <c r="C333" s="17">
        <f>28.4498 * CHOOSE(CONTROL!$C$15, $E$9, 100%, $G$9) + CHOOSE(CONTROL!$C$38, 0.0342, 0)</f>
        <v>28.483999999999998</v>
      </c>
      <c r="D333" s="17">
        <f>28.442 * CHOOSE(CONTROL!$C$15, $E$9, 100%, $G$9) + CHOOSE(CONTROL!$C$38, 0.0342, 0)</f>
        <v>28.476199999999999</v>
      </c>
      <c r="E333" s="17">
        <f>28.442 * CHOOSE(CONTROL!$C$15, $E$9, 100%, $G$9) + CHOOSE(CONTROL!$C$38, 0.0342, 0)</f>
        <v>28.476199999999999</v>
      </c>
      <c r="F333" s="45">
        <f>30.3208 * CHOOSE(CONTROL!$C$15, $E$9, 100%, $G$9) + CHOOSE(CONTROL!$C$38, 0.034, 0)</f>
        <v>30.354799999999997</v>
      </c>
      <c r="G333" s="17">
        <f>28.4483 * CHOOSE(CONTROL!$C$15, $E$9, 100%, $G$9) + CHOOSE(CONTROL!$C$38, 0.0342, 0)</f>
        <v>28.482499999999998</v>
      </c>
      <c r="H333" s="17">
        <f>28.4483 * CHOOSE(CONTROL!$C$15, $E$9, 100%, $G$9) + CHOOSE(CONTROL!$C$38, 0.0342, 0)</f>
        <v>28.482499999999998</v>
      </c>
      <c r="I333" s="17">
        <f>28.4498 * CHOOSE(CONTROL!$C$15, $E$9, 100%, $G$9) + CHOOSE(CONTROL!$C$38, 0.0342, 0)</f>
        <v>28.483999999999998</v>
      </c>
      <c r="J333" s="44">
        <f>204.1423</f>
        <v>204.14230000000001</v>
      </c>
    </row>
    <row r="334" spans="1:10" ht="15.75" x14ac:dyDescent="0.25">
      <c r="A334" s="14">
        <v>51104</v>
      </c>
      <c r="B334" s="17">
        <f>30.6225 * CHOOSE(CONTROL!$C$15, $E$9, 100%, $G$9) + CHOOSE(CONTROL!$C$38, 0.034, 0)</f>
        <v>30.656499999999998</v>
      </c>
      <c r="C334" s="17">
        <f>28.7515 * CHOOSE(CONTROL!$C$15, $E$9, 100%, $G$9) + CHOOSE(CONTROL!$C$38, 0.0342, 0)</f>
        <v>28.785699999999999</v>
      </c>
      <c r="D334" s="17">
        <f>28.7437 * CHOOSE(CONTROL!$C$15, $E$9, 100%, $G$9) + CHOOSE(CONTROL!$C$38, 0.0342, 0)</f>
        <v>28.777899999999999</v>
      </c>
      <c r="E334" s="17">
        <f>28.7437 * CHOOSE(CONTROL!$C$15, $E$9, 100%, $G$9) + CHOOSE(CONTROL!$C$38, 0.0342, 0)</f>
        <v>28.777899999999999</v>
      </c>
      <c r="F334" s="45">
        <f>30.6225 * CHOOSE(CONTROL!$C$15, $E$9, 100%, $G$9) + CHOOSE(CONTROL!$C$38, 0.034, 0)</f>
        <v>30.656499999999998</v>
      </c>
      <c r="G334" s="17">
        <f>28.75 * CHOOSE(CONTROL!$C$15, $E$9, 100%, $G$9) + CHOOSE(CONTROL!$C$38, 0.0342, 0)</f>
        <v>28.784199999999998</v>
      </c>
      <c r="H334" s="17">
        <f>28.75 * CHOOSE(CONTROL!$C$15, $E$9, 100%, $G$9) + CHOOSE(CONTROL!$C$38, 0.0342, 0)</f>
        <v>28.784199999999998</v>
      </c>
      <c r="I334" s="17">
        <f>28.7515 * CHOOSE(CONTROL!$C$15, $E$9, 100%, $G$9) + CHOOSE(CONTROL!$C$38, 0.0342, 0)</f>
        <v>28.785699999999999</v>
      </c>
      <c r="J334" s="44">
        <f>202.6877</f>
        <v>202.68770000000001</v>
      </c>
    </row>
    <row r="335" spans="1:10" ht="15.75" x14ac:dyDescent="0.25">
      <c r="A335" s="14">
        <v>51135</v>
      </c>
      <c r="B335" s="17">
        <f>31.5522 * CHOOSE(CONTROL!$C$15, $E$9, 100%, $G$9) + CHOOSE(CONTROL!$C$38, 0.034, 0)</f>
        <v>31.586199999999998</v>
      </c>
      <c r="C335" s="17">
        <f>29.6812 * CHOOSE(CONTROL!$C$15, $E$9, 100%, $G$9) + CHOOSE(CONTROL!$C$38, 0.0342, 0)</f>
        <v>29.715399999999999</v>
      </c>
      <c r="D335" s="17">
        <f>29.6734 * CHOOSE(CONTROL!$C$15, $E$9, 100%, $G$9) + CHOOSE(CONTROL!$C$38, 0.0342, 0)</f>
        <v>29.707599999999999</v>
      </c>
      <c r="E335" s="17">
        <f>29.6734 * CHOOSE(CONTROL!$C$15, $E$9, 100%, $G$9) + CHOOSE(CONTROL!$C$38, 0.0342, 0)</f>
        <v>29.707599999999999</v>
      </c>
      <c r="F335" s="45">
        <f>31.5522 * CHOOSE(CONTROL!$C$15, $E$9, 100%, $G$9) + CHOOSE(CONTROL!$C$38, 0.034, 0)</f>
        <v>31.586199999999998</v>
      </c>
      <c r="G335" s="17">
        <f>29.6796 * CHOOSE(CONTROL!$C$15, $E$9, 100%, $G$9) + CHOOSE(CONTROL!$C$38, 0.0342, 0)</f>
        <v>29.713799999999999</v>
      </c>
      <c r="H335" s="17">
        <f>29.6796 * CHOOSE(CONTROL!$C$15, $E$9, 100%, $G$9) + CHOOSE(CONTROL!$C$38, 0.0342, 0)</f>
        <v>29.713799999999999</v>
      </c>
      <c r="I335" s="17">
        <f>29.6812 * CHOOSE(CONTROL!$C$15, $E$9, 100%, $G$9) + CHOOSE(CONTROL!$C$38, 0.0342, 0)</f>
        <v>29.715399999999999</v>
      </c>
      <c r="J335" s="44">
        <f>196.6729</f>
        <v>196.6729</v>
      </c>
    </row>
    <row r="336" spans="1:10" ht="15.75" x14ac:dyDescent="0.25">
      <c r="A336" s="14">
        <v>51166</v>
      </c>
      <c r="B336" s="17">
        <f>32.7913 * CHOOSE(CONTROL!$C$15, $E$9, 100%, $G$9) + CHOOSE(CONTROL!$C$38, 0.034, 0)</f>
        <v>32.825299999999999</v>
      </c>
      <c r="C336" s="17">
        <f>30.8915 * CHOOSE(CONTROL!$C$15, $E$9, 100%, $G$9) + CHOOSE(CONTROL!$C$38, 0.0342, 0)</f>
        <v>30.925699999999999</v>
      </c>
      <c r="D336" s="17">
        <f>30.8837 * CHOOSE(CONTROL!$C$15, $E$9, 100%, $G$9) + CHOOSE(CONTROL!$C$38, 0.0342, 0)</f>
        <v>30.917899999999999</v>
      </c>
      <c r="E336" s="17">
        <f>30.8837 * CHOOSE(CONTROL!$C$15, $E$9, 100%, $G$9) + CHOOSE(CONTROL!$C$38, 0.0342, 0)</f>
        <v>30.917899999999999</v>
      </c>
      <c r="F336" s="45">
        <f>32.7913 * CHOOSE(CONTROL!$C$15, $E$9, 100%, $G$9) + CHOOSE(CONTROL!$C$38, 0.034, 0)</f>
        <v>32.825299999999999</v>
      </c>
      <c r="G336" s="17">
        <f>30.89 * CHOOSE(CONTROL!$C$15, $E$9, 100%, $G$9) + CHOOSE(CONTROL!$C$38, 0.0342, 0)</f>
        <v>30.924199999999999</v>
      </c>
      <c r="H336" s="17">
        <f>30.89 * CHOOSE(CONTROL!$C$15, $E$9, 100%, $G$9) + CHOOSE(CONTROL!$C$38, 0.0342, 0)</f>
        <v>30.924199999999999</v>
      </c>
      <c r="I336" s="17">
        <f>30.8915 * CHOOSE(CONTROL!$C$15, $E$9, 100%, $G$9) + CHOOSE(CONTROL!$C$38, 0.0342, 0)</f>
        <v>30.925699999999999</v>
      </c>
      <c r="J336" s="44">
        <f>196.531</f>
        <v>196.53100000000001</v>
      </c>
    </row>
    <row r="337" spans="1:10" ht="15.75" x14ac:dyDescent="0.25">
      <c r="A337" s="14">
        <v>51194</v>
      </c>
      <c r="B337" s="17">
        <f>33.1356 * CHOOSE(CONTROL!$C$15, $E$9, 100%, $G$9) + CHOOSE(CONTROL!$C$38, 0.034, 0)</f>
        <v>33.169599999999996</v>
      </c>
      <c r="C337" s="17">
        <f>31.2359 * CHOOSE(CONTROL!$C$15, $E$9, 100%, $G$9) + CHOOSE(CONTROL!$C$38, 0.0342, 0)</f>
        <v>31.270099999999999</v>
      </c>
      <c r="D337" s="17">
        <f>31.228 * CHOOSE(CONTROL!$C$15, $E$9, 100%, $G$9) + CHOOSE(CONTROL!$C$38, 0.0342, 0)</f>
        <v>31.2622</v>
      </c>
      <c r="E337" s="17">
        <f>31.228 * CHOOSE(CONTROL!$C$15, $E$9, 100%, $G$9) + CHOOSE(CONTROL!$C$38, 0.0342, 0)</f>
        <v>31.2622</v>
      </c>
      <c r="F337" s="45">
        <f>33.1356 * CHOOSE(CONTROL!$C$15, $E$9, 100%, $G$9) + CHOOSE(CONTROL!$C$38, 0.034, 0)</f>
        <v>33.169599999999996</v>
      </c>
      <c r="G337" s="17">
        <f>31.2343 * CHOOSE(CONTROL!$C$15, $E$9, 100%, $G$9) + CHOOSE(CONTROL!$C$38, 0.0342, 0)</f>
        <v>31.2685</v>
      </c>
      <c r="H337" s="17">
        <f>31.2343 * CHOOSE(CONTROL!$C$15, $E$9, 100%, $G$9) + CHOOSE(CONTROL!$C$38, 0.0342, 0)</f>
        <v>31.2685</v>
      </c>
      <c r="I337" s="17">
        <f>31.2359 * CHOOSE(CONTROL!$C$15, $E$9, 100%, $G$9) + CHOOSE(CONTROL!$C$38, 0.0342, 0)</f>
        <v>31.270099999999999</v>
      </c>
      <c r="J337" s="44">
        <f>195.9847</f>
        <v>195.9847</v>
      </c>
    </row>
    <row r="338" spans="1:10" ht="15.75" x14ac:dyDescent="0.25">
      <c r="A338" s="14">
        <v>51226</v>
      </c>
      <c r="B338" s="17">
        <f>32.3386 * CHOOSE(CONTROL!$C$15, $E$9, 100%, $G$9) + CHOOSE(CONTROL!$C$38, 0.034, 0)</f>
        <v>32.372599999999998</v>
      </c>
      <c r="C338" s="17">
        <f>30.4388 * CHOOSE(CONTROL!$C$15, $E$9, 100%, $G$9) + CHOOSE(CONTROL!$C$38, 0.0342, 0)</f>
        <v>30.472999999999999</v>
      </c>
      <c r="D338" s="17">
        <f>30.431 * CHOOSE(CONTROL!$C$15, $E$9, 100%, $G$9) + CHOOSE(CONTROL!$C$38, 0.0342, 0)</f>
        <v>30.465199999999999</v>
      </c>
      <c r="E338" s="17">
        <f>30.431 * CHOOSE(CONTROL!$C$15, $E$9, 100%, $G$9) + CHOOSE(CONTROL!$C$38, 0.0342, 0)</f>
        <v>30.465199999999999</v>
      </c>
      <c r="F338" s="45">
        <f>32.3386 * CHOOSE(CONTROL!$C$15, $E$9, 100%, $G$9) + CHOOSE(CONTROL!$C$38, 0.034, 0)</f>
        <v>32.372599999999998</v>
      </c>
      <c r="G338" s="17">
        <f>30.4373 * CHOOSE(CONTROL!$C$15, $E$9, 100%, $G$9) + CHOOSE(CONTROL!$C$38, 0.0342, 0)</f>
        <v>30.471499999999999</v>
      </c>
      <c r="H338" s="17">
        <f>30.4373 * CHOOSE(CONTROL!$C$15, $E$9, 100%, $G$9) + CHOOSE(CONTROL!$C$38, 0.0342, 0)</f>
        <v>30.471499999999999</v>
      </c>
      <c r="I338" s="17">
        <f>30.4388 * CHOOSE(CONTROL!$C$15, $E$9, 100%, $G$9) + CHOOSE(CONTROL!$C$38, 0.0342, 0)</f>
        <v>30.472999999999999</v>
      </c>
      <c r="J338" s="44">
        <f>206.3142</f>
        <v>206.3142</v>
      </c>
    </row>
    <row r="339" spans="1:10" ht="15.75" x14ac:dyDescent="0.25">
      <c r="A339" s="14">
        <v>51256</v>
      </c>
      <c r="B339" s="17">
        <f>31.5663 * CHOOSE(CONTROL!$C$15, $E$9, 100%, $G$9) + CHOOSE(CONTROL!$C$38, 0.034, 0)</f>
        <v>31.600299999999997</v>
      </c>
      <c r="C339" s="17">
        <f>29.6665 * CHOOSE(CONTROL!$C$15, $E$9, 100%, $G$9) + CHOOSE(CONTROL!$C$38, 0.0342, 0)</f>
        <v>29.700699999999998</v>
      </c>
      <c r="D339" s="17">
        <f>29.6587 * CHOOSE(CONTROL!$C$15, $E$9, 100%, $G$9) + CHOOSE(CONTROL!$C$38, 0.0342, 0)</f>
        <v>29.692899999999998</v>
      </c>
      <c r="E339" s="17">
        <f>29.6587 * CHOOSE(CONTROL!$C$15, $E$9, 100%, $G$9) + CHOOSE(CONTROL!$C$38, 0.0342, 0)</f>
        <v>29.692899999999998</v>
      </c>
      <c r="F339" s="45">
        <f>31.5663 * CHOOSE(CONTROL!$C$15, $E$9, 100%, $G$9) + CHOOSE(CONTROL!$C$38, 0.034, 0)</f>
        <v>31.600299999999997</v>
      </c>
      <c r="G339" s="17">
        <f>29.665 * CHOOSE(CONTROL!$C$15, $E$9, 100%, $G$9) + CHOOSE(CONTROL!$C$38, 0.0342, 0)</f>
        <v>29.699199999999998</v>
      </c>
      <c r="H339" s="17">
        <f>29.665 * CHOOSE(CONTROL!$C$15, $E$9, 100%, $G$9) + CHOOSE(CONTROL!$C$38, 0.0342, 0)</f>
        <v>29.699199999999998</v>
      </c>
      <c r="I339" s="17">
        <f>29.6665 * CHOOSE(CONTROL!$C$15, $E$9, 100%, $G$9) + CHOOSE(CONTROL!$C$38, 0.0342, 0)</f>
        <v>29.700699999999998</v>
      </c>
      <c r="J339" s="44">
        <f>219.7091</f>
        <v>219.70910000000001</v>
      </c>
    </row>
    <row r="340" spans="1:10" ht="15.75" x14ac:dyDescent="0.25">
      <c r="A340" s="14">
        <v>51287</v>
      </c>
      <c r="B340" s="17">
        <f>30.7613 * CHOOSE(CONTROL!$C$15, $E$9, 100%, $G$9) + CHOOSE(CONTROL!$C$38, 0.0353, 0)</f>
        <v>30.796599999999998</v>
      </c>
      <c r="C340" s="17">
        <f>28.8616 * CHOOSE(CONTROL!$C$15, $E$9, 100%, $G$9) + CHOOSE(CONTROL!$C$38, 0.0354, 0)</f>
        <v>28.896999999999998</v>
      </c>
      <c r="D340" s="17">
        <f>28.8537 * CHOOSE(CONTROL!$C$15, $E$9, 100%, $G$9) + CHOOSE(CONTROL!$C$38, 0.0354, 0)</f>
        <v>28.889099999999999</v>
      </c>
      <c r="E340" s="17">
        <f>28.8537 * CHOOSE(CONTROL!$C$15, $E$9, 100%, $G$9) + CHOOSE(CONTROL!$C$38, 0.0354, 0)</f>
        <v>28.889099999999999</v>
      </c>
      <c r="F340" s="45">
        <f>30.7613 * CHOOSE(CONTROL!$C$15, $E$9, 100%, $G$9) + CHOOSE(CONTROL!$C$38, 0.0353, 0)</f>
        <v>30.796599999999998</v>
      </c>
      <c r="G340" s="17">
        <f>28.86 * CHOOSE(CONTROL!$C$15, $E$9, 100%, $G$9) + CHOOSE(CONTROL!$C$38, 0.0354, 0)</f>
        <v>28.895399999999999</v>
      </c>
      <c r="H340" s="17">
        <f>28.86 * CHOOSE(CONTROL!$C$15, $E$9, 100%, $G$9) + CHOOSE(CONTROL!$C$38, 0.0354, 0)</f>
        <v>28.895399999999999</v>
      </c>
      <c r="I340" s="17">
        <f>28.8616 * CHOOSE(CONTROL!$C$15, $E$9, 100%, $G$9) + CHOOSE(CONTROL!$C$38, 0.0354, 0)</f>
        <v>28.896999999999998</v>
      </c>
      <c r="J340" s="44">
        <f>227.0821</f>
        <v>227.0821</v>
      </c>
    </row>
    <row r="341" spans="1:10" ht="15.75" x14ac:dyDescent="0.25">
      <c r="A341" s="14">
        <v>51317</v>
      </c>
      <c r="B341" s="17">
        <f>30.197 * CHOOSE(CONTROL!$C$15, $E$9, 100%, $G$9) + CHOOSE(CONTROL!$C$38, 0.0353, 0)</f>
        <v>30.232299999999999</v>
      </c>
      <c r="C341" s="17">
        <f>28.2972 * CHOOSE(CONTROL!$C$15, $E$9, 100%, $G$9) + CHOOSE(CONTROL!$C$38, 0.0354, 0)</f>
        <v>28.332599999999999</v>
      </c>
      <c r="D341" s="17">
        <f>28.2894 * CHOOSE(CONTROL!$C$15, $E$9, 100%, $G$9) + CHOOSE(CONTROL!$C$38, 0.0354, 0)</f>
        <v>28.3248</v>
      </c>
      <c r="E341" s="17">
        <f>28.2894 * CHOOSE(CONTROL!$C$15, $E$9, 100%, $G$9) + CHOOSE(CONTROL!$C$38, 0.0354, 0)</f>
        <v>28.3248</v>
      </c>
      <c r="F341" s="45">
        <f>30.197 * CHOOSE(CONTROL!$C$15, $E$9, 100%, $G$9) + CHOOSE(CONTROL!$C$38, 0.0353, 0)</f>
        <v>30.232299999999999</v>
      </c>
      <c r="G341" s="17">
        <f>28.2957 * CHOOSE(CONTROL!$C$15, $E$9, 100%, $G$9) + CHOOSE(CONTROL!$C$38, 0.0354, 0)</f>
        <v>28.331099999999999</v>
      </c>
      <c r="H341" s="17">
        <f>28.2957 * CHOOSE(CONTROL!$C$15, $E$9, 100%, $G$9) + CHOOSE(CONTROL!$C$38, 0.0354, 0)</f>
        <v>28.331099999999999</v>
      </c>
      <c r="I341" s="17">
        <f>28.2972 * CHOOSE(CONTROL!$C$15, $E$9, 100%, $G$9) + CHOOSE(CONTROL!$C$38, 0.0354, 0)</f>
        <v>28.332599999999999</v>
      </c>
      <c r="J341" s="44">
        <f>230.3541</f>
        <v>230.35409999999999</v>
      </c>
    </row>
    <row r="342" spans="1:10" ht="15.75" x14ac:dyDescent="0.25">
      <c r="A342" s="14">
        <v>51348</v>
      </c>
      <c r="B342" s="17">
        <f>29.8749 * CHOOSE(CONTROL!$C$15, $E$9, 100%, $G$9) + CHOOSE(CONTROL!$C$38, 0.0353, 0)</f>
        <v>29.9102</v>
      </c>
      <c r="C342" s="17">
        <f>27.9752 * CHOOSE(CONTROL!$C$15, $E$9, 100%, $G$9) + CHOOSE(CONTROL!$C$38, 0.0354, 0)</f>
        <v>28.0106</v>
      </c>
      <c r="D342" s="17">
        <f>27.9674 * CHOOSE(CONTROL!$C$15, $E$9, 100%, $G$9) + CHOOSE(CONTROL!$C$38, 0.0354, 0)</f>
        <v>28.002800000000001</v>
      </c>
      <c r="E342" s="17">
        <f>27.9674 * CHOOSE(CONTROL!$C$15, $E$9, 100%, $G$9) + CHOOSE(CONTROL!$C$38, 0.0354, 0)</f>
        <v>28.002800000000001</v>
      </c>
      <c r="F342" s="45">
        <f>29.8749 * CHOOSE(CONTROL!$C$15, $E$9, 100%, $G$9) + CHOOSE(CONTROL!$C$38, 0.0353, 0)</f>
        <v>29.9102</v>
      </c>
      <c r="G342" s="17">
        <f>27.9736 * CHOOSE(CONTROL!$C$15, $E$9, 100%, $G$9) + CHOOSE(CONTROL!$C$38, 0.0354, 0)</f>
        <v>28.009</v>
      </c>
      <c r="H342" s="17">
        <f>27.9736 * CHOOSE(CONTROL!$C$15, $E$9, 100%, $G$9) + CHOOSE(CONTROL!$C$38, 0.0354, 0)</f>
        <v>28.009</v>
      </c>
      <c r="I342" s="17">
        <f>27.9752 * CHOOSE(CONTROL!$C$15, $E$9, 100%, $G$9) + CHOOSE(CONTROL!$C$38, 0.0354, 0)</f>
        <v>28.0106</v>
      </c>
      <c r="J342" s="44">
        <f>229.2768</f>
        <v>229.27680000000001</v>
      </c>
    </row>
    <row r="343" spans="1:10" ht="15.75" x14ac:dyDescent="0.25">
      <c r="A343" s="14">
        <v>51379</v>
      </c>
      <c r="B343" s="17">
        <f>30.0339 * CHOOSE(CONTROL!$C$15, $E$9, 100%, $G$9) + CHOOSE(CONTROL!$C$38, 0.0353, 0)</f>
        <v>30.069199999999999</v>
      </c>
      <c r="C343" s="17">
        <f>28.1341 * CHOOSE(CONTROL!$C$15, $E$9, 100%, $G$9) + CHOOSE(CONTROL!$C$38, 0.0354, 0)</f>
        <v>28.169499999999999</v>
      </c>
      <c r="D343" s="17">
        <f>28.1263 * CHOOSE(CONTROL!$C$15, $E$9, 100%, $G$9) + CHOOSE(CONTROL!$C$38, 0.0354, 0)</f>
        <v>28.1617</v>
      </c>
      <c r="E343" s="17">
        <f>28.1263 * CHOOSE(CONTROL!$C$15, $E$9, 100%, $G$9) + CHOOSE(CONTROL!$C$38, 0.0354, 0)</f>
        <v>28.1617</v>
      </c>
      <c r="F343" s="45">
        <f>30.0339 * CHOOSE(CONTROL!$C$15, $E$9, 100%, $G$9) + CHOOSE(CONTROL!$C$38, 0.0353, 0)</f>
        <v>30.069199999999999</v>
      </c>
      <c r="G343" s="17">
        <f>28.1325 * CHOOSE(CONTROL!$C$15, $E$9, 100%, $G$9) + CHOOSE(CONTROL!$C$38, 0.0354, 0)</f>
        <v>28.167899999999999</v>
      </c>
      <c r="H343" s="17">
        <f>28.1325 * CHOOSE(CONTROL!$C$15, $E$9, 100%, $G$9) + CHOOSE(CONTROL!$C$38, 0.0354, 0)</f>
        <v>28.167899999999999</v>
      </c>
      <c r="I343" s="17">
        <f>28.1341 * CHOOSE(CONTROL!$C$15, $E$9, 100%, $G$9) + CHOOSE(CONTROL!$C$38, 0.0354, 0)</f>
        <v>28.169499999999999</v>
      </c>
      <c r="J343" s="44">
        <f>223.9394</f>
        <v>223.93940000000001</v>
      </c>
    </row>
    <row r="344" spans="1:10" ht="15.75" x14ac:dyDescent="0.25">
      <c r="A344" s="14">
        <v>51409</v>
      </c>
      <c r="B344" s="17">
        <f>30.4656 * CHOOSE(CONTROL!$C$15, $E$9, 100%, $G$9) + CHOOSE(CONTROL!$C$38, 0.0353, 0)</f>
        <v>30.500899999999998</v>
      </c>
      <c r="C344" s="17">
        <f>28.5658 * CHOOSE(CONTROL!$C$15, $E$9, 100%, $G$9) + CHOOSE(CONTROL!$C$38, 0.0354, 0)</f>
        <v>28.601199999999999</v>
      </c>
      <c r="D344" s="17">
        <f>28.558 * CHOOSE(CONTROL!$C$15, $E$9, 100%, $G$9) + CHOOSE(CONTROL!$C$38, 0.0354, 0)</f>
        <v>28.593399999999999</v>
      </c>
      <c r="E344" s="17">
        <f>28.558 * CHOOSE(CONTROL!$C$15, $E$9, 100%, $G$9) + CHOOSE(CONTROL!$C$38, 0.0354, 0)</f>
        <v>28.593399999999999</v>
      </c>
      <c r="F344" s="45">
        <f>30.4656 * CHOOSE(CONTROL!$C$15, $E$9, 100%, $G$9) + CHOOSE(CONTROL!$C$38, 0.0353, 0)</f>
        <v>30.500899999999998</v>
      </c>
      <c r="G344" s="17">
        <f>28.5643 * CHOOSE(CONTROL!$C$15, $E$9, 100%, $G$9) + CHOOSE(CONTROL!$C$38, 0.0354, 0)</f>
        <v>28.599699999999999</v>
      </c>
      <c r="H344" s="17">
        <f>28.5643 * CHOOSE(CONTROL!$C$15, $E$9, 100%, $G$9) + CHOOSE(CONTROL!$C$38, 0.0354, 0)</f>
        <v>28.599699999999999</v>
      </c>
      <c r="I344" s="17">
        <f>28.5658 * CHOOSE(CONTROL!$C$15, $E$9, 100%, $G$9) + CHOOSE(CONTROL!$C$38, 0.0354, 0)</f>
        <v>28.601199999999999</v>
      </c>
      <c r="J344" s="44">
        <f>216.496</f>
        <v>216.49600000000001</v>
      </c>
    </row>
    <row r="345" spans="1:10" ht="15.75" x14ac:dyDescent="0.25">
      <c r="A345" s="14">
        <v>51440</v>
      </c>
      <c r="B345" s="17">
        <f>30.8272 * CHOOSE(CONTROL!$C$15, $E$9, 100%, $G$9) + CHOOSE(CONTROL!$C$38, 0.034, 0)</f>
        <v>30.8612</v>
      </c>
      <c r="C345" s="17">
        <f>28.9274 * CHOOSE(CONTROL!$C$15, $E$9, 100%, $G$9) + CHOOSE(CONTROL!$C$38, 0.0342, 0)</f>
        <v>28.961599999999997</v>
      </c>
      <c r="D345" s="17">
        <f>28.9196 * CHOOSE(CONTROL!$C$15, $E$9, 100%, $G$9) + CHOOSE(CONTROL!$C$38, 0.0342, 0)</f>
        <v>28.953799999999998</v>
      </c>
      <c r="E345" s="17">
        <f>28.9196 * CHOOSE(CONTROL!$C$15, $E$9, 100%, $G$9) + CHOOSE(CONTROL!$C$38, 0.0342, 0)</f>
        <v>28.953799999999998</v>
      </c>
      <c r="F345" s="45">
        <f>30.8272 * CHOOSE(CONTROL!$C$15, $E$9, 100%, $G$9) + CHOOSE(CONTROL!$C$38, 0.034, 0)</f>
        <v>30.8612</v>
      </c>
      <c r="G345" s="17">
        <f>28.9258 * CHOOSE(CONTROL!$C$15, $E$9, 100%, $G$9) + CHOOSE(CONTROL!$C$38, 0.0342, 0)</f>
        <v>28.959999999999997</v>
      </c>
      <c r="H345" s="17">
        <f>28.9258 * CHOOSE(CONTROL!$C$15, $E$9, 100%, $G$9) + CHOOSE(CONTROL!$C$38, 0.0342, 0)</f>
        <v>28.959999999999997</v>
      </c>
      <c r="I345" s="17">
        <f>28.9274 * CHOOSE(CONTROL!$C$15, $E$9, 100%, $G$9) + CHOOSE(CONTROL!$C$38, 0.0342, 0)</f>
        <v>28.961599999999997</v>
      </c>
      <c r="J345" s="44">
        <f>209.0093</f>
        <v>209.0093</v>
      </c>
    </row>
    <row r="346" spans="1:10" ht="15.75" x14ac:dyDescent="0.25">
      <c r="A346" s="14">
        <v>51470</v>
      </c>
      <c r="B346" s="17">
        <f>31.1289 * CHOOSE(CONTROL!$C$15, $E$9, 100%, $G$9) + CHOOSE(CONTROL!$C$38, 0.034, 0)</f>
        <v>31.1629</v>
      </c>
      <c r="C346" s="17">
        <f>29.2291 * CHOOSE(CONTROL!$C$15, $E$9, 100%, $G$9) + CHOOSE(CONTROL!$C$38, 0.0342, 0)</f>
        <v>29.263299999999997</v>
      </c>
      <c r="D346" s="17">
        <f>29.2213 * CHOOSE(CONTROL!$C$15, $E$9, 100%, $G$9) + CHOOSE(CONTROL!$C$38, 0.0342, 0)</f>
        <v>29.255499999999998</v>
      </c>
      <c r="E346" s="17">
        <f>29.2213 * CHOOSE(CONTROL!$C$15, $E$9, 100%, $G$9) + CHOOSE(CONTROL!$C$38, 0.0342, 0)</f>
        <v>29.255499999999998</v>
      </c>
      <c r="F346" s="45">
        <f>31.1289 * CHOOSE(CONTROL!$C$15, $E$9, 100%, $G$9) + CHOOSE(CONTROL!$C$38, 0.034, 0)</f>
        <v>31.1629</v>
      </c>
      <c r="G346" s="17">
        <f>29.2275 * CHOOSE(CONTROL!$C$15, $E$9, 100%, $G$9) + CHOOSE(CONTROL!$C$38, 0.0342, 0)</f>
        <v>29.261699999999998</v>
      </c>
      <c r="H346" s="17">
        <f>29.2275 * CHOOSE(CONTROL!$C$15, $E$9, 100%, $G$9) + CHOOSE(CONTROL!$C$38, 0.0342, 0)</f>
        <v>29.261699999999998</v>
      </c>
      <c r="I346" s="17">
        <f>29.2291 * CHOOSE(CONTROL!$C$15, $E$9, 100%, $G$9) + CHOOSE(CONTROL!$C$38, 0.0342, 0)</f>
        <v>29.263299999999997</v>
      </c>
      <c r="J346" s="44">
        <f>207.5201</f>
        <v>207.52010000000001</v>
      </c>
    </row>
    <row r="347" spans="1:10" ht="15.75" x14ac:dyDescent="0.25">
      <c r="A347" s="14">
        <v>51501</v>
      </c>
      <c r="B347" s="17">
        <f>32.0585 * CHOOSE(CONTROL!$C$15, $E$9, 100%, $G$9) + CHOOSE(CONTROL!$C$38, 0.034, 0)</f>
        <v>32.092500000000001</v>
      </c>
      <c r="C347" s="17">
        <f>30.1587 * CHOOSE(CONTROL!$C$15, $E$9, 100%, $G$9) + CHOOSE(CONTROL!$C$38, 0.0342, 0)</f>
        <v>30.192899999999998</v>
      </c>
      <c r="D347" s="17">
        <f>30.1509 * CHOOSE(CONTROL!$C$15, $E$9, 100%, $G$9) + CHOOSE(CONTROL!$C$38, 0.0342, 0)</f>
        <v>30.185099999999998</v>
      </c>
      <c r="E347" s="17">
        <f>30.1509 * CHOOSE(CONTROL!$C$15, $E$9, 100%, $G$9) + CHOOSE(CONTROL!$C$38, 0.0342, 0)</f>
        <v>30.185099999999998</v>
      </c>
      <c r="F347" s="45">
        <f>32.0585 * CHOOSE(CONTROL!$C$15, $E$9, 100%, $G$9) + CHOOSE(CONTROL!$C$38, 0.034, 0)</f>
        <v>32.092500000000001</v>
      </c>
      <c r="G347" s="17">
        <f>30.1572 * CHOOSE(CONTROL!$C$15, $E$9, 100%, $G$9) + CHOOSE(CONTROL!$C$38, 0.0342, 0)</f>
        <v>30.191399999999998</v>
      </c>
      <c r="H347" s="17">
        <f>30.1572 * CHOOSE(CONTROL!$C$15, $E$9, 100%, $G$9) + CHOOSE(CONTROL!$C$38, 0.0342, 0)</f>
        <v>30.191399999999998</v>
      </c>
      <c r="I347" s="17">
        <f>30.1587 * CHOOSE(CONTROL!$C$15, $E$9, 100%, $G$9) + CHOOSE(CONTROL!$C$38, 0.0342, 0)</f>
        <v>30.192899999999998</v>
      </c>
      <c r="J347" s="44">
        <f>201.3619</f>
        <v>201.36189999999999</v>
      </c>
    </row>
    <row r="348" spans="1:10" ht="15.75" x14ac:dyDescent="0.25">
      <c r="A348" s="14">
        <v>51532</v>
      </c>
      <c r="B348" s="17">
        <f>33.3062 * CHOOSE(CONTROL!$C$15, $E$9, 100%, $G$9) + CHOOSE(CONTROL!$C$38, 0.034, 0)</f>
        <v>33.340199999999996</v>
      </c>
      <c r="C348" s="17">
        <f>31.3771 * CHOOSE(CONTROL!$C$15, $E$9, 100%, $G$9) + CHOOSE(CONTROL!$C$38, 0.0342, 0)</f>
        <v>31.411299999999997</v>
      </c>
      <c r="D348" s="17">
        <f>31.3693 * CHOOSE(CONTROL!$C$15, $E$9, 100%, $G$9) + CHOOSE(CONTROL!$C$38, 0.0342, 0)</f>
        <v>31.403499999999998</v>
      </c>
      <c r="E348" s="17">
        <f>31.3693 * CHOOSE(CONTROL!$C$15, $E$9, 100%, $G$9) + CHOOSE(CONTROL!$C$38, 0.0342, 0)</f>
        <v>31.403499999999998</v>
      </c>
      <c r="F348" s="45">
        <f>33.3062 * CHOOSE(CONTROL!$C$15, $E$9, 100%, $G$9) + CHOOSE(CONTROL!$C$38, 0.034, 0)</f>
        <v>33.340199999999996</v>
      </c>
      <c r="G348" s="17">
        <f>31.3756 * CHOOSE(CONTROL!$C$15, $E$9, 100%, $G$9) + CHOOSE(CONTROL!$C$38, 0.0342, 0)</f>
        <v>31.409799999999997</v>
      </c>
      <c r="H348" s="17">
        <f>31.3756 * CHOOSE(CONTROL!$C$15, $E$9, 100%, $G$9) + CHOOSE(CONTROL!$C$38, 0.0342, 0)</f>
        <v>31.409799999999997</v>
      </c>
      <c r="I348" s="17">
        <f>31.3771 * CHOOSE(CONTROL!$C$15, $E$9, 100%, $G$9) + CHOOSE(CONTROL!$C$38, 0.0342, 0)</f>
        <v>31.411299999999997</v>
      </c>
      <c r="J348" s="44">
        <f>201.2165</f>
        <v>201.2165</v>
      </c>
    </row>
    <row r="349" spans="1:10" ht="15.75" x14ac:dyDescent="0.25">
      <c r="A349" s="14">
        <v>51560</v>
      </c>
      <c r="B349" s="17">
        <f>33.6505 * CHOOSE(CONTROL!$C$15, $E$9, 100%, $G$9) + CHOOSE(CONTROL!$C$38, 0.034, 0)</f>
        <v>33.6845</v>
      </c>
      <c r="C349" s="17">
        <f>31.7214 * CHOOSE(CONTROL!$C$15, $E$9, 100%, $G$9) + CHOOSE(CONTROL!$C$38, 0.0342, 0)</f>
        <v>31.755599999999998</v>
      </c>
      <c r="D349" s="17">
        <f>31.7136 * CHOOSE(CONTROL!$C$15, $E$9, 100%, $G$9) + CHOOSE(CONTROL!$C$38, 0.0342, 0)</f>
        <v>31.747799999999998</v>
      </c>
      <c r="E349" s="17">
        <f>31.7136 * CHOOSE(CONTROL!$C$15, $E$9, 100%, $G$9) + CHOOSE(CONTROL!$C$38, 0.0342, 0)</f>
        <v>31.747799999999998</v>
      </c>
      <c r="F349" s="45">
        <f>33.6505 * CHOOSE(CONTROL!$C$15, $E$9, 100%, $G$9) + CHOOSE(CONTROL!$C$38, 0.034, 0)</f>
        <v>33.6845</v>
      </c>
      <c r="G349" s="17">
        <f>31.7199 * CHOOSE(CONTROL!$C$15, $E$9, 100%, $G$9) + CHOOSE(CONTROL!$C$38, 0.0342, 0)</f>
        <v>31.754099999999998</v>
      </c>
      <c r="H349" s="17">
        <f>31.7199 * CHOOSE(CONTROL!$C$15, $E$9, 100%, $G$9) + CHOOSE(CONTROL!$C$38, 0.0342, 0)</f>
        <v>31.754099999999998</v>
      </c>
      <c r="I349" s="17">
        <f>31.7214 * CHOOSE(CONTROL!$C$15, $E$9, 100%, $G$9) + CHOOSE(CONTROL!$C$38, 0.0342, 0)</f>
        <v>31.755599999999998</v>
      </c>
      <c r="J349" s="44">
        <f>200.6572</f>
        <v>200.65719999999999</v>
      </c>
    </row>
    <row r="350" spans="1:10" ht="15.75" x14ac:dyDescent="0.25">
      <c r="A350" s="14">
        <v>51591</v>
      </c>
      <c r="B350" s="17">
        <f>32.8535 * CHOOSE(CONTROL!$C$15, $E$9, 100%, $G$9) + CHOOSE(CONTROL!$C$38, 0.034, 0)</f>
        <v>32.887499999999996</v>
      </c>
      <c r="C350" s="17">
        <f>30.9244 * CHOOSE(CONTROL!$C$15, $E$9, 100%, $G$9) + CHOOSE(CONTROL!$C$38, 0.0342, 0)</f>
        <v>30.958599999999997</v>
      </c>
      <c r="D350" s="17">
        <f>30.9166 * CHOOSE(CONTROL!$C$15, $E$9, 100%, $G$9) + CHOOSE(CONTROL!$C$38, 0.0342, 0)</f>
        <v>30.950799999999997</v>
      </c>
      <c r="E350" s="17">
        <f>30.9166 * CHOOSE(CONTROL!$C$15, $E$9, 100%, $G$9) + CHOOSE(CONTROL!$C$38, 0.0342, 0)</f>
        <v>30.950799999999997</v>
      </c>
      <c r="F350" s="45">
        <f>32.8535 * CHOOSE(CONTROL!$C$15, $E$9, 100%, $G$9) + CHOOSE(CONTROL!$C$38, 0.034, 0)</f>
        <v>32.887499999999996</v>
      </c>
      <c r="G350" s="17">
        <f>30.9228 * CHOOSE(CONTROL!$C$15, $E$9, 100%, $G$9) + CHOOSE(CONTROL!$C$38, 0.0342, 0)</f>
        <v>30.956999999999997</v>
      </c>
      <c r="H350" s="17">
        <f>30.9228 * CHOOSE(CONTROL!$C$15, $E$9, 100%, $G$9) + CHOOSE(CONTROL!$C$38, 0.0342, 0)</f>
        <v>30.956999999999997</v>
      </c>
      <c r="I350" s="17">
        <f>30.9244 * CHOOSE(CONTROL!$C$15, $E$9, 100%, $G$9) + CHOOSE(CONTROL!$C$38, 0.0342, 0)</f>
        <v>30.958599999999997</v>
      </c>
      <c r="J350" s="44">
        <f>211.233</f>
        <v>211.233</v>
      </c>
    </row>
    <row r="351" spans="1:10" ht="15.75" x14ac:dyDescent="0.25">
      <c r="A351" s="14">
        <v>51621</v>
      </c>
      <c r="B351" s="17">
        <f>32.0812 * CHOOSE(CONTROL!$C$15, $E$9, 100%, $G$9) + CHOOSE(CONTROL!$C$38, 0.034, 0)</f>
        <v>32.115200000000002</v>
      </c>
      <c r="C351" s="17">
        <f>30.1521 * CHOOSE(CONTROL!$C$15, $E$9, 100%, $G$9) + CHOOSE(CONTROL!$C$38, 0.0342, 0)</f>
        <v>30.186299999999999</v>
      </c>
      <c r="D351" s="17">
        <f>30.1443 * CHOOSE(CONTROL!$C$15, $E$9, 100%, $G$9) + CHOOSE(CONTROL!$C$38, 0.0342, 0)</f>
        <v>30.1785</v>
      </c>
      <c r="E351" s="17">
        <f>30.1443 * CHOOSE(CONTROL!$C$15, $E$9, 100%, $G$9) + CHOOSE(CONTROL!$C$38, 0.0342, 0)</f>
        <v>30.1785</v>
      </c>
      <c r="F351" s="45">
        <f>32.0812 * CHOOSE(CONTROL!$C$15, $E$9, 100%, $G$9) + CHOOSE(CONTROL!$C$38, 0.034, 0)</f>
        <v>32.115200000000002</v>
      </c>
      <c r="G351" s="17">
        <f>30.1505 * CHOOSE(CONTROL!$C$15, $E$9, 100%, $G$9) + CHOOSE(CONTROL!$C$38, 0.0342, 0)</f>
        <v>30.184699999999999</v>
      </c>
      <c r="H351" s="17">
        <f>30.1505 * CHOOSE(CONTROL!$C$15, $E$9, 100%, $G$9) + CHOOSE(CONTROL!$C$38, 0.0342, 0)</f>
        <v>30.184699999999999</v>
      </c>
      <c r="I351" s="17">
        <f>30.1521 * CHOOSE(CONTROL!$C$15, $E$9, 100%, $G$9) + CHOOSE(CONTROL!$C$38, 0.0342, 0)</f>
        <v>30.186299999999999</v>
      </c>
      <c r="J351" s="44">
        <f>224.9473</f>
        <v>224.94730000000001</v>
      </c>
    </row>
    <row r="352" spans="1:10" ht="15.75" x14ac:dyDescent="0.25">
      <c r="A352" s="14">
        <v>51652</v>
      </c>
      <c r="B352" s="17">
        <f>31.2762 * CHOOSE(CONTROL!$C$15, $E$9, 100%, $G$9) + CHOOSE(CONTROL!$C$38, 0.0353, 0)</f>
        <v>31.311499999999999</v>
      </c>
      <c r="C352" s="17">
        <f>29.3471 * CHOOSE(CONTROL!$C$15, $E$9, 100%, $G$9) + CHOOSE(CONTROL!$C$38, 0.0354, 0)</f>
        <v>29.3825</v>
      </c>
      <c r="D352" s="17">
        <f>29.3393 * CHOOSE(CONTROL!$C$15, $E$9, 100%, $G$9) + CHOOSE(CONTROL!$C$38, 0.0354, 0)</f>
        <v>29.374700000000001</v>
      </c>
      <c r="E352" s="17">
        <f>29.3393 * CHOOSE(CONTROL!$C$15, $E$9, 100%, $G$9) + CHOOSE(CONTROL!$C$38, 0.0354, 0)</f>
        <v>29.374700000000001</v>
      </c>
      <c r="F352" s="45">
        <f>31.2762 * CHOOSE(CONTROL!$C$15, $E$9, 100%, $G$9) + CHOOSE(CONTROL!$C$38, 0.0353, 0)</f>
        <v>31.311499999999999</v>
      </c>
      <c r="G352" s="17">
        <f>29.3456 * CHOOSE(CONTROL!$C$15, $E$9, 100%, $G$9) + CHOOSE(CONTROL!$C$38, 0.0354, 0)</f>
        <v>29.381</v>
      </c>
      <c r="H352" s="17">
        <f>29.3456 * CHOOSE(CONTROL!$C$15, $E$9, 100%, $G$9) + CHOOSE(CONTROL!$C$38, 0.0354, 0)</f>
        <v>29.381</v>
      </c>
      <c r="I352" s="17">
        <f>29.3471 * CHOOSE(CONTROL!$C$15, $E$9, 100%, $G$9) + CHOOSE(CONTROL!$C$38, 0.0354, 0)</f>
        <v>29.3825</v>
      </c>
      <c r="J352" s="44">
        <f>232.4961</f>
        <v>232.49610000000001</v>
      </c>
    </row>
    <row r="353" spans="1:10" ht="15.75" x14ac:dyDescent="0.25">
      <c r="A353" s="14">
        <v>51682</v>
      </c>
      <c r="B353" s="17">
        <f>30.7119 * CHOOSE(CONTROL!$C$15, $E$9, 100%, $G$9) + CHOOSE(CONTROL!$C$38, 0.0353, 0)</f>
        <v>30.747199999999999</v>
      </c>
      <c r="C353" s="17">
        <f>28.7828 * CHOOSE(CONTROL!$C$15, $E$9, 100%, $G$9) + CHOOSE(CONTROL!$C$38, 0.0354, 0)</f>
        <v>28.818200000000001</v>
      </c>
      <c r="D353" s="17">
        <f>28.775 * CHOOSE(CONTROL!$C$15, $E$9, 100%, $G$9) + CHOOSE(CONTROL!$C$38, 0.0354, 0)</f>
        <v>28.810399999999998</v>
      </c>
      <c r="E353" s="17">
        <f>28.775 * CHOOSE(CONTROL!$C$15, $E$9, 100%, $G$9) + CHOOSE(CONTROL!$C$38, 0.0354, 0)</f>
        <v>28.810399999999998</v>
      </c>
      <c r="F353" s="45">
        <f>30.7119 * CHOOSE(CONTROL!$C$15, $E$9, 100%, $G$9) + CHOOSE(CONTROL!$C$38, 0.0353, 0)</f>
        <v>30.747199999999999</v>
      </c>
      <c r="G353" s="17">
        <f>28.7812 * CHOOSE(CONTROL!$C$15, $E$9, 100%, $G$9) + CHOOSE(CONTROL!$C$38, 0.0354, 0)</f>
        <v>28.816599999999998</v>
      </c>
      <c r="H353" s="17">
        <f>28.7812 * CHOOSE(CONTROL!$C$15, $E$9, 100%, $G$9) + CHOOSE(CONTROL!$C$38, 0.0354, 0)</f>
        <v>28.816599999999998</v>
      </c>
      <c r="I353" s="17">
        <f>28.7828 * CHOOSE(CONTROL!$C$15, $E$9, 100%, $G$9) + CHOOSE(CONTROL!$C$38, 0.0354, 0)</f>
        <v>28.818200000000001</v>
      </c>
      <c r="J353" s="44">
        <f>235.8461</f>
        <v>235.84610000000001</v>
      </c>
    </row>
    <row r="354" spans="1:10" ht="15.75" x14ac:dyDescent="0.25">
      <c r="A354" s="14">
        <v>51713</v>
      </c>
      <c r="B354" s="17">
        <f>30.3898 * CHOOSE(CONTROL!$C$15, $E$9, 100%, $G$9) + CHOOSE(CONTROL!$C$38, 0.0353, 0)</f>
        <v>30.4251</v>
      </c>
      <c r="C354" s="17">
        <f>28.4607 * CHOOSE(CONTROL!$C$15, $E$9, 100%, $G$9) + CHOOSE(CONTROL!$C$38, 0.0354, 0)</f>
        <v>28.496099999999998</v>
      </c>
      <c r="D354" s="17">
        <f>28.4529 * CHOOSE(CONTROL!$C$15, $E$9, 100%, $G$9) + CHOOSE(CONTROL!$C$38, 0.0354, 0)</f>
        <v>28.488299999999999</v>
      </c>
      <c r="E354" s="17">
        <f>28.4529 * CHOOSE(CONTROL!$C$15, $E$9, 100%, $G$9) + CHOOSE(CONTROL!$C$38, 0.0354, 0)</f>
        <v>28.488299999999999</v>
      </c>
      <c r="F354" s="45">
        <f>30.3898 * CHOOSE(CONTROL!$C$15, $E$9, 100%, $G$9) + CHOOSE(CONTROL!$C$38, 0.0353, 0)</f>
        <v>30.4251</v>
      </c>
      <c r="G354" s="17">
        <f>28.4592 * CHOOSE(CONTROL!$C$15, $E$9, 100%, $G$9) + CHOOSE(CONTROL!$C$38, 0.0354, 0)</f>
        <v>28.494599999999998</v>
      </c>
      <c r="H354" s="17">
        <f>28.4592 * CHOOSE(CONTROL!$C$15, $E$9, 100%, $G$9) + CHOOSE(CONTROL!$C$38, 0.0354, 0)</f>
        <v>28.494599999999998</v>
      </c>
      <c r="I354" s="17">
        <f>28.4607 * CHOOSE(CONTROL!$C$15, $E$9, 100%, $G$9) + CHOOSE(CONTROL!$C$38, 0.0354, 0)</f>
        <v>28.496099999999998</v>
      </c>
      <c r="J354" s="44">
        <f>234.7431</f>
        <v>234.7431</v>
      </c>
    </row>
    <row r="355" spans="1:10" ht="15.75" x14ac:dyDescent="0.25">
      <c r="A355" s="14">
        <v>51744</v>
      </c>
      <c r="B355" s="17">
        <f>30.5488 * CHOOSE(CONTROL!$C$15, $E$9, 100%, $G$9) + CHOOSE(CONTROL!$C$38, 0.0353, 0)</f>
        <v>30.584099999999999</v>
      </c>
      <c r="C355" s="17">
        <f>28.6197 * CHOOSE(CONTROL!$C$15, $E$9, 100%, $G$9) + CHOOSE(CONTROL!$C$38, 0.0354, 0)</f>
        <v>28.655100000000001</v>
      </c>
      <c r="D355" s="17">
        <f>28.6119 * CHOOSE(CONTROL!$C$15, $E$9, 100%, $G$9) + CHOOSE(CONTROL!$C$38, 0.0354, 0)</f>
        <v>28.647299999999998</v>
      </c>
      <c r="E355" s="17">
        <f>28.6119 * CHOOSE(CONTROL!$C$15, $E$9, 100%, $G$9) + CHOOSE(CONTROL!$C$38, 0.0354, 0)</f>
        <v>28.647299999999998</v>
      </c>
      <c r="F355" s="45">
        <f>30.5488 * CHOOSE(CONTROL!$C$15, $E$9, 100%, $G$9) + CHOOSE(CONTROL!$C$38, 0.0353, 0)</f>
        <v>30.584099999999999</v>
      </c>
      <c r="G355" s="17">
        <f>28.6181 * CHOOSE(CONTROL!$C$15, $E$9, 100%, $G$9) + CHOOSE(CONTROL!$C$38, 0.0354, 0)</f>
        <v>28.653499999999998</v>
      </c>
      <c r="H355" s="17">
        <f>28.6181 * CHOOSE(CONTROL!$C$15, $E$9, 100%, $G$9) + CHOOSE(CONTROL!$C$38, 0.0354, 0)</f>
        <v>28.653499999999998</v>
      </c>
      <c r="I355" s="17">
        <f>28.6197 * CHOOSE(CONTROL!$C$15, $E$9, 100%, $G$9) + CHOOSE(CONTROL!$C$38, 0.0354, 0)</f>
        <v>28.655100000000001</v>
      </c>
      <c r="J355" s="44">
        <f>229.2784</f>
        <v>229.2784</v>
      </c>
    </row>
    <row r="356" spans="1:10" ht="15.75" x14ac:dyDescent="0.25">
      <c r="A356" s="14">
        <v>51774</v>
      </c>
      <c r="B356" s="17">
        <f>30.9805 * CHOOSE(CONTROL!$C$15, $E$9, 100%, $G$9) + CHOOSE(CONTROL!$C$38, 0.0353, 0)</f>
        <v>31.015799999999999</v>
      </c>
      <c r="C356" s="17">
        <f>29.0514 * CHOOSE(CONTROL!$C$15, $E$9, 100%, $G$9) + CHOOSE(CONTROL!$C$38, 0.0354, 0)</f>
        <v>29.0868</v>
      </c>
      <c r="D356" s="17">
        <f>29.0436 * CHOOSE(CONTROL!$C$15, $E$9, 100%, $G$9) + CHOOSE(CONTROL!$C$38, 0.0354, 0)</f>
        <v>29.079000000000001</v>
      </c>
      <c r="E356" s="17">
        <f>29.0436 * CHOOSE(CONTROL!$C$15, $E$9, 100%, $G$9) + CHOOSE(CONTROL!$C$38, 0.0354, 0)</f>
        <v>29.079000000000001</v>
      </c>
      <c r="F356" s="45">
        <f>30.9805 * CHOOSE(CONTROL!$C$15, $E$9, 100%, $G$9) + CHOOSE(CONTROL!$C$38, 0.0353, 0)</f>
        <v>31.015799999999999</v>
      </c>
      <c r="G356" s="17">
        <f>29.0498 * CHOOSE(CONTROL!$C$15, $E$9, 100%, $G$9) + CHOOSE(CONTROL!$C$38, 0.0354, 0)</f>
        <v>29.0852</v>
      </c>
      <c r="H356" s="17">
        <f>29.0498 * CHOOSE(CONTROL!$C$15, $E$9, 100%, $G$9) + CHOOSE(CONTROL!$C$38, 0.0354, 0)</f>
        <v>29.0852</v>
      </c>
      <c r="I356" s="17">
        <f>29.0514 * CHOOSE(CONTROL!$C$15, $E$9, 100%, $G$9) + CHOOSE(CONTROL!$C$38, 0.0354, 0)</f>
        <v>29.0868</v>
      </c>
      <c r="J356" s="44">
        <f>221.6576</f>
        <v>221.6576</v>
      </c>
    </row>
    <row r="357" spans="1:10" ht="15.75" x14ac:dyDescent="0.25">
      <c r="A357" s="14">
        <v>51805</v>
      </c>
      <c r="B357" s="17">
        <f>31.342 * CHOOSE(CONTROL!$C$15, $E$9, 100%, $G$9) + CHOOSE(CONTROL!$C$38, 0.034, 0)</f>
        <v>31.375999999999998</v>
      </c>
      <c r="C357" s="17">
        <f>29.413 * CHOOSE(CONTROL!$C$15, $E$9, 100%, $G$9) + CHOOSE(CONTROL!$C$38, 0.0342, 0)</f>
        <v>29.447199999999999</v>
      </c>
      <c r="D357" s="17">
        <f>29.4052 * CHOOSE(CONTROL!$C$15, $E$9, 100%, $G$9) + CHOOSE(CONTROL!$C$38, 0.0342, 0)</f>
        <v>29.439399999999999</v>
      </c>
      <c r="E357" s="17">
        <f>29.4052 * CHOOSE(CONTROL!$C$15, $E$9, 100%, $G$9) + CHOOSE(CONTROL!$C$38, 0.0342, 0)</f>
        <v>29.439399999999999</v>
      </c>
      <c r="F357" s="45">
        <f>31.342 * CHOOSE(CONTROL!$C$15, $E$9, 100%, $G$9) + CHOOSE(CONTROL!$C$38, 0.034, 0)</f>
        <v>31.375999999999998</v>
      </c>
      <c r="G357" s="17">
        <f>29.4114 * CHOOSE(CONTROL!$C$15, $E$9, 100%, $G$9) + CHOOSE(CONTROL!$C$38, 0.0342, 0)</f>
        <v>29.445599999999999</v>
      </c>
      <c r="H357" s="17">
        <f>29.4114 * CHOOSE(CONTROL!$C$15, $E$9, 100%, $G$9) + CHOOSE(CONTROL!$C$38, 0.0342, 0)</f>
        <v>29.445599999999999</v>
      </c>
      <c r="I357" s="17">
        <f>29.413 * CHOOSE(CONTROL!$C$15, $E$9, 100%, $G$9) + CHOOSE(CONTROL!$C$38, 0.0342, 0)</f>
        <v>29.447199999999999</v>
      </c>
      <c r="J357" s="44">
        <f>213.9924</f>
        <v>213.9924</v>
      </c>
    </row>
    <row r="358" spans="1:10" ht="15.75" x14ac:dyDescent="0.25">
      <c r="A358" s="14">
        <v>51835</v>
      </c>
      <c r="B358" s="17">
        <f>31.6437 * CHOOSE(CONTROL!$C$15, $E$9, 100%, $G$9) + CHOOSE(CONTROL!$C$38, 0.034, 0)</f>
        <v>31.677699999999998</v>
      </c>
      <c r="C358" s="17">
        <f>29.7147 * CHOOSE(CONTROL!$C$15, $E$9, 100%, $G$9) + CHOOSE(CONTROL!$C$38, 0.0342, 0)</f>
        <v>29.748899999999999</v>
      </c>
      <c r="D358" s="17">
        <f>29.7069 * CHOOSE(CONTROL!$C$15, $E$9, 100%, $G$9) + CHOOSE(CONTROL!$C$38, 0.0342, 0)</f>
        <v>29.741099999999999</v>
      </c>
      <c r="E358" s="17">
        <f>29.7069 * CHOOSE(CONTROL!$C$15, $E$9, 100%, $G$9) + CHOOSE(CONTROL!$C$38, 0.0342, 0)</f>
        <v>29.741099999999999</v>
      </c>
      <c r="F358" s="45">
        <f>31.6437 * CHOOSE(CONTROL!$C$15, $E$9, 100%, $G$9) + CHOOSE(CONTROL!$C$38, 0.034, 0)</f>
        <v>31.677699999999998</v>
      </c>
      <c r="G358" s="17">
        <f>29.7131 * CHOOSE(CONTROL!$C$15, $E$9, 100%, $G$9) + CHOOSE(CONTROL!$C$38, 0.0342, 0)</f>
        <v>29.747299999999999</v>
      </c>
      <c r="H358" s="17">
        <f>29.7131 * CHOOSE(CONTROL!$C$15, $E$9, 100%, $G$9) + CHOOSE(CONTROL!$C$38, 0.0342, 0)</f>
        <v>29.747299999999999</v>
      </c>
      <c r="I358" s="17">
        <f>29.7147 * CHOOSE(CONTROL!$C$15, $E$9, 100%, $G$9) + CHOOSE(CONTROL!$C$38, 0.0342, 0)</f>
        <v>29.748899999999999</v>
      </c>
      <c r="J358" s="44">
        <f>212.4677</f>
        <v>212.46770000000001</v>
      </c>
    </row>
    <row r="359" spans="1:10" ht="15.75" x14ac:dyDescent="0.25">
      <c r="A359" s="14">
        <v>51866</v>
      </c>
      <c r="B359" s="17">
        <f>32.5734 * CHOOSE(CONTROL!$C$15, $E$9, 100%, $G$9) + CHOOSE(CONTROL!$C$38, 0.034, 0)</f>
        <v>32.607399999999998</v>
      </c>
      <c r="C359" s="17">
        <f>30.6443 * CHOOSE(CONTROL!$C$15, $E$9, 100%, $G$9) + CHOOSE(CONTROL!$C$38, 0.0342, 0)</f>
        <v>30.6785</v>
      </c>
      <c r="D359" s="17">
        <f>30.6365 * CHOOSE(CONTROL!$C$15, $E$9, 100%, $G$9) + CHOOSE(CONTROL!$C$38, 0.0342, 0)</f>
        <v>30.6707</v>
      </c>
      <c r="E359" s="17">
        <f>30.6365 * CHOOSE(CONTROL!$C$15, $E$9, 100%, $G$9) + CHOOSE(CONTROL!$C$38, 0.0342, 0)</f>
        <v>30.6707</v>
      </c>
      <c r="F359" s="45">
        <f>32.5734 * CHOOSE(CONTROL!$C$15, $E$9, 100%, $G$9) + CHOOSE(CONTROL!$C$38, 0.034, 0)</f>
        <v>32.607399999999998</v>
      </c>
      <c r="G359" s="17">
        <f>30.6428 * CHOOSE(CONTROL!$C$15, $E$9, 100%, $G$9) + CHOOSE(CONTROL!$C$38, 0.0342, 0)</f>
        <v>30.677</v>
      </c>
      <c r="H359" s="17">
        <f>30.6428 * CHOOSE(CONTROL!$C$15, $E$9, 100%, $G$9) + CHOOSE(CONTROL!$C$38, 0.0342, 0)</f>
        <v>30.677</v>
      </c>
      <c r="I359" s="17">
        <f>30.6443 * CHOOSE(CONTROL!$C$15, $E$9, 100%, $G$9) + CHOOSE(CONTROL!$C$38, 0.0342, 0)</f>
        <v>30.6785</v>
      </c>
      <c r="J359" s="44">
        <f>206.1627</f>
        <v>206.1627</v>
      </c>
    </row>
    <row r="360" spans="1:10" ht="15.75" x14ac:dyDescent="0.25">
      <c r="A360" s="14">
        <v>51897</v>
      </c>
      <c r="B360" s="17">
        <f>33.8297 * CHOOSE(CONTROL!$C$15, $E$9, 100%, $G$9) + CHOOSE(CONTROL!$C$38, 0.034, 0)</f>
        <v>33.863700000000001</v>
      </c>
      <c r="C360" s="17">
        <f>31.8709 * CHOOSE(CONTROL!$C$15, $E$9, 100%, $G$9) + CHOOSE(CONTROL!$C$38, 0.0342, 0)</f>
        <v>31.905099999999997</v>
      </c>
      <c r="D360" s="17">
        <f>31.8631 * CHOOSE(CONTROL!$C$15, $E$9, 100%, $G$9) + CHOOSE(CONTROL!$C$38, 0.0342, 0)</f>
        <v>31.897299999999998</v>
      </c>
      <c r="E360" s="17">
        <f>31.8631 * CHOOSE(CONTROL!$C$15, $E$9, 100%, $G$9) + CHOOSE(CONTROL!$C$38, 0.0342, 0)</f>
        <v>31.897299999999998</v>
      </c>
      <c r="F360" s="45">
        <f>33.8297 * CHOOSE(CONTROL!$C$15, $E$9, 100%, $G$9) + CHOOSE(CONTROL!$C$38, 0.034, 0)</f>
        <v>33.863700000000001</v>
      </c>
      <c r="G360" s="17">
        <f>31.8693 * CHOOSE(CONTROL!$C$15, $E$9, 100%, $G$9) + CHOOSE(CONTROL!$C$38, 0.0342, 0)</f>
        <v>31.903499999999998</v>
      </c>
      <c r="H360" s="17">
        <f>31.8693 * CHOOSE(CONTROL!$C$15, $E$9, 100%, $G$9) + CHOOSE(CONTROL!$C$38, 0.0342, 0)</f>
        <v>31.903499999999998</v>
      </c>
      <c r="I360" s="17">
        <f>31.8709 * CHOOSE(CONTROL!$C$15, $E$9, 100%, $G$9) + CHOOSE(CONTROL!$C$38, 0.0342, 0)</f>
        <v>31.905099999999997</v>
      </c>
      <c r="J360" s="44">
        <f>206.0138</f>
        <v>206.0138</v>
      </c>
    </row>
    <row r="361" spans="1:10" ht="15.75" x14ac:dyDescent="0.25">
      <c r="A361" s="14">
        <v>51925</v>
      </c>
      <c r="B361" s="17">
        <f>34.174 * CHOOSE(CONTROL!$C$15, $E$9, 100%, $G$9) + CHOOSE(CONTROL!$C$38, 0.034, 0)</f>
        <v>34.207999999999998</v>
      </c>
      <c r="C361" s="17">
        <f>32.2152 * CHOOSE(CONTROL!$C$15, $E$9, 100%, $G$9) + CHOOSE(CONTROL!$C$38, 0.0342, 0)</f>
        <v>32.249400000000001</v>
      </c>
      <c r="D361" s="17">
        <f>32.2074 * CHOOSE(CONTROL!$C$15, $E$9, 100%, $G$9) + CHOOSE(CONTROL!$C$38, 0.0342, 0)</f>
        <v>32.241599999999998</v>
      </c>
      <c r="E361" s="17">
        <f>32.2074 * CHOOSE(CONTROL!$C$15, $E$9, 100%, $G$9) + CHOOSE(CONTROL!$C$38, 0.0342, 0)</f>
        <v>32.241599999999998</v>
      </c>
      <c r="F361" s="45">
        <f>34.174 * CHOOSE(CONTROL!$C$15, $E$9, 100%, $G$9) + CHOOSE(CONTROL!$C$38, 0.034, 0)</f>
        <v>34.207999999999998</v>
      </c>
      <c r="G361" s="17">
        <f>32.2136 * CHOOSE(CONTROL!$C$15, $E$9, 100%, $G$9) + CHOOSE(CONTROL!$C$38, 0.0342, 0)</f>
        <v>32.247799999999998</v>
      </c>
      <c r="H361" s="17">
        <f>32.2136 * CHOOSE(CONTROL!$C$15, $E$9, 100%, $G$9) + CHOOSE(CONTROL!$C$38, 0.0342, 0)</f>
        <v>32.247799999999998</v>
      </c>
      <c r="I361" s="17">
        <f>32.2152 * CHOOSE(CONTROL!$C$15, $E$9, 100%, $G$9) + CHOOSE(CONTROL!$C$38, 0.0342, 0)</f>
        <v>32.249400000000001</v>
      </c>
      <c r="J361" s="44">
        <f>205.4412</f>
        <v>205.44120000000001</v>
      </c>
    </row>
    <row r="362" spans="1:10" ht="15.75" x14ac:dyDescent="0.25">
      <c r="A362" s="14">
        <v>51956</v>
      </c>
      <c r="B362" s="17">
        <f>33.377 * CHOOSE(CONTROL!$C$15, $E$9, 100%, $G$9) + CHOOSE(CONTROL!$C$38, 0.034, 0)</f>
        <v>33.411000000000001</v>
      </c>
      <c r="C362" s="17">
        <f>31.4182 * CHOOSE(CONTROL!$C$15, $E$9, 100%, $G$9) + CHOOSE(CONTROL!$C$38, 0.0342, 0)</f>
        <v>31.452399999999997</v>
      </c>
      <c r="D362" s="17">
        <f>31.4103 * CHOOSE(CONTROL!$C$15, $E$9, 100%, $G$9) + CHOOSE(CONTROL!$C$38, 0.0342, 0)</f>
        <v>31.444499999999998</v>
      </c>
      <c r="E362" s="17">
        <f>31.4103 * CHOOSE(CONTROL!$C$15, $E$9, 100%, $G$9) + CHOOSE(CONTROL!$C$38, 0.0342, 0)</f>
        <v>31.444499999999998</v>
      </c>
      <c r="F362" s="45">
        <f>33.377 * CHOOSE(CONTROL!$C$15, $E$9, 100%, $G$9) + CHOOSE(CONTROL!$C$38, 0.034, 0)</f>
        <v>33.411000000000001</v>
      </c>
      <c r="G362" s="17">
        <f>31.4166 * CHOOSE(CONTROL!$C$15, $E$9, 100%, $G$9) + CHOOSE(CONTROL!$C$38, 0.0342, 0)</f>
        <v>31.450799999999997</v>
      </c>
      <c r="H362" s="17">
        <f>31.4166 * CHOOSE(CONTROL!$C$15, $E$9, 100%, $G$9) + CHOOSE(CONTROL!$C$38, 0.0342, 0)</f>
        <v>31.450799999999997</v>
      </c>
      <c r="I362" s="17">
        <f>31.4182 * CHOOSE(CONTROL!$C$15, $E$9, 100%, $G$9) + CHOOSE(CONTROL!$C$38, 0.0342, 0)</f>
        <v>31.452399999999997</v>
      </c>
      <c r="J362" s="44">
        <f>216.2691</f>
        <v>216.26910000000001</v>
      </c>
    </row>
    <row r="363" spans="1:10" ht="15.75" x14ac:dyDescent="0.25">
      <c r="A363" s="14">
        <v>51986</v>
      </c>
      <c r="B363" s="17">
        <f>32.6047 * CHOOSE(CONTROL!$C$15, $E$9, 100%, $G$9) + CHOOSE(CONTROL!$C$38, 0.034, 0)</f>
        <v>32.6387</v>
      </c>
      <c r="C363" s="17">
        <f>30.6458 * CHOOSE(CONTROL!$C$15, $E$9, 100%, $G$9) + CHOOSE(CONTROL!$C$38, 0.0342, 0)</f>
        <v>30.68</v>
      </c>
      <c r="D363" s="17">
        <f>30.638 * CHOOSE(CONTROL!$C$15, $E$9, 100%, $G$9) + CHOOSE(CONTROL!$C$38, 0.0342, 0)</f>
        <v>30.6722</v>
      </c>
      <c r="E363" s="17">
        <f>30.638 * CHOOSE(CONTROL!$C$15, $E$9, 100%, $G$9) + CHOOSE(CONTROL!$C$38, 0.0342, 0)</f>
        <v>30.6722</v>
      </c>
      <c r="F363" s="45">
        <f>32.6047 * CHOOSE(CONTROL!$C$15, $E$9, 100%, $G$9) + CHOOSE(CONTROL!$C$38, 0.034, 0)</f>
        <v>32.6387</v>
      </c>
      <c r="G363" s="17">
        <f>30.6443 * CHOOSE(CONTROL!$C$15, $E$9, 100%, $G$9) + CHOOSE(CONTROL!$C$38, 0.0342, 0)</f>
        <v>30.6785</v>
      </c>
      <c r="H363" s="17">
        <f>30.6443 * CHOOSE(CONTROL!$C$15, $E$9, 100%, $G$9) + CHOOSE(CONTROL!$C$38, 0.0342, 0)</f>
        <v>30.6785</v>
      </c>
      <c r="I363" s="17">
        <f>30.6458 * CHOOSE(CONTROL!$C$15, $E$9, 100%, $G$9) + CHOOSE(CONTROL!$C$38, 0.0342, 0)</f>
        <v>30.68</v>
      </c>
      <c r="J363" s="44">
        <f>230.3104</f>
        <v>230.31039999999999</v>
      </c>
    </row>
    <row r="364" spans="1:10" ht="15.75" x14ac:dyDescent="0.25">
      <c r="A364" s="14">
        <v>52017</v>
      </c>
      <c r="B364" s="17">
        <f>31.7997 * CHOOSE(CONTROL!$C$15, $E$9, 100%, $G$9) + CHOOSE(CONTROL!$C$38, 0.0353, 0)</f>
        <v>31.835000000000001</v>
      </c>
      <c r="C364" s="17">
        <f>29.8409 * CHOOSE(CONTROL!$C$15, $E$9, 100%, $G$9) + CHOOSE(CONTROL!$C$38, 0.0354, 0)</f>
        <v>29.876300000000001</v>
      </c>
      <c r="D364" s="17">
        <f>29.8331 * CHOOSE(CONTROL!$C$15, $E$9, 100%, $G$9) + CHOOSE(CONTROL!$C$38, 0.0354, 0)</f>
        <v>29.868500000000001</v>
      </c>
      <c r="E364" s="17">
        <f>29.8331 * CHOOSE(CONTROL!$C$15, $E$9, 100%, $G$9) + CHOOSE(CONTROL!$C$38, 0.0354, 0)</f>
        <v>29.868500000000001</v>
      </c>
      <c r="F364" s="45">
        <f>31.7997 * CHOOSE(CONTROL!$C$15, $E$9, 100%, $G$9) + CHOOSE(CONTROL!$C$38, 0.0353, 0)</f>
        <v>31.835000000000001</v>
      </c>
      <c r="G364" s="17">
        <f>29.8393 * CHOOSE(CONTROL!$C$15, $E$9, 100%, $G$9) + CHOOSE(CONTROL!$C$38, 0.0354, 0)</f>
        <v>29.874700000000001</v>
      </c>
      <c r="H364" s="17">
        <f>29.8393 * CHOOSE(CONTROL!$C$15, $E$9, 100%, $G$9) + CHOOSE(CONTROL!$C$38, 0.0354, 0)</f>
        <v>29.874700000000001</v>
      </c>
      <c r="I364" s="17">
        <f>29.8409 * CHOOSE(CONTROL!$C$15, $E$9, 100%, $G$9) + CHOOSE(CONTROL!$C$38, 0.0354, 0)</f>
        <v>29.876300000000001</v>
      </c>
      <c r="J364" s="44">
        <f>238.0392</f>
        <v>238.03919999999999</v>
      </c>
    </row>
    <row r="365" spans="1:10" ht="15.75" x14ac:dyDescent="0.25">
      <c r="A365" s="14">
        <v>52047</v>
      </c>
      <c r="B365" s="17">
        <f>31.2354 * CHOOSE(CONTROL!$C$15, $E$9, 100%, $G$9) + CHOOSE(CONTROL!$C$38, 0.0353, 0)</f>
        <v>31.270699999999998</v>
      </c>
      <c r="C365" s="17">
        <f>29.2765 * CHOOSE(CONTROL!$C$15, $E$9, 100%, $G$9) + CHOOSE(CONTROL!$C$38, 0.0354, 0)</f>
        <v>29.311899999999998</v>
      </c>
      <c r="D365" s="17">
        <f>29.2687 * CHOOSE(CONTROL!$C$15, $E$9, 100%, $G$9) + CHOOSE(CONTROL!$C$38, 0.0354, 0)</f>
        <v>29.304099999999998</v>
      </c>
      <c r="E365" s="17">
        <f>29.2687 * CHOOSE(CONTROL!$C$15, $E$9, 100%, $G$9) + CHOOSE(CONTROL!$C$38, 0.0354, 0)</f>
        <v>29.304099999999998</v>
      </c>
      <c r="F365" s="45">
        <f>31.2354 * CHOOSE(CONTROL!$C$15, $E$9, 100%, $G$9) + CHOOSE(CONTROL!$C$38, 0.0353, 0)</f>
        <v>31.270699999999998</v>
      </c>
      <c r="G365" s="17">
        <f>29.275 * CHOOSE(CONTROL!$C$15, $E$9, 100%, $G$9) + CHOOSE(CONTROL!$C$38, 0.0354, 0)</f>
        <v>29.310399999999998</v>
      </c>
      <c r="H365" s="17">
        <f>29.275 * CHOOSE(CONTROL!$C$15, $E$9, 100%, $G$9) + CHOOSE(CONTROL!$C$38, 0.0354, 0)</f>
        <v>29.310399999999998</v>
      </c>
      <c r="I365" s="17">
        <f>29.2765 * CHOOSE(CONTROL!$C$15, $E$9, 100%, $G$9) + CHOOSE(CONTROL!$C$38, 0.0354, 0)</f>
        <v>29.311899999999998</v>
      </c>
      <c r="J365" s="44">
        <f>241.469</f>
        <v>241.46899999999999</v>
      </c>
    </row>
    <row r="366" spans="1:10" ht="15.75" x14ac:dyDescent="0.25">
      <c r="A366" s="14">
        <v>52078</v>
      </c>
      <c r="B366" s="17">
        <f>30.9133 * CHOOSE(CONTROL!$C$15, $E$9, 100%, $G$9) + CHOOSE(CONTROL!$C$38, 0.0353, 0)</f>
        <v>30.948599999999999</v>
      </c>
      <c r="C366" s="17">
        <f>28.9545 * CHOOSE(CONTROL!$C$15, $E$9, 100%, $G$9) + CHOOSE(CONTROL!$C$38, 0.0354, 0)</f>
        <v>28.989899999999999</v>
      </c>
      <c r="D366" s="17">
        <f>28.9467 * CHOOSE(CONTROL!$C$15, $E$9, 100%, $G$9) + CHOOSE(CONTROL!$C$38, 0.0354, 0)</f>
        <v>28.982099999999999</v>
      </c>
      <c r="E366" s="17">
        <f>28.9467 * CHOOSE(CONTROL!$C$15, $E$9, 100%, $G$9) + CHOOSE(CONTROL!$C$38, 0.0354, 0)</f>
        <v>28.982099999999999</v>
      </c>
      <c r="F366" s="45">
        <f>30.9133 * CHOOSE(CONTROL!$C$15, $E$9, 100%, $G$9) + CHOOSE(CONTROL!$C$38, 0.0353, 0)</f>
        <v>30.948599999999999</v>
      </c>
      <c r="G366" s="17">
        <f>28.9529 * CHOOSE(CONTROL!$C$15, $E$9, 100%, $G$9) + CHOOSE(CONTROL!$C$38, 0.0354, 0)</f>
        <v>28.988299999999999</v>
      </c>
      <c r="H366" s="17">
        <f>28.9529 * CHOOSE(CONTROL!$C$15, $E$9, 100%, $G$9) + CHOOSE(CONTROL!$C$38, 0.0354, 0)</f>
        <v>28.988299999999999</v>
      </c>
      <c r="I366" s="17">
        <f>28.9545 * CHOOSE(CONTROL!$C$15, $E$9, 100%, $G$9) + CHOOSE(CONTROL!$C$38, 0.0354, 0)</f>
        <v>28.989899999999999</v>
      </c>
      <c r="J366" s="44">
        <f>240.3398</f>
        <v>240.3398</v>
      </c>
    </row>
    <row r="367" spans="1:10" ht="15.75" x14ac:dyDescent="0.25">
      <c r="A367" s="14">
        <v>52109</v>
      </c>
      <c r="B367" s="17">
        <f>31.0723 * CHOOSE(CONTROL!$C$15, $E$9, 100%, $G$9) + CHOOSE(CONTROL!$C$38, 0.0353, 0)</f>
        <v>31.107599999999998</v>
      </c>
      <c r="C367" s="17">
        <f>29.1134 * CHOOSE(CONTROL!$C$15, $E$9, 100%, $G$9) + CHOOSE(CONTROL!$C$38, 0.0354, 0)</f>
        <v>29.148799999999998</v>
      </c>
      <c r="D367" s="17">
        <f>29.1056 * CHOOSE(CONTROL!$C$15, $E$9, 100%, $G$9) + CHOOSE(CONTROL!$C$38, 0.0354, 0)</f>
        <v>29.140999999999998</v>
      </c>
      <c r="E367" s="17">
        <f>29.1056 * CHOOSE(CONTROL!$C$15, $E$9, 100%, $G$9) + CHOOSE(CONTROL!$C$38, 0.0354, 0)</f>
        <v>29.140999999999998</v>
      </c>
      <c r="F367" s="45">
        <f>31.0723 * CHOOSE(CONTROL!$C$15, $E$9, 100%, $G$9) + CHOOSE(CONTROL!$C$38, 0.0353, 0)</f>
        <v>31.107599999999998</v>
      </c>
      <c r="G367" s="17">
        <f>29.1119 * CHOOSE(CONTROL!$C$15, $E$9, 100%, $G$9) + CHOOSE(CONTROL!$C$38, 0.0354, 0)</f>
        <v>29.147299999999998</v>
      </c>
      <c r="H367" s="17">
        <f>29.1119 * CHOOSE(CONTROL!$C$15, $E$9, 100%, $G$9) + CHOOSE(CONTROL!$C$38, 0.0354, 0)</f>
        <v>29.147299999999998</v>
      </c>
      <c r="I367" s="17">
        <f>29.1134 * CHOOSE(CONTROL!$C$15, $E$9, 100%, $G$9) + CHOOSE(CONTROL!$C$38, 0.0354, 0)</f>
        <v>29.148799999999998</v>
      </c>
      <c r="J367" s="44">
        <f>234.7447</f>
        <v>234.74469999999999</v>
      </c>
    </row>
    <row r="368" spans="1:10" ht="15.75" x14ac:dyDescent="0.25">
      <c r="A368" s="14">
        <v>52139</v>
      </c>
      <c r="B368" s="17">
        <f>31.504 * CHOOSE(CONTROL!$C$15, $E$9, 100%, $G$9) + CHOOSE(CONTROL!$C$38, 0.0353, 0)</f>
        <v>31.539300000000001</v>
      </c>
      <c r="C368" s="17">
        <f>29.5451 * CHOOSE(CONTROL!$C$15, $E$9, 100%, $G$9) + CHOOSE(CONTROL!$C$38, 0.0354, 0)</f>
        <v>29.580500000000001</v>
      </c>
      <c r="D368" s="17">
        <f>29.5373 * CHOOSE(CONTROL!$C$15, $E$9, 100%, $G$9) + CHOOSE(CONTROL!$C$38, 0.0354, 0)</f>
        <v>29.572699999999998</v>
      </c>
      <c r="E368" s="17">
        <f>29.5373 * CHOOSE(CONTROL!$C$15, $E$9, 100%, $G$9) + CHOOSE(CONTROL!$C$38, 0.0354, 0)</f>
        <v>29.572699999999998</v>
      </c>
      <c r="F368" s="45">
        <f>31.504 * CHOOSE(CONTROL!$C$15, $E$9, 100%, $G$9) + CHOOSE(CONTROL!$C$38, 0.0353, 0)</f>
        <v>31.539300000000001</v>
      </c>
      <c r="G368" s="17">
        <f>29.5436 * CHOOSE(CONTROL!$C$15, $E$9, 100%, $G$9) + CHOOSE(CONTROL!$C$38, 0.0354, 0)</f>
        <v>29.579000000000001</v>
      </c>
      <c r="H368" s="17">
        <f>29.5436 * CHOOSE(CONTROL!$C$15, $E$9, 100%, $G$9) + CHOOSE(CONTROL!$C$38, 0.0354, 0)</f>
        <v>29.579000000000001</v>
      </c>
      <c r="I368" s="17">
        <f>29.5451 * CHOOSE(CONTROL!$C$15, $E$9, 100%, $G$9) + CHOOSE(CONTROL!$C$38, 0.0354, 0)</f>
        <v>29.580500000000001</v>
      </c>
      <c r="J368" s="44">
        <f>226.9422</f>
        <v>226.94220000000001</v>
      </c>
    </row>
    <row r="369" spans="1:10" ht="15.75" x14ac:dyDescent="0.25">
      <c r="A369" s="14">
        <v>52170</v>
      </c>
      <c r="B369" s="17">
        <f>31.8656 * CHOOSE(CONTROL!$C$15, $E$9, 100%, $G$9) + CHOOSE(CONTROL!$C$38, 0.034, 0)</f>
        <v>31.8996</v>
      </c>
      <c r="C369" s="17">
        <f>29.9067 * CHOOSE(CONTROL!$C$15, $E$9, 100%, $G$9) + CHOOSE(CONTROL!$C$38, 0.0342, 0)</f>
        <v>29.940899999999999</v>
      </c>
      <c r="D369" s="17">
        <f>29.8989 * CHOOSE(CONTROL!$C$15, $E$9, 100%, $G$9) + CHOOSE(CONTROL!$C$38, 0.0342, 0)</f>
        <v>29.9331</v>
      </c>
      <c r="E369" s="17">
        <f>29.8989 * CHOOSE(CONTROL!$C$15, $E$9, 100%, $G$9) + CHOOSE(CONTROL!$C$38, 0.0342, 0)</f>
        <v>29.9331</v>
      </c>
      <c r="F369" s="45">
        <f>31.8656 * CHOOSE(CONTROL!$C$15, $E$9, 100%, $G$9) + CHOOSE(CONTROL!$C$38, 0.034, 0)</f>
        <v>31.8996</v>
      </c>
      <c r="G369" s="17">
        <f>29.9051 * CHOOSE(CONTROL!$C$15, $E$9, 100%, $G$9) + CHOOSE(CONTROL!$C$38, 0.0342, 0)</f>
        <v>29.939299999999999</v>
      </c>
      <c r="H369" s="17">
        <f>29.9051 * CHOOSE(CONTROL!$C$15, $E$9, 100%, $G$9) + CHOOSE(CONTROL!$C$38, 0.0342, 0)</f>
        <v>29.939299999999999</v>
      </c>
      <c r="I369" s="17">
        <f>29.9067 * CHOOSE(CONTROL!$C$15, $E$9, 100%, $G$9) + CHOOSE(CONTROL!$C$38, 0.0342, 0)</f>
        <v>29.940899999999999</v>
      </c>
      <c r="J369" s="44">
        <f>219.0943</f>
        <v>219.0943</v>
      </c>
    </row>
    <row r="370" spans="1:10" ht="15.75" x14ac:dyDescent="0.25">
      <c r="A370" s="14">
        <v>52200</v>
      </c>
      <c r="B370" s="17">
        <f>32.1673 * CHOOSE(CONTROL!$C$15, $E$9, 100%, $G$9) + CHOOSE(CONTROL!$C$38, 0.034, 0)</f>
        <v>32.201299999999996</v>
      </c>
      <c r="C370" s="17">
        <f>30.2084 * CHOOSE(CONTROL!$C$15, $E$9, 100%, $G$9) + CHOOSE(CONTROL!$C$38, 0.0342, 0)</f>
        <v>30.242599999999999</v>
      </c>
      <c r="D370" s="17">
        <f>30.2006 * CHOOSE(CONTROL!$C$15, $E$9, 100%, $G$9) + CHOOSE(CONTROL!$C$38, 0.0342, 0)</f>
        <v>30.2348</v>
      </c>
      <c r="E370" s="17">
        <f>30.2006 * CHOOSE(CONTROL!$C$15, $E$9, 100%, $G$9) + CHOOSE(CONTROL!$C$38, 0.0342, 0)</f>
        <v>30.2348</v>
      </c>
      <c r="F370" s="45">
        <f>32.1673 * CHOOSE(CONTROL!$C$15, $E$9, 100%, $G$9) + CHOOSE(CONTROL!$C$38, 0.034, 0)</f>
        <v>32.201299999999996</v>
      </c>
      <c r="G370" s="17">
        <f>30.2068 * CHOOSE(CONTROL!$C$15, $E$9, 100%, $G$9) + CHOOSE(CONTROL!$C$38, 0.0342, 0)</f>
        <v>30.241</v>
      </c>
      <c r="H370" s="17">
        <f>30.2068 * CHOOSE(CONTROL!$C$15, $E$9, 100%, $G$9) + CHOOSE(CONTROL!$C$38, 0.0342, 0)</f>
        <v>30.241</v>
      </c>
      <c r="I370" s="17">
        <f>30.2084 * CHOOSE(CONTROL!$C$15, $E$9, 100%, $G$9) + CHOOSE(CONTROL!$C$38, 0.0342, 0)</f>
        <v>30.242599999999999</v>
      </c>
      <c r="J370" s="44">
        <f>217.5332</f>
        <v>217.53319999999999</v>
      </c>
    </row>
    <row r="371" spans="1:10" ht="15.75" x14ac:dyDescent="0.25">
      <c r="A371" s="14">
        <v>52231</v>
      </c>
      <c r="B371" s="17">
        <f>33.0969 * CHOOSE(CONTROL!$C$15, $E$9, 100%, $G$9) + CHOOSE(CONTROL!$C$38, 0.034, 0)</f>
        <v>33.130899999999997</v>
      </c>
      <c r="C371" s="17">
        <f>31.1381 * CHOOSE(CONTROL!$C$15, $E$9, 100%, $G$9) + CHOOSE(CONTROL!$C$38, 0.0342, 0)</f>
        <v>31.1723</v>
      </c>
      <c r="D371" s="17">
        <f>31.1303 * CHOOSE(CONTROL!$C$15, $E$9, 100%, $G$9) + CHOOSE(CONTROL!$C$38, 0.0342, 0)</f>
        <v>31.164499999999997</v>
      </c>
      <c r="E371" s="17">
        <f>31.1303 * CHOOSE(CONTROL!$C$15, $E$9, 100%, $G$9) + CHOOSE(CONTROL!$C$38, 0.0342, 0)</f>
        <v>31.164499999999997</v>
      </c>
      <c r="F371" s="45">
        <f>33.0969 * CHOOSE(CONTROL!$C$15, $E$9, 100%, $G$9) + CHOOSE(CONTROL!$C$38, 0.034, 0)</f>
        <v>33.130899999999997</v>
      </c>
      <c r="G371" s="17">
        <f>31.1365 * CHOOSE(CONTROL!$C$15, $E$9, 100%, $G$9) + CHOOSE(CONTROL!$C$38, 0.0342, 0)</f>
        <v>31.1707</v>
      </c>
      <c r="H371" s="17">
        <f>31.1365 * CHOOSE(CONTROL!$C$15, $E$9, 100%, $G$9) + CHOOSE(CONTROL!$C$38, 0.0342, 0)</f>
        <v>31.1707</v>
      </c>
      <c r="I371" s="17">
        <f>31.1381 * CHOOSE(CONTROL!$C$15, $E$9, 100%, $G$9) + CHOOSE(CONTROL!$C$38, 0.0342, 0)</f>
        <v>31.1723</v>
      </c>
      <c r="J371" s="44">
        <f>211.0779</f>
        <v>211.0779</v>
      </c>
    </row>
    <row r="372" spans="1:10" ht="15.75" x14ac:dyDescent="0.25">
      <c r="A372" s="14">
        <v>52262</v>
      </c>
      <c r="B372" s="17">
        <f>34.362 * CHOOSE(CONTROL!$C$15, $E$9, 100%, $G$9) + CHOOSE(CONTROL!$C$38, 0.034, 0)</f>
        <v>34.396000000000001</v>
      </c>
      <c r="C372" s="17">
        <f>32.3729 * CHOOSE(CONTROL!$C$15, $E$9, 100%, $G$9) + CHOOSE(CONTROL!$C$38, 0.0342, 0)</f>
        <v>32.4071</v>
      </c>
      <c r="D372" s="17">
        <f>32.3651 * CHOOSE(CONTROL!$C$15, $E$9, 100%, $G$9) + CHOOSE(CONTROL!$C$38, 0.0342, 0)</f>
        <v>32.399299999999997</v>
      </c>
      <c r="E372" s="17">
        <f>32.3651 * CHOOSE(CONTROL!$C$15, $E$9, 100%, $G$9) + CHOOSE(CONTROL!$C$38, 0.0342, 0)</f>
        <v>32.399299999999997</v>
      </c>
      <c r="F372" s="45">
        <f>34.362 * CHOOSE(CONTROL!$C$15, $E$9, 100%, $G$9) + CHOOSE(CONTROL!$C$38, 0.034, 0)</f>
        <v>34.396000000000001</v>
      </c>
      <c r="G372" s="17">
        <f>32.3713 * CHOOSE(CONTROL!$C$15, $E$9, 100%, $G$9) + CHOOSE(CONTROL!$C$38, 0.0342, 0)</f>
        <v>32.405499999999996</v>
      </c>
      <c r="H372" s="17">
        <f>32.3713 * CHOOSE(CONTROL!$C$15, $E$9, 100%, $G$9) + CHOOSE(CONTROL!$C$38, 0.0342, 0)</f>
        <v>32.405499999999996</v>
      </c>
      <c r="I372" s="17">
        <f>32.3729 * CHOOSE(CONTROL!$C$15, $E$9, 100%, $G$9) + CHOOSE(CONTROL!$C$38, 0.0342, 0)</f>
        <v>32.4071</v>
      </c>
      <c r="J372" s="44">
        <f>210.9255</f>
        <v>210.9255</v>
      </c>
    </row>
    <row r="373" spans="1:10" ht="15.75" x14ac:dyDescent="0.25">
      <c r="A373" s="14">
        <v>52290</v>
      </c>
      <c r="B373" s="17">
        <f>34.7064 * CHOOSE(CONTROL!$C$15, $E$9, 100%, $G$9) + CHOOSE(CONTROL!$C$38, 0.034, 0)</f>
        <v>34.740400000000001</v>
      </c>
      <c r="C373" s="17">
        <f>32.7172 * CHOOSE(CONTROL!$C$15, $E$9, 100%, $G$9) + CHOOSE(CONTROL!$C$38, 0.0342, 0)</f>
        <v>32.751399999999997</v>
      </c>
      <c r="D373" s="17">
        <f>32.7094 * CHOOSE(CONTROL!$C$15, $E$9, 100%, $G$9) + CHOOSE(CONTROL!$C$38, 0.0342, 0)</f>
        <v>32.743600000000001</v>
      </c>
      <c r="E373" s="17">
        <f>32.7094 * CHOOSE(CONTROL!$C$15, $E$9, 100%, $G$9) + CHOOSE(CONTROL!$C$38, 0.0342, 0)</f>
        <v>32.743600000000001</v>
      </c>
      <c r="F373" s="45">
        <f>34.7064 * CHOOSE(CONTROL!$C$15, $E$9, 100%, $G$9) + CHOOSE(CONTROL!$C$38, 0.034, 0)</f>
        <v>34.740400000000001</v>
      </c>
      <c r="G373" s="17">
        <f>32.7157 * CHOOSE(CONTROL!$C$15, $E$9, 100%, $G$9) + CHOOSE(CONTROL!$C$38, 0.0342, 0)</f>
        <v>32.749899999999997</v>
      </c>
      <c r="H373" s="17">
        <f>32.7157 * CHOOSE(CONTROL!$C$15, $E$9, 100%, $G$9) + CHOOSE(CONTROL!$C$38, 0.0342, 0)</f>
        <v>32.749899999999997</v>
      </c>
      <c r="I373" s="17">
        <f>32.7172 * CHOOSE(CONTROL!$C$15, $E$9, 100%, $G$9) + CHOOSE(CONTROL!$C$38, 0.0342, 0)</f>
        <v>32.751399999999997</v>
      </c>
      <c r="J373" s="44">
        <f>210.3392</f>
        <v>210.33920000000001</v>
      </c>
    </row>
    <row r="374" spans="1:10" ht="15.75" x14ac:dyDescent="0.25">
      <c r="A374" s="14">
        <v>52321</v>
      </c>
      <c r="B374" s="17">
        <f>33.9093 * CHOOSE(CONTROL!$C$15, $E$9, 100%, $G$9) + CHOOSE(CONTROL!$C$38, 0.034, 0)</f>
        <v>33.943300000000001</v>
      </c>
      <c r="C374" s="17">
        <f>31.9202 * CHOOSE(CONTROL!$C$15, $E$9, 100%, $G$9) + CHOOSE(CONTROL!$C$38, 0.0342, 0)</f>
        <v>31.9544</v>
      </c>
      <c r="D374" s="17">
        <f>31.9124 * CHOOSE(CONTROL!$C$15, $E$9, 100%, $G$9) + CHOOSE(CONTROL!$C$38, 0.0342, 0)</f>
        <v>31.9466</v>
      </c>
      <c r="E374" s="17">
        <f>31.9124 * CHOOSE(CONTROL!$C$15, $E$9, 100%, $G$9) + CHOOSE(CONTROL!$C$38, 0.0342, 0)</f>
        <v>31.9466</v>
      </c>
      <c r="F374" s="45">
        <f>33.9093 * CHOOSE(CONTROL!$C$15, $E$9, 100%, $G$9) + CHOOSE(CONTROL!$C$38, 0.034, 0)</f>
        <v>33.943300000000001</v>
      </c>
      <c r="G374" s="17">
        <f>31.9186 * CHOOSE(CONTROL!$C$15, $E$9, 100%, $G$9) + CHOOSE(CONTROL!$C$38, 0.0342, 0)</f>
        <v>31.9528</v>
      </c>
      <c r="H374" s="17">
        <f>31.9186 * CHOOSE(CONTROL!$C$15, $E$9, 100%, $G$9) + CHOOSE(CONTROL!$C$38, 0.0342, 0)</f>
        <v>31.9528</v>
      </c>
      <c r="I374" s="17">
        <f>31.9202 * CHOOSE(CONTROL!$C$15, $E$9, 100%, $G$9) + CHOOSE(CONTROL!$C$38, 0.0342, 0)</f>
        <v>31.9544</v>
      </c>
      <c r="J374" s="44">
        <f>221.4253</f>
        <v>221.42529999999999</v>
      </c>
    </row>
    <row r="375" spans="1:10" ht="15.75" x14ac:dyDescent="0.25">
      <c r="A375" s="14">
        <v>52351</v>
      </c>
      <c r="B375" s="17">
        <f>33.137 * CHOOSE(CONTROL!$C$15, $E$9, 100%, $G$9) + CHOOSE(CONTROL!$C$38, 0.034, 0)</f>
        <v>33.170999999999999</v>
      </c>
      <c r="C375" s="17">
        <f>31.1479 * CHOOSE(CONTROL!$C$15, $E$9, 100%, $G$9) + CHOOSE(CONTROL!$C$38, 0.0342, 0)</f>
        <v>31.182099999999998</v>
      </c>
      <c r="D375" s="17">
        <f>31.1401 * CHOOSE(CONTROL!$C$15, $E$9, 100%, $G$9) + CHOOSE(CONTROL!$C$38, 0.0342, 0)</f>
        <v>31.174299999999999</v>
      </c>
      <c r="E375" s="17">
        <f>31.1401 * CHOOSE(CONTROL!$C$15, $E$9, 100%, $G$9) + CHOOSE(CONTROL!$C$38, 0.0342, 0)</f>
        <v>31.174299999999999</v>
      </c>
      <c r="F375" s="45">
        <f>33.137 * CHOOSE(CONTROL!$C$15, $E$9, 100%, $G$9) + CHOOSE(CONTROL!$C$38, 0.034, 0)</f>
        <v>33.170999999999999</v>
      </c>
      <c r="G375" s="17">
        <f>31.1463 * CHOOSE(CONTROL!$C$15, $E$9, 100%, $G$9) + CHOOSE(CONTROL!$C$38, 0.0342, 0)</f>
        <v>31.180499999999999</v>
      </c>
      <c r="H375" s="17">
        <f>31.1463 * CHOOSE(CONTROL!$C$15, $E$9, 100%, $G$9) + CHOOSE(CONTROL!$C$38, 0.0342, 0)</f>
        <v>31.180499999999999</v>
      </c>
      <c r="I375" s="17">
        <f>31.1479 * CHOOSE(CONTROL!$C$15, $E$9, 100%, $G$9) + CHOOSE(CONTROL!$C$38, 0.0342, 0)</f>
        <v>31.182099999999998</v>
      </c>
      <c r="J375" s="44">
        <f>235.8013</f>
        <v>235.8013</v>
      </c>
    </row>
    <row r="376" spans="1:10" ht="15.75" x14ac:dyDescent="0.25">
      <c r="A376" s="14">
        <v>52382</v>
      </c>
      <c r="B376" s="17">
        <f>32.3321 * CHOOSE(CONTROL!$C$15, $E$9, 100%, $G$9) + CHOOSE(CONTROL!$C$38, 0.0353, 0)</f>
        <v>32.367399999999996</v>
      </c>
      <c r="C376" s="17">
        <f>30.3429 * CHOOSE(CONTROL!$C$15, $E$9, 100%, $G$9) + CHOOSE(CONTROL!$C$38, 0.0354, 0)</f>
        <v>30.378299999999999</v>
      </c>
      <c r="D376" s="17">
        <f>30.3351 * CHOOSE(CONTROL!$C$15, $E$9, 100%, $G$9) + CHOOSE(CONTROL!$C$38, 0.0354, 0)</f>
        <v>30.3705</v>
      </c>
      <c r="E376" s="17">
        <f>30.3351 * CHOOSE(CONTROL!$C$15, $E$9, 100%, $G$9) + CHOOSE(CONTROL!$C$38, 0.0354, 0)</f>
        <v>30.3705</v>
      </c>
      <c r="F376" s="45">
        <f>32.3321 * CHOOSE(CONTROL!$C$15, $E$9, 100%, $G$9) + CHOOSE(CONTROL!$C$38, 0.0353, 0)</f>
        <v>32.367399999999996</v>
      </c>
      <c r="G376" s="17">
        <f>30.3414 * CHOOSE(CONTROL!$C$15, $E$9, 100%, $G$9) + CHOOSE(CONTROL!$C$38, 0.0354, 0)</f>
        <v>30.376799999999999</v>
      </c>
      <c r="H376" s="17">
        <f>30.3414 * CHOOSE(CONTROL!$C$15, $E$9, 100%, $G$9) + CHOOSE(CONTROL!$C$38, 0.0354, 0)</f>
        <v>30.376799999999999</v>
      </c>
      <c r="I376" s="17">
        <f>30.3429 * CHOOSE(CONTROL!$C$15, $E$9, 100%, $G$9) + CHOOSE(CONTROL!$C$38, 0.0354, 0)</f>
        <v>30.378299999999999</v>
      </c>
      <c r="J376" s="44">
        <f>243.7144</f>
        <v>243.71440000000001</v>
      </c>
    </row>
    <row r="377" spans="1:10" ht="15.75" x14ac:dyDescent="0.25">
      <c r="A377" s="14">
        <v>52412</v>
      </c>
      <c r="B377" s="17">
        <f>31.7677 * CHOOSE(CONTROL!$C$15, $E$9, 100%, $G$9) + CHOOSE(CONTROL!$C$38, 0.0353, 0)</f>
        <v>31.803000000000001</v>
      </c>
      <c r="C377" s="17">
        <f>29.7786 * CHOOSE(CONTROL!$C$15, $E$9, 100%, $G$9) + CHOOSE(CONTROL!$C$38, 0.0354, 0)</f>
        <v>29.814</v>
      </c>
      <c r="D377" s="17">
        <f>29.7708 * CHOOSE(CONTROL!$C$15, $E$9, 100%, $G$9) + CHOOSE(CONTROL!$C$38, 0.0354, 0)</f>
        <v>29.8062</v>
      </c>
      <c r="E377" s="17">
        <f>29.7708 * CHOOSE(CONTROL!$C$15, $E$9, 100%, $G$9) + CHOOSE(CONTROL!$C$38, 0.0354, 0)</f>
        <v>29.8062</v>
      </c>
      <c r="F377" s="45">
        <f>31.7677 * CHOOSE(CONTROL!$C$15, $E$9, 100%, $G$9) + CHOOSE(CONTROL!$C$38, 0.0353, 0)</f>
        <v>31.803000000000001</v>
      </c>
      <c r="G377" s="17">
        <f>29.777 * CHOOSE(CONTROL!$C$15, $E$9, 100%, $G$9) + CHOOSE(CONTROL!$C$38, 0.0354, 0)</f>
        <v>29.8124</v>
      </c>
      <c r="H377" s="17">
        <f>29.777 * CHOOSE(CONTROL!$C$15, $E$9, 100%, $G$9) + CHOOSE(CONTROL!$C$38, 0.0354, 0)</f>
        <v>29.8124</v>
      </c>
      <c r="I377" s="17">
        <f>29.7786 * CHOOSE(CONTROL!$C$15, $E$9, 100%, $G$9) + CHOOSE(CONTROL!$C$38, 0.0354, 0)</f>
        <v>29.814</v>
      </c>
      <c r="J377" s="44">
        <f>247.226</f>
        <v>247.226</v>
      </c>
    </row>
    <row r="378" spans="1:10" ht="15.75" x14ac:dyDescent="0.25">
      <c r="A378" s="14">
        <v>52443</v>
      </c>
      <c r="B378" s="17">
        <f>31.4457 * CHOOSE(CONTROL!$C$15, $E$9, 100%, $G$9) + CHOOSE(CONTROL!$C$38, 0.0353, 0)</f>
        <v>31.480999999999998</v>
      </c>
      <c r="C378" s="17">
        <f>29.4565 * CHOOSE(CONTROL!$C$15, $E$9, 100%, $G$9) + CHOOSE(CONTROL!$C$38, 0.0354, 0)</f>
        <v>29.491899999999998</v>
      </c>
      <c r="D378" s="17">
        <f>29.4487 * CHOOSE(CONTROL!$C$15, $E$9, 100%, $G$9) + CHOOSE(CONTROL!$C$38, 0.0354, 0)</f>
        <v>29.484099999999998</v>
      </c>
      <c r="E378" s="17">
        <f>29.4487 * CHOOSE(CONTROL!$C$15, $E$9, 100%, $G$9) + CHOOSE(CONTROL!$C$38, 0.0354, 0)</f>
        <v>29.484099999999998</v>
      </c>
      <c r="F378" s="45">
        <f>31.4457 * CHOOSE(CONTROL!$C$15, $E$9, 100%, $G$9) + CHOOSE(CONTROL!$C$38, 0.0353, 0)</f>
        <v>31.480999999999998</v>
      </c>
      <c r="G378" s="17">
        <f>29.455 * CHOOSE(CONTROL!$C$15, $E$9, 100%, $G$9) + CHOOSE(CONTROL!$C$38, 0.0354, 0)</f>
        <v>29.490399999999998</v>
      </c>
      <c r="H378" s="17">
        <f>29.455 * CHOOSE(CONTROL!$C$15, $E$9, 100%, $G$9) + CHOOSE(CONTROL!$C$38, 0.0354, 0)</f>
        <v>29.490399999999998</v>
      </c>
      <c r="I378" s="17">
        <f>29.4565 * CHOOSE(CONTROL!$C$15, $E$9, 100%, $G$9) + CHOOSE(CONTROL!$C$38, 0.0354, 0)</f>
        <v>29.491899999999998</v>
      </c>
      <c r="J378" s="44">
        <f>246.0698</f>
        <v>246.06979999999999</v>
      </c>
    </row>
    <row r="379" spans="1:10" ht="15.75" x14ac:dyDescent="0.25">
      <c r="A379" s="14">
        <v>52474</v>
      </c>
      <c r="B379" s="17">
        <f>31.6046 * CHOOSE(CONTROL!$C$15, $E$9, 100%, $G$9) + CHOOSE(CONTROL!$C$38, 0.0353, 0)</f>
        <v>31.639900000000001</v>
      </c>
      <c r="C379" s="17">
        <f>29.6155 * CHOOSE(CONTROL!$C$15, $E$9, 100%, $G$9) + CHOOSE(CONTROL!$C$38, 0.0354, 0)</f>
        <v>29.6509</v>
      </c>
      <c r="D379" s="17">
        <f>29.6077 * CHOOSE(CONTROL!$C$15, $E$9, 100%, $G$9) + CHOOSE(CONTROL!$C$38, 0.0354, 0)</f>
        <v>29.6431</v>
      </c>
      <c r="E379" s="17">
        <f>29.6077 * CHOOSE(CONTROL!$C$15, $E$9, 100%, $G$9) + CHOOSE(CONTROL!$C$38, 0.0354, 0)</f>
        <v>29.6431</v>
      </c>
      <c r="F379" s="45">
        <f>31.6046 * CHOOSE(CONTROL!$C$15, $E$9, 100%, $G$9) + CHOOSE(CONTROL!$C$38, 0.0353, 0)</f>
        <v>31.639900000000001</v>
      </c>
      <c r="G379" s="17">
        <f>29.6139 * CHOOSE(CONTROL!$C$15, $E$9, 100%, $G$9) + CHOOSE(CONTROL!$C$38, 0.0354, 0)</f>
        <v>29.6493</v>
      </c>
      <c r="H379" s="17">
        <f>29.6139 * CHOOSE(CONTROL!$C$15, $E$9, 100%, $G$9) + CHOOSE(CONTROL!$C$38, 0.0354, 0)</f>
        <v>29.6493</v>
      </c>
      <c r="I379" s="17">
        <f>29.6155 * CHOOSE(CONTROL!$C$15, $E$9, 100%, $G$9) + CHOOSE(CONTROL!$C$38, 0.0354, 0)</f>
        <v>29.6509</v>
      </c>
      <c r="J379" s="44">
        <f>240.3414</f>
        <v>240.34139999999999</v>
      </c>
    </row>
    <row r="380" spans="1:10" ht="15.75" x14ac:dyDescent="0.25">
      <c r="A380" s="14">
        <v>52504</v>
      </c>
      <c r="B380" s="17">
        <f>32.0363 * CHOOSE(CONTROL!$C$15, $E$9, 100%, $G$9) + CHOOSE(CONTROL!$C$38, 0.0353, 0)</f>
        <v>32.071599999999997</v>
      </c>
      <c r="C380" s="17">
        <f>30.0472 * CHOOSE(CONTROL!$C$15, $E$9, 100%, $G$9) + CHOOSE(CONTROL!$C$38, 0.0354, 0)</f>
        <v>30.082599999999999</v>
      </c>
      <c r="D380" s="17">
        <f>30.0394 * CHOOSE(CONTROL!$C$15, $E$9, 100%, $G$9) + CHOOSE(CONTROL!$C$38, 0.0354, 0)</f>
        <v>30.0748</v>
      </c>
      <c r="E380" s="17">
        <f>30.0394 * CHOOSE(CONTROL!$C$15, $E$9, 100%, $G$9) + CHOOSE(CONTROL!$C$38, 0.0354, 0)</f>
        <v>30.0748</v>
      </c>
      <c r="F380" s="45">
        <f>32.0363 * CHOOSE(CONTROL!$C$15, $E$9, 100%, $G$9) + CHOOSE(CONTROL!$C$38, 0.0353, 0)</f>
        <v>32.071599999999997</v>
      </c>
      <c r="G380" s="17">
        <f>30.0456 * CHOOSE(CONTROL!$C$15, $E$9, 100%, $G$9) + CHOOSE(CONTROL!$C$38, 0.0354, 0)</f>
        <v>30.081</v>
      </c>
      <c r="H380" s="17">
        <f>30.0456 * CHOOSE(CONTROL!$C$15, $E$9, 100%, $G$9) + CHOOSE(CONTROL!$C$38, 0.0354, 0)</f>
        <v>30.081</v>
      </c>
      <c r="I380" s="17">
        <f>30.0472 * CHOOSE(CONTROL!$C$15, $E$9, 100%, $G$9) + CHOOSE(CONTROL!$C$38, 0.0354, 0)</f>
        <v>30.082599999999999</v>
      </c>
      <c r="J380" s="44">
        <f>232.3529</f>
        <v>232.35290000000001</v>
      </c>
    </row>
    <row r="381" spans="1:10" ht="15.75" x14ac:dyDescent="0.25">
      <c r="A381" s="14">
        <v>52535</v>
      </c>
      <c r="B381" s="17">
        <f>32.3979 * CHOOSE(CONTROL!$C$15, $E$9, 100%, $G$9) + CHOOSE(CONTROL!$C$38, 0.034, 0)</f>
        <v>32.431899999999999</v>
      </c>
      <c r="C381" s="17">
        <f>30.4087 * CHOOSE(CONTROL!$C$15, $E$9, 100%, $G$9) + CHOOSE(CONTROL!$C$38, 0.0342, 0)</f>
        <v>30.442899999999998</v>
      </c>
      <c r="D381" s="17">
        <f>30.4009 * CHOOSE(CONTROL!$C$15, $E$9, 100%, $G$9) + CHOOSE(CONTROL!$C$38, 0.0342, 0)</f>
        <v>30.435099999999998</v>
      </c>
      <c r="E381" s="17">
        <f>30.4009 * CHOOSE(CONTROL!$C$15, $E$9, 100%, $G$9) + CHOOSE(CONTROL!$C$38, 0.0342, 0)</f>
        <v>30.435099999999998</v>
      </c>
      <c r="F381" s="45">
        <f>32.3979 * CHOOSE(CONTROL!$C$15, $E$9, 100%, $G$9) + CHOOSE(CONTROL!$C$38, 0.034, 0)</f>
        <v>32.431899999999999</v>
      </c>
      <c r="G381" s="17">
        <f>30.4072 * CHOOSE(CONTROL!$C$15, $E$9, 100%, $G$9) + CHOOSE(CONTROL!$C$38, 0.0342, 0)</f>
        <v>30.441399999999998</v>
      </c>
      <c r="H381" s="17">
        <f>30.4072 * CHOOSE(CONTROL!$C$15, $E$9, 100%, $G$9) + CHOOSE(CONTROL!$C$38, 0.0342, 0)</f>
        <v>30.441399999999998</v>
      </c>
      <c r="I381" s="17">
        <f>30.4087 * CHOOSE(CONTROL!$C$15, $E$9, 100%, $G$9) + CHOOSE(CONTROL!$C$38, 0.0342, 0)</f>
        <v>30.442899999999998</v>
      </c>
      <c r="J381" s="44">
        <f>224.3179</f>
        <v>224.31790000000001</v>
      </c>
    </row>
    <row r="382" spans="1:10" ht="15.75" x14ac:dyDescent="0.25">
      <c r="A382" s="14">
        <v>52565</v>
      </c>
      <c r="B382" s="17">
        <f>32.6996 * CHOOSE(CONTROL!$C$15, $E$9, 100%, $G$9) + CHOOSE(CONTROL!$C$38, 0.034, 0)</f>
        <v>32.733599999999996</v>
      </c>
      <c r="C382" s="17">
        <f>30.7104 * CHOOSE(CONTROL!$C$15, $E$9, 100%, $G$9) + CHOOSE(CONTROL!$C$38, 0.0342, 0)</f>
        <v>30.744599999999998</v>
      </c>
      <c r="D382" s="17">
        <f>30.7026 * CHOOSE(CONTROL!$C$15, $E$9, 100%, $G$9) + CHOOSE(CONTROL!$C$38, 0.0342, 0)</f>
        <v>30.736799999999999</v>
      </c>
      <c r="E382" s="17">
        <f>30.7026 * CHOOSE(CONTROL!$C$15, $E$9, 100%, $G$9) + CHOOSE(CONTROL!$C$38, 0.0342, 0)</f>
        <v>30.736799999999999</v>
      </c>
      <c r="F382" s="45">
        <f>32.6996 * CHOOSE(CONTROL!$C$15, $E$9, 100%, $G$9) + CHOOSE(CONTROL!$C$38, 0.034, 0)</f>
        <v>32.733599999999996</v>
      </c>
      <c r="G382" s="17">
        <f>30.7089 * CHOOSE(CONTROL!$C$15, $E$9, 100%, $G$9) + CHOOSE(CONTROL!$C$38, 0.0342, 0)</f>
        <v>30.743099999999998</v>
      </c>
      <c r="H382" s="17">
        <f>30.7089 * CHOOSE(CONTROL!$C$15, $E$9, 100%, $G$9) + CHOOSE(CONTROL!$C$38, 0.0342, 0)</f>
        <v>30.743099999999998</v>
      </c>
      <c r="I382" s="17">
        <f>30.7104 * CHOOSE(CONTROL!$C$15, $E$9, 100%, $G$9) + CHOOSE(CONTROL!$C$38, 0.0342, 0)</f>
        <v>30.744599999999998</v>
      </c>
      <c r="J382" s="44">
        <f>222.7196</f>
        <v>222.71960000000001</v>
      </c>
    </row>
    <row r="383" spans="1:10" ht="15.75" x14ac:dyDescent="0.25">
      <c r="A383" s="14">
        <v>52596</v>
      </c>
      <c r="B383" s="17">
        <f>33.6292 * CHOOSE(CONTROL!$C$15, $E$9, 100%, $G$9) + CHOOSE(CONTROL!$C$38, 0.034, 0)</f>
        <v>33.663199999999996</v>
      </c>
      <c r="C383" s="17">
        <f>31.6401 * CHOOSE(CONTROL!$C$15, $E$9, 100%, $G$9) + CHOOSE(CONTROL!$C$38, 0.0342, 0)</f>
        <v>31.674299999999999</v>
      </c>
      <c r="D383" s="17">
        <f>31.6323 * CHOOSE(CONTROL!$C$15, $E$9, 100%, $G$9) + CHOOSE(CONTROL!$C$38, 0.0342, 0)</f>
        <v>31.666499999999999</v>
      </c>
      <c r="E383" s="17">
        <f>31.6323 * CHOOSE(CONTROL!$C$15, $E$9, 100%, $G$9) + CHOOSE(CONTROL!$C$38, 0.0342, 0)</f>
        <v>31.666499999999999</v>
      </c>
      <c r="F383" s="45">
        <f>33.6292 * CHOOSE(CONTROL!$C$15, $E$9, 100%, $G$9) + CHOOSE(CONTROL!$C$38, 0.034, 0)</f>
        <v>33.663199999999996</v>
      </c>
      <c r="G383" s="17">
        <f>31.6385 * CHOOSE(CONTROL!$C$15, $E$9, 100%, $G$9) + CHOOSE(CONTROL!$C$38, 0.0342, 0)</f>
        <v>31.672699999999999</v>
      </c>
      <c r="H383" s="17">
        <f>31.6385 * CHOOSE(CONTROL!$C$15, $E$9, 100%, $G$9) + CHOOSE(CONTROL!$C$38, 0.0342, 0)</f>
        <v>31.672699999999999</v>
      </c>
      <c r="I383" s="17">
        <f>31.6401 * CHOOSE(CONTROL!$C$15, $E$9, 100%, $G$9) + CHOOSE(CONTROL!$C$38, 0.0342, 0)</f>
        <v>31.674299999999999</v>
      </c>
      <c r="J383" s="44">
        <f>216.1103</f>
        <v>216.1103</v>
      </c>
    </row>
    <row r="384" spans="1:10" ht="15.75" x14ac:dyDescent="0.25">
      <c r="A384" s="14">
        <v>52627</v>
      </c>
      <c r="B384" s="17">
        <f>34.9033 * CHOOSE(CONTROL!$C$15, $E$9, 100%, $G$9) + CHOOSE(CONTROL!$C$38, 0.034, 0)</f>
        <v>34.9373</v>
      </c>
      <c r="C384" s="17">
        <f>32.8834 * CHOOSE(CONTROL!$C$15, $E$9, 100%, $G$9) + CHOOSE(CONTROL!$C$38, 0.0342, 0)</f>
        <v>32.9176</v>
      </c>
      <c r="D384" s="17">
        <f>32.8756 * CHOOSE(CONTROL!$C$15, $E$9, 100%, $G$9) + CHOOSE(CONTROL!$C$38, 0.0342, 0)</f>
        <v>32.909799999999997</v>
      </c>
      <c r="E384" s="17">
        <f>32.8756 * CHOOSE(CONTROL!$C$15, $E$9, 100%, $G$9) + CHOOSE(CONTROL!$C$38, 0.0342, 0)</f>
        <v>32.909799999999997</v>
      </c>
      <c r="F384" s="45">
        <f>34.9033 * CHOOSE(CONTROL!$C$15, $E$9, 100%, $G$9) + CHOOSE(CONTROL!$C$38, 0.034, 0)</f>
        <v>34.9373</v>
      </c>
      <c r="G384" s="17">
        <f>32.8818 * CHOOSE(CONTROL!$C$15, $E$9, 100%, $G$9) + CHOOSE(CONTROL!$C$38, 0.0342, 0)</f>
        <v>32.915999999999997</v>
      </c>
      <c r="H384" s="17">
        <f>32.8818 * CHOOSE(CONTROL!$C$15, $E$9, 100%, $G$9) + CHOOSE(CONTROL!$C$38, 0.0342, 0)</f>
        <v>32.915999999999997</v>
      </c>
      <c r="I384" s="17">
        <f>32.8834 * CHOOSE(CONTROL!$C$15, $E$9, 100%, $G$9) + CHOOSE(CONTROL!$C$38, 0.0342, 0)</f>
        <v>32.9176</v>
      </c>
      <c r="J384" s="44">
        <f>215.9543</f>
        <v>215.95429999999999</v>
      </c>
    </row>
    <row r="385" spans="1:10" ht="15.75" x14ac:dyDescent="0.25">
      <c r="A385" s="14">
        <v>52655</v>
      </c>
      <c r="B385" s="17">
        <f>35.2476 * CHOOSE(CONTROL!$C$15, $E$9, 100%, $G$9) + CHOOSE(CONTROL!$C$38, 0.034, 0)</f>
        <v>35.281599999999997</v>
      </c>
      <c r="C385" s="17">
        <f>33.2277 * CHOOSE(CONTROL!$C$15, $E$9, 100%, $G$9) + CHOOSE(CONTROL!$C$38, 0.0342, 0)</f>
        <v>33.261899999999997</v>
      </c>
      <c r="D385" s="17">
        <f>33.2199 * CHOOSE(CONTROL!$C$15, $E$9, 100%, $G$9) + CHOOSE(CONTROL!$C$38, 0.0342, 0)</f>
        <v>33.254100000000001</v>
      </c>
      <c r="E385" s="17">
        <f>33.2199 * CHOOSE(CONTROL!$C$15, $E$9, 100%, $G$9) + CHOOSE(CONTROL!$C$38, 0.0342, 0)</f>
        <v>33.254100000000001</v>
      </c>
      <c r="F385" s="45">
        <f>35.2476 * CHOOSE(CONTROL!$C$15, $E$9, 100%, $G$9) + CHOOSE(CONTROL!$C$38, 0.034, 0)</f>
        <v>35.281599999999997</v>
      </c>
      <c r="G385" s="17">
        <f>33.2261 * CHOOSE(CONTROL!$C$15, $E$9, 100%, $G$9) + CHOOSE(CONTROL!$C$38, 0.0342, 0)</f>
        <v>33.260300000000001</v>
      </c>
      <c r="H385" s="17">
        <f>33.2261 * CHOOSE(CONTROL!$C$15, $E$9, 100%, $G$9) + CHOOSE(CONTROL!$C$38, 0.0342, 0)</f>
        <v>33.260300000000001</v>
      </c>
      <c r="I385" s="17">
        <f>33.2277 * CHOOSE(CONTROL!$C$15, $E$9, 100%, $G$9) + CHOOSE(CONTROL!$C$38, 0.0342, 0)</f>
        <v>33.261899999999997</v>
      </c>
      <c r="J385" s="44">
        <f>215.354</f>
        <v>215.35400000000001</v>
      </c>
    </row>
    <row r="386" spans="1:10" ht="15.75" x14ac:dyDescent="0.25">
      <c r="A386" s="14">
        <v>52687</v>
      </c>
      <c r="B386" s="17">
        <f>34.4506 * CHOOSE(CONTROL!$C$15, $E$9, 100%, $G$9) + CHOOSE(CONTROL!$C$38, 0.034, 0)</f>
        <v>34.4846</v>
      </c>
      <c r="C386" s="17">
        <f>32.4307 * CHOOSE(CONTROL!$C$15, $E$9, 100%, $G$9) + CHOOSE(CONTROL!$C$38, 0.0342, 0)</f>
        <v>32.4649</v>
      </c>
      <c r="D386" s="17">
        <f>32.4228 * CHOOSE(CONTROL!$C$15, $E$9, 100%, $G$9) + CHOOSE(CONTROL!$C$38, 0.0342, 0)</f>
        <v>32.457000000000001</v>
      </c>
      <c r="E386" s="17">
        <f>32.4228 * CHOOSE(CONTROL!$C$15, $E$9, 100%, $G$9) + CHOOSE(CONTROL!$C$38, 0.0342, 0)</f>
        <v>32.457000000000001</v>
      </c>
      <c r="F386" s="45">
        <f>34.4506 * CHOOSE(CONTROL!$C$15, $E$9, 100%, $G$9) + CHOOSE(CONTROL!$C$38, 0.034, 0)</f>
        <v>34.4846</v>
      </c>
      <c r="G386" s="17">
        <f>32.4291 * CHOOSE(CONTROL!$C$15, $E$9, 100%, $G$9) + CHOOSE(CONTROL!$C$38, 0.0342, 0)</f>
        <v>32.463299999999997</v>
      </c>
      <c r="H386" s="17">
        <f>32.4291 * CHOOSE(CONTROL!$C$15, $E$9, 100%, $G$9) + CHOOSE(CONTROL!$C$38, 0.0342, 0)</f>
        <v>32.463299999999997</v>
      </c>
      <c r="I386" s="17">
        <f>32.4307 * CHOOSE(CONTROL!$C$15, $E$9, 100%, $G$9) + CHOOSE(CONTROL!$C$38, 0.0342, 0)</f>
        <v>32.4649</v>
      </c>
      <c r="J386" s="44">
        <f>226.7044</f>
        <v>226.70439999999999</v>
      </c>
    </row>
    <row r="387" spans="1:10" ht="15.75" x14ac:dyDescent="0.25">
      <c r="A387" s="14">
        <v>52717</v>
      </c>
      <c r="B387" s="17">
        <f>33.6783 * CHOOSE(CONTROL!$C$15, $E$9, 100%, $G$9) + CHOOSE(CONTROL!$C$38, 0.034, 0)</f>
        <v>33.712299999999999</v>
      </c>
      <c r="C387" s="17">
        <f>31.6583 * CHOOSE(CONTROL!$C$15, $E$9, 100%, $G$9) + CHOOSE(CONTROL!$C$38, 0.0342, 0)</f>
        <v>31.692499999999999</v>
      </c>
      <c r="D387" s="17">
        <f>31.6505 * CHOOSE(CONTROL!$C$15, $E$9, 100%, $G$9) + CHOOSE(CONTROL!$C$38, 0.0342, 0)</f>
        <v>31.684699999999999</v>
      </c>
      <c r="E387" s="17">
        <f>31.6505 * CHOOSE(CONTROL!$C$15, $E$9, 100%, $G$9) + CHOOSE(CONTROL!$C$38, 0.0342, 0)</f>
        <v>31.684699999999999</v>
      </c>
      <c r="F387" s="45">
        <f>33.6783 * CHOOSE(CONTROL!$C$15, $E$9, 100%, $G$9) + CHOOSE(CONTROL!$C$38, 0.034, 0)</f>
        <v>33.712299999999999</v>
      </c>
      <c r="G387" s="17">
        <f>31.6568 * CHOOSE(CONTROL!$C$15, $E$9, 100%, $G$9) + CHOOSE(CONTROL!$C$38, 0.0342, 0)</f>
        <v>31.690999999999999</v>
      </c>
      <c r="H387" s="17">
        <f>31.6568 * CHOOSE(CONTROL!$C$15, $E$9, 100%, $G$9) + CHOOSE(CONTROL!$C$38, 0.0342, 0)</f>
        <v>31.690999999999999</v>
      </c>
      <c r="I387" s="17">
        <f>31.6583 * CHOOSE(CONTROL!$C$15, $E$9, 100%, $G$9) + CHOOSE(CONTROL!$C$38, 0.0342, 0)</f>
        <v>31.692499999999999</v>
      </c>
      <c r="J387" s="44">
        <f>241.4232</f>
        <v>241.42320000000001</v>
      </c>
    </row>
    <row r="388" spans="1:10" ht="15.75" x14ac:dyDescent="0.25">
      <c r="A388" s="14">
        <v>52748</v>
      </c>
      <c r="B388" s="17">
        <f>32.8733 * CHOOSE(CONTROL!$C$15, $E$9, 100%, $G$9) + CHOOSE(CONTROL!$C$38, 0.0353, 0)</f>
        <v>32.9086</v>
      </c>
      <c r="C388" s="17">
        <f>30.8534 * CHOOSE(CONTROL!$C$15, $E$9, 100%, $G$9) + CHOOSE(CONTROL!$C$38, 0.0354, 0)</f>
        <v>30.8888</v>
      </c>
      <c r="D388" s="17">
        <f>30.8456 * CHOOSE(CONTROL!$C$15, $E$9, 100%, $G$9) + CHOOSE(CONTROL!$C$38, 0.0354, 0)</f>
        <v>30.881</v>
      </c>
      <c r="E388" s="17">
        <f>30.8456 * CHOOSE(CONTROL!$C$15, $E$9, 100%, $G$9) + CHOOSE(CONTROL!$C$38, 0.0354, 0)</f>
        <v>30.881</v>
      </c>
      <c r="F388" s="45">
        <f>32.8733 * CHOOSE(CONTROL!$C$15, $E$9, 100%, $G$9) + CHOOSE(CONTROL!$C$38, 0.0353, 0)</f>
        <v>32.9086</v>
      </c>
      <c r="G388" s="17">
        <f>30.8518 * CHOOSE(CONTROL!$C$15, $E$9, 100%, $G$9) + CHOOSE(CONTROL!$C$38, 0.0354, 0)</f>
        <v>30.8872</v>
      </c>
      <c r="H388" s="17">
        <f>30.8518 * CHOOSE(CONTROL!$C$15, $E$9, 100%, $G$9) + CHOOSE(CONTROL!$C$38, 0.0354, 0)</f>
        <v>30.8872</v>
      </c>
      <c r="I388" s="17">
        <f>30.8534 * CHOOSE(CONTROL!$C$15, $E$9, 100%, $G$9) + CHOOSE(CONTROL!$C$38, 0.0354, 0)</f>
        <v>30.8888</v>
      </c>
      <c r="J388" s="44">
        <f>249.5249</f>
        <v>249.5249</v>
      </c>
    </row>
    <row r="389" spans="1:10" ht="15.75" x14ac:dyDescent="0.25">
      <c r="A389" s="14">
        <v>52778</v>
      </c>
      <c r="B389" s="17">
        <f>32.309 * CHOOSE(CONTROL!$C$15, $E$9, 100%, $G$9) + CHOOSE(CONTROL!$C$38, 0.0353, 0)</f>
        <v>32.344299999999997</v>
      </c>
      <c r="C389" s="17">
        <f>30.289 * CHOOSE(CONTROL!$C$15, $E$9, 100%, $G$9) + CHOOSE(CONTROL!$C$38, 0.0354, 0)</f>
        <v>30.324400000000001</v>
      </c>
      <c r="D389" s="17">
        <f>30.2812 * CHOOSE(CONTROL!$C$15, $E$9, 100%, $G$9) + CHOOSE(CONTROL!$C$38, 0.0354, 0)</f>
        <v>30.316599999999998</v>
      </c>
      <c r="E389" s="17">
        <f>30.2812 * CHOOSE(CONTROL!$C$15, $E$9, 100%, $G$9) + CHOOSE(CONTROL!$C$38, 0.0354, 0)</f>
        <v>30.316599999999998</v>
      </c>
      <c r="F389" s="45">
        <f>32.309 * CHOOSE(CONTROL!$C$15, $E$9, 100%, $G$9) + CHOOSE(CONTROL!$C$38, 0.0353, 0)</f>
        <v>32.344299999999997</v>
      </c>
      <c r="G389" s="17">
        <f>30.2875 * CHOOSE(CONTROL!$C$15, $E$9, 100%, $G$9) + CHOOSE(CONTROL!$C$38, 0.0354, 0)</f>
        <v>30.322900000000001</v>
      </c>
      <c r="H389" s="17">
        <f>30.2875 * CHOOSE(CONTROL!$C$15, $E$9, 100%, $G$9) + CHOOSE(CONTROL!$C$38, 0.0354, 0)</f>
        <v>30.322900000000001</v>
      </c>
      <c r="I389" s="17">
        <f>30.289 * CHOOSE(CONTROL!$C$15, $E$9, 100%, $G$9) + CHOOSE(CONTROL!$C$38, 0.0354, 0)</f>
        <v>30.324400000000001</v>
      </c>
      <c r="J389" s="44">
        <f>253.1203</f>
        <v>253.12029999999999</v>
      </c>
    </row>
    <row r="390" spans="1:10" ht="15.75" x14ac:dyDescent="0.25">
      <c r="A390" s="14">
        <v>52809</v>
      </c>
      <c r="B390" s="17">
        <f>31.9869 * CHOOSE(CONTROL!$C$15, $E$9, 100%, $G$9) + CHOOSE(CONTROL!$C$38, 0.0353, 0)</f>
        <v>32.022199999999998</v>
      </c>
      <c r="C390" s="17">
        <f>29.967 * CHOOSE(CONTROL!$C$15, $E$9, 100%, $G$9) + CHOOSE(CONTROL!$C$38, 0.0354, 0)</f>
        <v>30.002399999999998</v>
      </c>
      <c r="D390" s="17">
        <f>29.9592 * CHOOSE(CONTROL!$C$15, $E$9, 100%, $G$9) + CHOOSE(CONTROL!$C$38, 0.0354, 0)</f>
        <v>29.994599999999998</v>
      </c>
      <c r="E390" s="17">
        <f>29.9592 * CHOOSE(CONTROL!$C$15, $E$9, 100%, $G$9) + CHOOSE(CONTROL!$C$38, 0.0354, 0)</f>
        <v>29.994599999999998</v>
      </c>
      <c r="F390" s="45">
        <f>31.9869 * CHOOSE(CONTROL!$C$15, $E$9, 100%, $G$9) + CHOOSE(CONTROL!$C$38, 0.0353, 0)</f>
        <v>32.022199999999998</v>
      </c>
      <c r="G390" s="17">
        <f>29.9654 * CHOOSE(CONTROL!$C$15, $E$9, 100%, $G$9) + CHOOSE(CONTROL!$C$38, 0.0354, 0)</f>
        <v>30.000799999999998</v>
      </c>
      <c r="H390" s="17">
        <f>29.9654 * CHOOSE(CONTROL!$C$15, $E$9, 100%, $G$9) + CHOOSE(CONTROL!$C$38, 0.0354, 0)</f>
        <v>30.000799999999998</v>
      </c>
      <c r="I390" s="17">
        <f>29.967 * CHOOSE(CONTROL!$C$15, $E$9, 100%, $G$9) + CHOOSE(CONTROL!$C$38, 0.0354, 0)</f>
        <v>30.002399999999998</v>
      </c>
      <c r="J390" s="44">
        <f>251.9365</f>
        <v>251.9365</v>
      </c>
    </row>
    <row r="391" spans="1:10" ht="15.75" x14ac:dyDescent="0.25">
      <c r="A391" s="14">
        <v>52840</v>
      </c>
      <c r="B391" s="17">
        <f>32.1459 * CHOOSE(CONTROL!$C$15, $E$9, 100%, $G$9) + CHOOSE(CONTROL!$C$38, 0.0353, 0)</f>
        <v>32.181199999999997</v>
      </c>
      <c r="C391" s="17">
        <f>30.1259 * CHOOSE(CONTROL!$C$15, $E$9, 100%, $G$9) + CHOOSE(CONTROL!$C$38, 0.0354, 0)</f>
        <v>30.161300000000001</v>
      </c>
      <c r="D391" s="17">
        <f>30.1181 * CHOOSE(CONTROL!$C$15, $E$9, 100%, $G$9) + CHOOSE(CONTROL!$C$38, 0.0354, 0)</f>
        <v>30.153499999999998</v>
      </c>
      <c r="E391" s="17">
        <f>30.1181 * CHOOSE(CONTROL!$C$15, $E$9, 100%, $G$9) + CHOOSE(CONTROL!$C$38, 0.0354, 0)</f>
        <v>30.153499999999998</v>
      </c>
      <c r="F391" s="45">
        <f>32.1459 * CHOOSE(CONTROL!$C$15, $E$9, 100%, $G$9) + CHOOSE(CONTROL!$C$38, 0.0353, 0)</f>
        <v>32.181199999999997</v>
      </c>
      <c r="G391" s="17">
        <f>30.1244 * CHOOSE(CONTROL!$C$15, $E$9, 100%, $G$9) + CHOOSE(CONTROL!$C$38, 0.0354, 0)</f>
        <v>30.159800000000001</v>
      </c>
      <c r="H391" s="17">
        <f>30.1244 * CHOOSE(CONTROL!$C$15, $E$9, 100%, $G$9) + CHOOSE(CONTROL!$C$38, 0.0354, 0)</f>
        <v>30.159800000000001</v>
      </c>
      <c r="I391" s="17">
        <f>30.1259 * CHOOSE(CONTROL!$C$15, $E$9, 100%, $G$9) + CHOOSE(CONTROL!$C$38, 0.0354, 0)</f>
        <v>30.161300000000001</v>
      </c>
      <c r="J391" s="44">
        <f>246.0715</f>
        <v>246.07149999999999</v>
      </c>
    </row>
    <row r="392" spans="1:10" ht="15.75" x14ac:dyDescent="0.25">
      <c r="A392" s="14">
        <v>52870</v>
      </c>
      <c r="B392" s="17">
        <f>32.5776 * CHOOSE(CONTROL!$C$15, $E$9, 100%, $G$9) + CHOOSE(CONTROL!$C$38, 0.0353, 0)</f>
        <v>32.612899999999996</v>
      </c>
      <c r="C392" s="17">
        <f>30.5576 * CHOOSE(CONTROL!$C$15, $E$9, 100%, $G$9) + CHOOSE(CONTROL!$C$38, 0.0354, 0)</f>
        <v>30.593</v>
      </c>
      <c r="D392" s="17">
        <f>30.5498 * CHOOSE(CONTROL!$C$15, $E$9, 100%, $G$9) + CHOOSE(CONTROL!$C$38, 0.0354, 0)</f>
        <v>30.5852</v>
      </c>
      <c r="E392" s="17">
        <f>30.5498 * CHOOSE(CONTROL!$C$15, $E$9, 100%, $G$9) + CHOOSE(CONTROL!$C$38, 0.0354, 0)</f>
        <v>30.5852</v>
      </c>
      <c r="F392" s="45">
        <f>32.5776 * CHOOSE(CONTROL!$C$15, $E$9, 100%, $G$9) + CHOOSE(CONTROL!$C$38, 0.0353, 0)</f>
        <v>32.612899999999996</v>
      </c>
      <c r="G392" s="17">
        <f>30.5561 * CHOOSE(CONTROL!$C$15, $E$9, 100%, $G$9) + CHOOSE(CONTROL!$C$38, 0.0354, 0)</f>
        <v>30.5915</v>
      </c>
      <c r="H392" s="17">
        <f>30.5561 * CHOOSE(CONTROL!$C$15, $E$9, 100%, $G$9) + CHOOSE(CONTROL!$C$38, 0.0354, 0)</f>
        <v>30.5915</v>
      </c>
      <c r="I392" s="17">
        <f>30.5576 * CHOOSE(CONTROL!$C$15, $E$9, 100%, $G$9) + CHOOSE(CONTROL!$C$38, 0.0354, 0)</f>
        <v>30.593</v>
      </c>
      <c r="J392" s="44">
        <f>237.8925</f>
        <v>237.89250000000001</v>
      </c>
    </row>
    <row r="393" spans="1:10" ht="15.75" x14ac:dyDescent="0.25">
      <c r="A393" s="14">
        <v>52901</v>
      </c>
      <c r="B393" s="17">
        <f>32.9391 * CHOOSE(CONTROL!$C$15, $E$9, 100%, $G$9) + CHOOSE(CONTROL!$C$38, 0.034, 0)</f>
        <v>32.973100000000002</v>
      </c>
      <c r="C393" s="17">
        <f>30.9192 * CHOOSE(CONTROL!$C$15, $E$9, 100%, $G$9) + CHOOSE(CONTROL!$C$38, 0.0342, 0)</f>
        <v>30.953399999999998</v>
      </c>
      <c r="D393" s="17">
        <f>30.9114 * CHOOSE(CONTROL!$C$15, $E$9, 100%, $G$9) + CHOOSE(CONTROL!$C$38, 0.0342, 0)</f>
        <v>30.945599999999999</v>
      </c>
      <c r="E393" s="17">
        <f>30.9114 * CHOOSE(CONTROL!$C$15, $E$9, 100%, $G$9) + CHOOSE(CONTROL!$C$38, 0.0342, 0)</f>
        <v>30.945599999999999</v>
      </c>
      <c r="F393" s="45">
        <f>32.9391 * CHOOSE(CONTROL!$C$15, $E$9, 100%, $G$9) + CHOOSE(CONTROL!$C$38, 0.034, 0)</f>
        <v>32.973100000000002</v>
      </c>
      <c r="G393" s="17">
        <f>30.9176 * CHOOSE(CONTROL!$C$15, $E$9, 100%, $G$9) + CHOOSE(CONTROL!$C$38, 0.0342, 0)</f>
        <v>30.951799999999999</v>
      </c>
      <c r="H393" s="17">
        <f>30.9176 * CHOOSE(CONTROL!$C$15, $E$9, 100%, $G$9) + CHOOSE(CONTROL!$C$38, 0.0342, 0)</f>
        <v>30.951799999999999</v>
      </c>
      <c r="I393" s="17">
        <f>30.9192 * CHOOSE(CONTROL!$C$15, $E$9, 100%, $G$9) + CHOOSE(CONTROL!$C$38, 0.0342, 0)</f>
        <v>30.953399999999998</v>
      </c>
      <c r="J393" s="44">
        <f>229.666</f>
        <v>229.666</v>
      </c>
    </row>
    <row r="394" spans="1:10" ht="15.75" x14ac:dyDescent="0.25">
      <c r="A394" s="14">
        <v>52931</v>
      </c>
      <c r="B394" s="17">
        <f>33.2408 * CHOOSE(CONTROL!$C$15, $E$9, 100%, $G$9) + CHOOSE(CONTROL!$C$38, 0.034, 0)</f>
        <v>33.274799999999999</v>
      </c>
      <c r="C394" s="17">
        <f>31.2209 * CHOOSE(CONTROL!$C$15, $E$9, 100%, $G$9) + CHOOSE(CONTROL!$C$38, 0.0342, 0)</f>
        <v>31.255099999999999</v>
      </c>
      <c r="D394" s="17">
        <f>31.2131 * CHOOSE(CONTROL!$C$15, $E$9, 100%, $G$9) + CHOOSE(CONTROL!$C$38, 0.0342, 0)</f>
        <v>31.247299999999999</v>
      </c>
      <c r="E394" s="17">
        <f>31.2131 * CHOOSE(CONTROL!$C$15, $E$9, 100%, $G$9) + CHOOSE(CONTROL!$C$38, 0.0342, 0)</f>
        <v>31.247299999999999</v>
      </c>
      <c r="F394" s="45">
        <f>33.2408 * CHOOSE(CONTROL!$C$15, $E$9, 100%, $G$9) + CHOOSE(CONTROL!$C$38, 0.034, 0)</f>
        <v>33.274799999999999</v>
      </c>
      <c r="G394" s="17">
        <f>31.2194 * CHOOSE(CONTROL!$C$15, $E$9, 100%, $G$9) + CHOOSE(CONTROL!$C$38, 0.0342, 0)</f>
        <v>31.253599999999999</v>
      </c>
      <c r="H394" s="17">
        <f>31.2194 * CHOOSE(CONTROL!$C$15, $E$9, 100%, $G$9) + CHOOSE(CONTROL!$C$38, 0.0342, 0)</f>
        <v>31.253599999999999</v>
      </c>
      <c r="I394" s="17">
        <f>31.2209 * CHOOSE(CONTROL!$C$15, $E$9, 100%, $G$9) + CHOOSE(CONTROL!$C$38, 0.0342, 0)</f>
        <v>31.255099999999999</v>
      </c>
      <c r="J394" s="44">
        <f>228.0295</f>
        <v>228.02950000000001</v>
      </c>
    </row>
    <row r="395" spans="1:10" ht="15.75" x14ac:dyDescent="0.25">
      <c r="A395" s="14">
        <v>52962</v>
      </c>
      <c r="B395" s="17">
        <f>34.1705 * CHOOSE(CONTROL!$C$15, $E$9, 100%, $G$9) + CHOOSE(CONTROL!$C$38, 0.034, 0)</f>
        <v>34.204499999999996</v>
      </c>
      <c r="C395" s="17">
        <f>32.1506 * CHOOSE(CONTROL!$C$15, $E$9, 100%, $G$9) + CHOOSE(CONTROL!$C$38, 0.0342, 0)</f>
        <v>32.184799999999996</v>
      </c>
      <c r="D395" s="17">
        <f>32.1428 * CHOOSE(CONTROL!$C$15, $E$9, 100%, $G$9) + CHOOSE(CONTROL!$C$38, 0.0342, 0)</f>
        <v>32.177</v>
      </c>
      <c r="E395" s="17">
        <f>32.1428 * CHOOSE(CONTROL!$C$15, $E$9, 100%, $G$9) + CHOOSE(CONTROL!$C$38, 0.0342, 0)</f>
        <v>32.177</v>
      </c>
      <c r="F395" s="45">
        <f>34.1705 * CHOOSE(CONTROL!$C$15, $E$9, 100%, $G$9) + CHOOSE(CONTROL!$C$38, 0.034, 0)</f>
        <v>34.204499999999996</v>
      </c>
      <c r="G395" s="17">
        <f>32.149 * CHOOSE(CONTROL!$C$15, $E$9, 100%, $G$9) + CHOOSE(CONTROL!$C$38, 0.0342, 0)</f>
        <v>32.183199999999999</v>
      </c>
      <c r="H395" s="17">
        <f>32.149 * CHOOSE(CONTROL!$C$15, $E$9, 100%, $G$9) + CHOOSE(CONTROL!$C$38, 0.0342, 0)</f>
        <v>32.183199999999999</v>
      </c>
      <c r="I395" s="17">
        <f>32.1506 * CHOOSE(CONTROL!$C$15, $E$9, 100%, $G$9) + CHOOSE(CONTROL!$C$38, 0.0342, 0)</f>
        <v>32.184799999999996</v>
      </c>
      <c r="J395" s="44">
        <f>221.2627</f>
        <v>221.2627</v>
      </c>
    </row>
    <row r="396" spans="1:10" ht="15.75" x14ac:dyDescent="0.25">
      <c r="A396" s="14">
        <v>52993</v>
      </c>
      <c r="B396" s="17">
        <f>35.4537 * CHOOSE(CONTROL!$C$15, $E$9, 100%, $G$9) + CHOOSE(CONTROL!$C$38, 0.034, 0)</f>
        <v>35.487699999999997</v>
      </c>
      <c r="C396" s="17">
        <f>33.4024 * CHOOSE(CONTROL!$C$15, $E$9, 100%, $G$9) + CHOOSE(CONTROL!$C$38, 0.0342, 0)</f>
        <v>33.436599999999999</v>
      </c>
      <c r="D396" s="17">
        <f>33.3946 * CHOOSE(CONTROL!$C$15, $E$9, 100%, $G$9) + CHOOSE(CONTROL!$C$38, 0.0342, 0)</f>
        <v>33.428799999999995</v>
      </c>
      <c r="E396" s="17">
        <f>33.3946 * CHOOSE(CONTROL!$C$15, $E$9, 100%, $G$9) + CHOOSE(CONTROL!$C$38, 0.0342, 0)</f>
        <v>33.428799999999995</v>
      </c>
      <c r="F396" s="45">
        <f>35.4537 * CHOOSE(CONTROL!$C$15, $E$9, 100%, $G$9) + CHOOSE(CONTROL!$C$38, 0.034, 0)</f>
        <v>35.487699999999997</v>
      </c>
      <c r="G396" s="17">
        <f>33.4009 * CHOOSE(CONTROL!$C$15, $E$9, 100%, $G$9) + CHOOSE(CONTROL!$C$38, 0.0342, 0)</f>
        <v>33.435099999999998</v>
      </c>
      <c r="H396" s="17">
        <f>33.4009 * CHOOSE(CONTROL!$C$15, $E$9, 100%, $G$9) + CHOOSE(CONTROL!$C$38, 0.0342, 0)</f>
        <v>33.435099999999998</v>
      </c>
      <c r="I396" s="17">
        <f>33.4024 * CHOOSE(CONTROL!$C$15, $E$9, 100%, $G$9) + CHOOSE(CONTROL!$C$38, 0.0342, 0)</f>
        <v>33.436599999999999</v>
      </c>
      <c r="J396" s="44">
        <f>221.103</f>
        <v>221.10300000000001</v>
      </c>
    </row>
    <row r="397" spans="1:10" ht="15.75" x14ac:dyDescent="0.25">
      <c r="A397" s="14">
        <v>53021</v>
      </c>
      <c r="B397" s="17">
        <f>35.798 * CHOOSE(CONTROL!$C$15, $E$9, 100%, $G$9) + CHOOSE(CONTROL!$C$38, 0.034, 0)</f>
        <v>35.832000000000001</v>
      </c>
      <c r="C397" s="17">
        <f>33.7467 * CHOOSE(CONTROL!$C$15, $E$9, 100%, $G$9) + CHOOSE(CONTROL!$C$38, 0.0342, 0)</f>
        <v>33.780899999999995</v>
      </c>
      <c r="D397" s="17">
        <f>33.7389 * CHOOSE(CONTROL!$C$15, $E$9, 100%, $G$9) + CHOOSE(CONTROL!$C$38, 0.0342, 0)</f>
        <v>33.773099999999999</v>
      </c>
      <c r="E397" s="17">
        <f>33.7389 * CHOOSE(CONTROL!$C$15, $E$9, 100%, $G$9) + CHOOSE(CONTROL!$C$38, 0.0342, 0)</f>
        <v>33.773099999999999</v>
      </c>
      <c r="F397" s="45">
        <f>35.798 * CHOOSE(CONTROL!$C$15, $E$9, 100%, $G$9) + CHOOSE(CONTROL!$C$38, 0.034, 0)</f>
        <v>35.832000000000001</v>
      </c>
      <c r="G397" s="17">
        <f>33.7452 * CHOOSE(CONTROL!$C$15, $E$9, 100%, $G$9) + CHOOSE(CONTROL!$C$38, 0.0342, 0)</f>
        <v>33.779399999999995</v>
      </c>
      <c r="H397" s="17">
        <f>33.7452 * CHOOSE(CONTROL!$C$15, $E$9, 100%, $G$9) + CHOOSE(CONTROL!$C$38, 0.0342, 0)</f>
        <v>33.779399999999995</v>
      </c>
      <c r="I397" s="17">
        <f>33.7467 * CHOOSE(CONTROL!$C$15, $E$9, 100%, $G$9) + CHOOSE(CONTROL!$C$38, 0.0342, 0)</f>
        <v>33.780899999999995</v>
      </c>
      <c r="J397" s="44">
        <f>220.4884</f>
        <v>220.48840000000001</v>
      </c>
    </row>
    <row r="398" spans="1:10" ht="15.75" x14ac:dyDescent="0.25">
      <c r="A398" s="14">
        <v>53052</v>
      </c>
      <c r="B398" s="17">
        <f>35.0009 * CHOOSE(CONTROL!$C$15, $E$9, 100%, $G$9) + CHOOSE(CONTROL!$C$38, 0.034, 0)</f>
        <v>35.0349</v>
      </c>
      <c r="C398" s="17">
        <f>32.9497 * CHOOSE(CONTROL!$C$15, $E$9, 100%, $G$9) + CHOOSE(CONTROL!$C$38, 0.0342, 0)</f>
        <v>32.983899999999998</v>
      </c>
      <c r="D398" s="17">
        <f>32.9419 * CHOOSE(CONTROL!$C$15, $E$9, 100%, $G$9) + CHOOSE(CONTROL!$C$38, 0.0342, 0)</f>
        <v>32.976099999999995</v>
      </c>
      <c r="E398" s="17">
        <f>32.9419 * CHOOSE(CONTROL!$C$15, $E$9, 100%, $G$9) + CHOOSE(CONTROL!$C$38, 0.0342, 0)</f>
        <v>32.976099999999995</v>
      </c>
      <c r="F398" s="45">
        <f>35.0009 * CHOOSE(CONTROL!$C$15, $E$9, 100%, $G$9) + CHOOSE(CONTROL!$C$38, 0.034, 0)</f>
        <v>35.0349</v>
      </c>
      <c r="G398" s="17">
        <f>32.9481 * CHOOSE(CONTROL!$C$15, $E$9, 100%, $G$9) + CHOOSE(CONTROL!$C$38, 0.0342, 0)</f>
        <v>32.982299999999995</v>
      </c>
      <c r="H398" s="17">
        <f>32.9481 * CHOOSE(CONTROL!$C$15, $E$9, 100%, $G$9) + CHOOSE(CONTROL!$C$38, 0.0342, 0)</f>
        <v>32.982299999999995</v>
      </c>
      <c r="I398" s="17">
        <f>32.9497 * CHOOSE(CONTROL!$C$15, $E$9, 100%, $G$9) + CHOOSE(CONTROL!$C$38, 0.0342, 0)</f>
        <v>32.983899999999998</v>
      </c>
      <c r="J398" s="44">
        <f>232.1094</f>
        <v>232.10939999999999</v>
      </c>
    </row>
    <row r="399" spans="1:10" ht="15.75" x14ac:dyDescent="0.25">
      <c r="A399" s="14">
        <v>53082</v>
      </c>
      <c r="B399" s="17">
        <f>34.2286 * CHOOSE(CONTROL!$C$15, $E$9, 100%, $G$9) + CHOOSE(CONTROL!$C$38, 0.034, 0)</f>
        <v>34.262599999999999</v>
      </c>
      <c r="C399" s="17">
        <f>32.1774 * CHOOSE(CONTROL!$C$15, $E$9, 100%, $G$9) + CHOOSE(CONTROL!$C$38, 0.0342, 0)</f>
        <v>32.211599999999997</v>
      </c>
      <c r="D399" s="17">
        <f>32.1696 * CHOOSE(CONTROL!$C$15, $E$9, 100%, $G$9) + CHOOSE(CONTROL!$C$38, 0.0342, 0)</f>
        <v>32.203800000000001</v>
      </c>
      <c r="E399" s="17">
        <f>32.1696 * CHOOSE(CONTROL!$C$15, $E$9, 100%, $G$9) + CHOOSE(CONTROL!$C$38, 0.0342, 0)</f>
        <v>32.203800000000001</v>
      </c>
      <c r="F399" s="45">
        <f>34.2286 * CHOOSE(CONTROL!$C$15, $E$9, 100%, $G$9) + CHOOSE(CONTROL!$C$38, 0.034, 0)</f>
        <v>34.262599999999999</v>
      </c>
      <c r="G399" s="17">
        <f>32.1758 * CHOOSE(CONTROL!$C$15, $E$9, 100%, $G$9) + CHOOSE(CONTROL!$C$38, 0.0342, 0)</f>
        <v>32.21</v>
      </c>
      <c r="H399" s="17">
        <f>32.1758 * CHOOSE(CONTROL!$C$15, $E$9, 100%, $G$9) + CHOOSE(CONTROL!$C$38, 0.0342, 0)</f>
        <v>32.21</v>
      </c>
      <c r="I399" s="17">
        <f>32.1774 * CHOOSE(CONTROL!$C$15, $E$9, 100%, $G$9) + CHOOSE(CONTROL!$C$38, 0.0342, 0)</f>
        <v>32.211599999999997</v>
      </c>
      <c r="J399" s="44">
        <f>247.1791</f>
        <v>247.17910000000001</v>
      </c>
    </row>
    <row r="400" spans="1:10" ht="15.75" x14ac:dyDescent="0.25">
      <c r="A400" s="14">
        <v>53113</v>
      </c>
      <c r="B400" s="17">
        <f>33.4237 * CHOOSE(CONTROL!$C$15, $E$9, 100%, $G$9) + CHOOSE(CONTROL!$C$38, 0.0353, 0)</f>
        <v>33.458999999999996</v>
      </c>
      <c r="C400" s="17">
        <f>31.3724 * CHOOSE(CONTROL!$C$15, $E$9, 100%, $G$9) + CHOOSE(CONTROL!$C$38, 0.0354, 0)</f>
        <v>31.407799999999998</v>
      </c>
      <c r="D400" s="17">
        <f>31.3646 * CHOOSE(CONTROL!$C$15, $E$9, 100%, $G$9) + CHOOSE(CONTROL!$C$38, 0.0354, 0)</f>
        <v>31.4</v>
      </c>
      <c r="E400" s="17">
        <f>31.3646 * CHOOSE(CONTROL!$C$15, $E$9, 100%, $G$9) + CHOOSE(CONTROL!$C$38, 0.0354, 0)</f>
        <v>31.4</v>
      </c>
      <c r="F400" s="45">
        <f>33.4237 * CHOOSE(CONTROL!$C$15, $E$9, 100%, $G$9) + CHOOSE(CONTROL!$C$38, 0.0353, 0)</f>
        <v>33.458999999999996</v>
      </c>
      <c r="G400" s="17">
        <f>31.3709 * CHOOSE(CONTROL!$C$15, $E$9, 100%, $G$9) + CHOOSE(CONTROL!$C$38, 0.0354, 0)</f>
        <v>31.406299999999998</v>
      </c>
      <c r="H400" s="17">
        <f>31.3709 * CHOOSE(CONTROL!$C$15, $E$9, 100%, $G$9) + CHOOSE(CONTROL!$C$38, 0.0354, 0)</f>
        <v>31.406299999999998</v>
      </c>
      <c r="I400" s="17">
        <f>31.3724 * CHOOSE(CONTROL!$C$15, $E$9, 100%, $G$9) + CHOOSE(CONTROL!$C$38, 0.0354, 0)</f>
        <v>31.407799999999998</v>
      </c>
      <c r="J400" s="44">
        <f>255.4739</f>
        <v>255.47389999999999</v>
      </c>
    </row>
    <row r="401" spans="1:10" ht="15.75" x14ac:dyDescent="0.25">
      <c r="A401" s="14">
        <v>53143</v>
      </c>
      <c r="B401" s="17">
        <f>32.8593 * CHOOSE(CONTROL!$C$15, $E$9, 100%, $G$9) + CHOOSE(CONTROL!$C$38, 0.0353, 0)</f>
        <v>32.894599999999997</v>
      </c>
      <c r="C401" s="17">
        <f>30.8081 * CHOOSE(CONTROL!$C$15, $E$9, 100%, $G$9) + CHOOSE(CONTROL!$C$38, 0.0354, 0)</f>
        <v>30.843499999999999</v>
      </c>
      <c r="D401" s="17">
        <f>30.8003 * CHOOSE(CONTROL!$C$15, $E$9, 100%, $G$9) + CHOOSE(CONTROL!$C$38, 0.0354, 0)</f>
        <v>30.835699999999999</v>
      </c>
      <c r="E401" s="17">
        <f>30.8003 * CHOOSE(CONTROL!$C$15, $E$9, 100%, $G$9) + CHOOSE(CONTROL!$C$38, 0.0354, 0)</f>
        <v>30.835699999999999</v>
      </c>
      <c r="F401" s="45">
        <f>32.8593 * CHOOSE(CONTROL!$C$15, $E$9, 100%, $G$9) + CHOOSE(CONTROL!$C$38, 0.0353, 0)</f>
        <v>32.894599999999997</v>
      </c>
      <c r="G401" s="17">
        <f>30.8065 * CHOOSE(CONTROL!$C$15, $E$9, 100%, $G$9) + CHOOSE(CONTROL!$C$38, 0.0354, 0)</f>
        <v>30.841899999999999</v>
      </c>
      <c r="H401" s="17">
        <f>30.8065 * CHOOSE(CONTROL!$C$15, $E$9, 100%, $G$9) + CHOOSE(CONTROL!$C$38, 0.0354, 0)</f>
        <v>30.841899999999999</v>
      </c>
      <c r="I401" s="17">
        <f>30.8081 * CHOOSE(CONTROL!$C$15, $E$9, 100%, $G$9) + CHOOSE(CONTROL!$C$38, 0.0354, 0)</f>
        <v>30.843499999999999</v>
      </c>
      <c r="J401" s="44">
        <f>259.155</f>
        <v>259.15499999999997</v>
      </c>
    </row>
    <row r="402" spans="1:10" ht="15.75" x14ac:dyDescent="0.25">
      <c r="A402" s="14">
        <v>53174</v>
      </c>
      <c r="B402" s="17">
        <f>32.5373 * CHOOSE(CONTROL!$C$15, $E$9, 100%, $G$9) + CHOOSE(CONTROL!$C$38, 0.0353, 0)</f>
        <v>32.572600000000001</v>
      </c>
      <c r="C402" s="17">
        <f>30.486 * CHOOSE(CONTROL!$C$15, $E$9, 100%, $G$9) + CHOOSE(CONTROL!$C$38, 0.0354, 0)</f>
        <v>30.5214</v>
      </c>
      <c r="D402" s="17">
        <f>30.4782 * CHOOSE(CONTROL!$C$15, $E$9, 100%, $G$9) + CHOOSE(CONTROL!$C$38, 0.0354, 0)</f>
        <v>30.5136</v>
      </c>
      <c r="E402" s="17">
        <f>30.4782 * CHOOSE(CONTROL!$C$15, $E$9, 100%, $G$9) + CHOOSE(CONTROL!$C$38, 0.0354, 0)</f>
        <v>30.5136</v>
      </c>
      <c r="F402" s="45">
        <f>32.5373 * CHOOSE(CONTROL!$C$15, $E$9, 100%, $G$9) + CHOOSE(CONTROL!$C$38, 0.0353, 0)</f>
        <v>32.572600000000001</v>
      </c>
      <c r="G402" s="17">
        <f>30.4845 * CHOOSE(CONTROL!$C$15, $E$9, 100%, $G$9) + CHOOSE(CONTROL!$C$38, 0.0354, 0)</f>
        <v>30.5199</v>
      </c>
      <c r="H402" s="17">
        <f>30.4845 * CHOOSE(CONTROL!$C$15, $E$9, 100%, $G$9) + CHOOSE(CONTROL!$C$38, 0.0354, 0)</f>
        <v>30.5199</v>
      </c>
      <c r="I402" s="17">
        <f>30.486 * CHOOSE(CONTROL!$C$15, $E$9, 100%, $G$9) + CHOOSE(CONTROL!$C$38, 0.0354, 0)</f>
        <v>30.5214</v>
      </c>
      <c r="J402" s="44">
        <f>257.943</f>
        <v>257.94299999999998</v>
      </c>
    </row>
    <row r="403" spans="1:10" ht="15.75" x14ac:dyDescent="0.25">
      <c r="A403" s="14">
        <v>53205</v>
      </c>
      <c r="B403" s="17">
        <f>32.6962 * CHOOSE(CONTROL!$C$15, $E$9, 100%, $G$9) + CHOOSE(CONTROL!$C$38, 0.0353, 0)</f>
        <v>32.731499999999997</v>
      </c>
      <c r="C403" s="17">
        <f>30.645 * CHOOSE(CONTROL!$C$15, $E$9, 100%, $G$9) + CHOOSE(CONTROL!$C$38, 0.0354, 0)</f>
        <v>30.680399999999999</v>
      </c>
      <c r="D403" s="17">
        <f>30.6372 * CHOOSE(CONTROL!$C$15, $E$9, 100%, $G$9) + CHOOSE(CONTROL!$C$38, 0.0354, 0)</f>
        <v>30.672599999999999</v>
      </c>
      <c r="E403" s="17">
        <f>30.6372 * CHOOSE(CONTROL!$C$15, $E$9, 100%, $G$9) + CHOOSE(CONTROL!$C$38, 0.0354, 0)</f>
        <v>30.672599999999999</v>
      </c>
      <c r="F403" s="45">
        <f>32.6962 * CHOOSE(CONTROL!$C$15, $E$9, 100%, $G$9) + CHOOSE(CONTROL!$C$38, 0.0353, 0)</f>
        <v>32.731499999999997</v>
      </c>
      <c r="G403" s="17">
        <f>30.6434 * CHOOSE(CONTROL!$C$15, $E$9, 100%, $G$9) + CHOOSE(CONTROL!$C$38, 0.0354, 0)</f>
        <v>30.678799999999999</v>
      </c>
      <c r="H403" s="17">
        <f>30.6434 * CHOOSE(CONTROL!$C$15, $E$9, 100%, $G$9) + CHOOSE(CONTROL!$C$38, 0.0354, 0)</f>
        <v>30.678799999999999</v>
      </c>
      <c r="I403" s="17">
        <f>30.645 * CHOOSE(CONTROL!$C$15, $E$9, 100%, $G$9) + CHOOSE(CONTROL!$C$38, 0.0354, 0)</f>
        <v>30.680399999999999</v>
      </c>
      <c r="J403" s="44">
        <f>251.9382</f>
        <v>251.93819999999999</v>
      </c>
    </row>
    <row r="404" spans="1:10" ht="15.75" x14ac:dyDescent="0.25">
      <c r="A404" s="14">
        <v>53235</v>
      </c>
      <c r="B404" s="17">
        <f>33.1279 * CHOOSE(CONTROL!$C$15, $E$9, 100%, $G$9) + CHOOSE(CONTROL!$C$38, 0.0353, 0)</f>
        <v>33.163199999999996</v>
      </c>
      <c r="C404" s="17">
        <f>31.0767 * CHOOSE(CONTROL!$C$15, $E$9, 100%, $G$9) + CHOOSE(CONTROL!$C$38, 0.0354, 0)</f>
        <v>31.112099999999998</v>
      </c>
      <c r="D404" s="17">
        <f>31.0689 * CHOOSE(CONTROL!$C$15, $E$9, 100%, $G$9) + CHOOSE(CONTROL!$C$38, 0.0354, 0)</f>
        <v>31.104299999999999</v>
      </c>
      <c r="E404" s="17">
        <f>31.0689 * CHOOSE(CONTROL!$C$15, $E$9, 100%, $G$9) + CHOOSE(CONTROL!$C$38, 0.0354, 0)</f>
        <v>31.104299999999999</v>
      </c>
      <c r="F404" s="45">
        <f>33.1279 * CHOOSE(CONTROL!$C$15, $E$9, 100%, $G$9) + CHOOSE(CONTROL!$C$38, 0.0353, 0)</f>
        <v>33.163199999999996</v>
      </c>
      <c r="G404" s="17">
        <f>31.0751 * CHOOSE(CONTROL!$C$15, $E$9, 100%, $G$9) + CHOOSE(CONTROL!$C$38, 0.0354, 0)</f>
        <v>31.110499999999998</v>
      </c>
      <c r="H404" s="17">
        <f>31.0751 * CHOOSE(CONTROL!$C$15, $E$9, 100%, $G$9) + CHOOSE(CONTROL!$C$38, 0.0354, 0)</f>
        <v>31.110499999999998</v>
      </c>
      <c r="I404" s="17">
        <f>31.0767 * CHOOSE(CONTROL!$C$15, $E$9, 100%, $G$9) + CHOOSE(CONTROL!$C$38, 0.0354, 0)</f>
        <v>31.112099999999998</v>
      </c>
      <c r="J404" s="44">
        <f>243.5642</f>
        <v>243.5642</v>
      </c>
    </row>
    <row r="405" spans="1:10" ht="15.75" x14ac:dyDescent="0.25">
      <c r="A405" s="14">
        <v>53266</v>
      </c>
      <c r="B405" s="17">
        <f>33.4895 * CHOOSE(CONTROL!$C$15, $E$9, 100%, $G$9) + CHOOSE(CONTROL!$C$38, 0.034, 0)</f>
        <v>33.523499999999999</v>
      </c>
      <c r="C405" s="17">
        <f>31.4383 * CHOOSE(CONTROL!$C$15, $E$9, 100%, $G$9) + CHOOSE(CONTROL!$C$38, 0.0342, 0)</f>
        <v>31.4725</v>
      </c>
      <c r="D405" s="17">
        <f>31.4304 * CHOOSE(CONTROL!$C$15, $E$9, 100%, $G$9) + CHOOSE(CONTROL!$C$38, 0.0342, 0)</f>
        <v>31.464599999999997</v>
      </c>
      <c r="E405" s="17">
        <f>31.4304 * CHOOSE(CONTROL!$C$15, $E$9, 100%, $G$9) + CHOOSE(CONTROL!$C$38, 0.0342, 0)</f>
        <v>31.464599999999997</v>
      </c>
      <c r="F405" s="45">
        <f>33.4895 * CHOOSE(CONTROL!$C$15, $E$9, 100%, $G$9) + CHOOSE(CONTROL!$C$38, 0.034, 0)</f>
        <v>33.523499999999999</v>
      </c>
      <c r="G405" s="17">
        <f>31.4367 * CHOOSE(CONTROL!$C$15, $E$9, 100%, $G$9) + CHOOSE(CONTROL!$C$38, 0.0342, 0)</f>
        <v>31.470899999999997</v>
      </c>
      <c r="H405" s="17">
        <f>31.4367 * CHOOSE(CONTROL!$C$15, $E$9, 100%, $G$9) + CHOOSE(CONTROL!$C$38, 0.0342, 0)</f>
        <v>31.470899999999997</v>
      </c>
      <c r="I405" s="17">
        <f>31.4383 * CHOOSE(CONTROL!$C$15, $E$9, 100%, $G$9) + CHOOSE(CONTROL!$C$38, 0.0342, 0)</f>
        <v>31.4725</v>
      </c>
      <c r="J405" s="44">
        <f>235.1415</f>
        <v>235.14150000000001</v>
      </c>
    </row>
    <row r="406" spans="1:10" ht="15.75" x14ac:dyDescent="0.25">
      <c r="A406" s="14">
        <v>53296</v>
      </c>
      <c r="B406" s="17">
        <f>33.7912 * CHOOSE(CONTROL!$C$15, $E$9, 100%, $G$9) + CHOOSE(CONTROL!$C$38, 0.034, 0)</f>
        <v>33.825200000000002</v>
      </c>
      <c r="C406" s="17">
        <f>31.74 * CHOOSE(CONTROL!$C$15, $E$9, 100%, $G$9) + CHOOSE(CONTROL!$C$38, 0.0342, 0)</f>
        <v>31.774199999999997</v>
      </c>
      <c r="D406" s="17">
        <f>31.7321 * CHOOSE(CONTROL!$C$15, $E$9, 100%, $G$9) + CHOOSE(CONTROL!$C$38, 0.0342, 0)</f>
        <v>31.766299999999998</v>
      </c>
      <c r="E406" s="17">
        <f>31.7321 * CHOOSE(CONTROL!$C$15, $E$9, 100%, $G$9) + CHOOSE(CONTROL!$C$38, 0.0342, 0)</f>
        <v>31.766299999999998</v>
      </c>
      <c r="F406" s="45">
        <f>33.7912 * CHOOSE(CONTROL!$C$15, $E$9, 100%, $G$9) + CHOOSE(CONTROL!$C$38, 0.034, 0)</f>
        <v>33.825200000000002</v>
      </c>
      <c r="G406" s="17">
        <f>31.7384 * CHOOSE(CONTROL!$C$15, $E$9, 100%, $G$9) + CHOOSE(CONTROL!$C$38, 0.0342, 0)</f>
        <v>31.772599999999997</v>
      </c>
      <c r="H406" s="17">
        <f>31.7384 * CHOOSE(CONTROL!$C$15, $E$9, 100%, $G$9) + CHOOSE(CONTROL!$C$38, 0.0342, 0)</f>
        <v>31.772599999999997</v>
      </c>
      <c r="I406" s="17">
        <f>31.74 * CHOOSE(CONTROL!$C$15, $E$9, 100%, $G$9) + CHOOSE(CONTROL!$C$38, 0.0342, 0)</f>
        <v>31.774199999999997</v>
      </c>
      <c r="J406" s="44">
        <f>233.4661</f>
        <v>233.46610000000001</v>
      </c>
    </row>
    <row r="407" spans="1:10" ht="15.75" x14ac:dyDescent="0.25">
      <c r="A407" s="14">
        <v>53327</v>
      </c>
      <c r="B407" s="17">
        <f>34.7209 * CHOOSE(CONTROL!$C$15, $E$9, 100%, $G$9) + CHOOSE(CONTROL!$C$38, 0.034, 0)</f>
        <v>34.754899999999999</v>
      </c>
      <c r="C407" s="17">
        <f>32.6696 * CHOOSE(CONTROL!$C$15, $E$9, 100%, $G$9) + CHOOSE(CONTROL!$C$38, 0.0342, 0)</f>
        <v>32.703800000000001</v>
      </c>
      <c r="D407" s="17">
        <f>32.6618 * CHOOSE(CONTROL!$C$15, $E$9, 100%, $G$9) + CHOOSE(CONTROL!$C$38, 0.0342, 0)</f>
        <v>32.695999999999998</v>
      </c>
      <c r="E407" s="17">
        <f>32.6618 * CHOOSE(CONTROL!$C$15, $E$9, 100%, $G$9) + CHOOSE(CONTROL!$C$38, 0.0342, 0)</f>
        <v>32.695999999999998</v>
      </c>
      <c r="F407" s="45">
        <f>34.7209 * CHOOSE(CONTROL!$C$15, $E$9, 100%, $G$9) + CHOOSE(CONTROL!$C$38, 0.034, 0)</f>
        <v>34.754899999999999</v>
      </c>
      <c r="G407" s="17">
        <f>32.6681 * CHOOSE(CONTROL!$C$15, $E$9, 100%, $G$9) + CHOOSE(CONTROL!$C$38, 0.0342, 0)</f>
        <v>32.702300000000001</v>
      </c>
      <c r="H407" s="17">
        <f>32.6681 * CHOOSE(CONTROL!$C$15, $E$9, 100%, $G$9) + CHOOSE(CONTROL!$C$38, 0.0342, 0)</f>
        <v>32.702300000000001</v>
      </c>
      <c r="I407" s="17">
        <f>32.6696 * CHOOSE(CONTROL!$C$15, $E$9, 100%, $G$9) + CHOOSE(CONTROL!$C$38, 0.0342, 0)</f>
        <v>32.703800000000001</v>
      </c>
      <c r="J407" s="44">
        <f>226.538</f>
        <v>226.53800000000001</v>
      </c>
    </row>
    <row r="408" spans="1:10" ht="15.75" x14ac:dyDescent="0.25">
      <c r="A408" s="14">
        <v>53358</v>
      </c>
      <c r="B408" s="17">
        <f>36.0133 * CHOOSE(CONTROL!$C$15, $E$9, 100%, $G$9) + CHOOSE(CONTROL!$C$38, 0.034, 0)</f>
        <v>36.0473</v>
      </c>
      <c r="C408" s="17">
        <f>33.9302 * CHOOSE(CONTROL!$C$15, $E$9, 100%, $G$9) + CHOOSE(CONTROL!$C$38, 0.0342, 0)</f>
        <v>33.964399999999998</v>
      </c>
      <c r="D408" s="17">
        <f>33.9224 * CHOOSE(CONTROL!$C$15, $E$9, 100%, $G$9) + CHOOSE(CONTROL!$C$38, 0.0342, 0)</f>
        <v>33.956600000000002</v>
      </c>
      <c r="E408" s="17">
        <f>33.9224 * CHOOSE(CONTROL!$C$15, $E$9, 100%, $G$9) + CHOOSE(CONTROL!$C$38, 0.0342, 0)</f>
        <v>33.956600000000002</v>
      </c>
      <c r="F408" s="45">
        <f>36.0133 * CHOOSE(CONTROL!$C$15, $E$9, 100%, $G$9) + CHOOSE(CONTROL!$C$38, 0.034, 0)</f>
        <v>36.0473</v>
      </c>
      <c r="G408" s="17">
        <f>33.9286 * CHOOSE(CONTROL!$C$15, $E$9, 100%, $G$9) + CHOOSE(CONTROL!$C$38, 0.0342, 0)</f>
        <v>33.962800000000001</v>
      </c>
      <c r="H408" s="17">
        <f>33.9286 * CHOOSE(CONTROL!$C$15, $E$9, 100%, $G$9) + CHOOSE(CONTROL!$C$38, 0.0342, 0)</f>
        <v>33.962800000000001</v>
      </c>
      <c r="I408" s="17">
        <f>33.9302 * CHOOSE(CONTROL!$C$15, $E$9, 100%, $G$9) + CHOOSE(CONTROL!$C$38, 0.0342, 0)</f>
        <v>33.964399999999998</v>
      </c>
      <c r="J408" s="44">
        <f>226.3744</f>
        <v>226.37440000000001</v>
      </c>
    </row>
    <row r="409" spans="1:10" ht="15.75" x14ac:dyDescent="0.25">
      <c r="A409" s="14">
        <v>53386</v>
      </c>
      <c r="B409" s="17">
        <f>36.3576 * CHOOSE(CONTROL!$C$15, $E$9, 100%, $G$9) + CHOOSE(CONTROL!$C$38, 0.034, 0)</f>
        <v>36.391599999999997</v>
      </c>
      <c r="C409" s="17">
        <f>34.2745 * CHOOSE(CONTROL!$C$15, $E$9, 100%, $G$9) + CHOOSE(CONTROL!$C$38, 0.0342, 0)</f>
        <v>34.308700000000002</v>
      </c>
      <c r="D409" s="17">
        <f>34.2667 * CHOOSE(CONTROL!$C$15, $E$9, 100%, $G$9) + CHOOSE(CONTROL!$C$38, 0.0342, 0)</f>
        <v>34.300899999999999</v>
      </c>
      <c r="E409" s="17">
        <f>34.2667 * CHOOSE(CONTROL!$C$15, $E$9, 100%, $G$9) + CHOOSE(CONTROL!$C$38, 0.0342, 0)</f>
        <v>34.300899999999999</v>
      </c>
      <c r="F409" s="45">
        <f>36.3576 * CHOOSE(CONTROL!$C$15, $E$9, 100%, $G$9) + CHOOSE(CONTROL!$C$38, 0.034, 0)</f>
        <v>36.391599999999997</v>
      </c>
      <c r="G409" s="17">
        <f>34.2729 * CHOOSE(CONTROL!$C$15, $E$9, 100%, $G$9) + CHOOSE(CONTROL!$C$38, 0.0342, 0)</f>
        <v>34.307099999999998</v>
      </c>
      <c r="H409" s="17">
        <f>34.2729 * CHOOSE(CONTROL!$C$15, $E$9, 100%, $G$9) + CHOOSE(CONTROL!$C$38, 0.0342, 0)</f>
        <v>34.307099999999998</v>
      </c>
      <c r="I409" s="17">
        <f>34.2745 * CHOOSE(CONTROL!$C$15, $E$9, 100%, $G$9) + CHOOSE(CONTROL!$C$38, 0.0342, 0)</f>
        <v>34.308700000000002</v>
      </c>
      <c r="J409" s="44">
        <f>225.7452</f>
        <v>225.74520000000001</v>
      </c>
    </row>
    <row r="410" spans="1:10" ht="15.75" x14ac:dyDescent="0.25">
      <c r="A410" s="14">
        <v>53417</v>
      </c>
      <c r="B410" s="17">
        <f>35.5605 * CHOOSE(CONTROL!$C$15, $E$9, 100%, $G$9) + CHOOSE(CONTROL!$C$38, 0.034, 0)</f>
        <v>35.594499999999996</v>
      </c>
      <c r="C410" s="17">
        <f>33.4775 * CHOOSE(CONTROL!$C$15, $E$9, 100%, $G$9) + CHOOSE(CONTROL!$C$38, 0.0342, 0)</f>
        <v>33.511699999999998</v>
      </c>
      <c r="D410" s="17">
        <f>33.4697 * CHOOSE(CONTROL!$C$15, $E$9, 100%, $G$9) + CHOOSE(CONTROL!$C$38, 0.0342, 0)</f>
        <v>33.503900000000002</v>
      </c>
      <c r="E410" s="17">
        <f>33.4697 * CHOOSE(CONTROL!$C$15, $E$9, 100%, $G$9) + CHOOSE(CONTROL!$C$38, 0.0342, 0)</f>
        <v>33.503900000000002</v>
      </c>
      <c r="F410" s="45">
        <f>35.5605 * CHOOSE(CONTROL!$C$15, $E$9, 100%, $G$9) + CHOOSE(CONTROL!$C$38, 0.034, 0)</f>
        <v>35.594499999999996</v>
      </c>
      <c r="G410" s="17">
        <f>33.4759 * CHOOSE(CONTROL!$C$15, $E$9, 100%, $G$9) + CHOOSE(CONTROL!$C$38, 0.0342, 0)</f>
        <v>33.510100000000001</v>
      </c>
      <c r="H410" s="17">
        <f>33.4759 * CHOOSE(CONTROL!$C$15, $E$9, 100%, $G$9) + CHOOSE(CONTROL!$C$38, 0.0342, 0)</f>
        <v>33.510100000000001</v>
      </c>
      <c r="I410" s="17">
        <f>33.4775 * CHOOSE(CONTROL!$C$15, $E$9, 100%, $G$9) + CHOOSE(CONTROL!$C$38, 0.0342, 0)</f>
        <v>33.511699999999998</v>
      </c>
      <c r="J410" s="44">
        <f>237.6432</f>
        <v>237.64320000000001</v>
      </c>
    </row>
    <row r="411" spans="1:10" ht="15.75" x14ac:dyDescent="0.25">
      <c r="A411" s="14">
        <v>53447</v>
      </c>
      <c r="B411" s="17">
        <f>34.7882 * CHOOSE(CONTROL!$C$15, $E$9, 100%, $G$9) + CHOOSE(CONTROL!$C$38, 0.034, 0)</f>
        <v>34.822200000000002</v>
      </c>
      <c r="C411" s="17">
        <f>32.7052 * CHOOSE(CONTROL!$C$15, $E$9, 100%, $G$9) + CHOOSE(CONTROL!$C$38, 0.0342, 0)</f>
        <v>32.739399999999996</v>
      </c>
      <c r="D411" s="17">
        <f>32.6973 * CHOOSE(CONTROL!$C$15, $E$9, 100%, $G$9) + CHOOSE(CONTROL!$C$38, 0.0342, 0)</f>
        <v>32.731499999999997</v>
      </c>
      <c r="E411" s="17">
        <f>32.6973 * CHOOSE(CONTROL!$C$15, $E$9, 100%, $G$9) + CHOOSE(CONTROL!$C$38, 0.0342, 0)</f>
        <v>32.731499999999997</v>
      </c>
      <c r="F411" s="45">
        <f>34.7882 * CHOOSE(CONTROL!$C$15, $E$9, 100%, $G$9) + CHOOSE(CONTROL!$C$38, 0.034, 0)</f>
        <v>34.822200000000002</v>
      </c>
      <c r="G411" s="17">
        <f>32.7036 * CHOOSE(CONTROL!$C$15, $E$9, 100%, $G$9) + CHOOSE(CONTROL!$C$38, 0.0342, 0)</f>
        <v>32.7378</v>
      </c>
      <c r="H411" s="17">
        <f>32.7036 * CHOOSE(CONTROL!$C$15, $E$9, 100%, $G$9) + CHOOSE(CONTROL!$C$38, 0.0342, 0)</f>
        <v>32.7378</v>
      </c>
      <c r="I411" s="17">
        <f>32.7052 * CHOOSE(CONTROL!$C$15, $E$9, 100%, $G$9) + CHOOSE(CONTROL!$C$38, 0.0342, 0)</f>
        <v>32.739399999999996</v>
      </c>
      <c r="J411" s="44">
        <f>253.0722</f>
        <v>253.07220000000001</v>
      </c>
    </row>
    <row r="412" spans="1:10" ht="15.75" x14ac:dyDescent="0.25">
      <c r="A412" s="14">
        <v>53478</v>
      </c>
      <c r="B412" s="17">
        <f>33.9833 * CHOOSE(CONTROL!$C$15, $E$9, 100%, $G$9) + CHOOSE(CONTROL!$C$38, 0.0353, 0)</f>
        <v>34.018599999999999</v>
      </c>
      <c r="C412" s="17">
        <f>31.9002 * CHOOSE(CONTROL!$C$15, $E$9, 100%, $G$9) + CHOOSE(CONTROL!$C$38, 0.0354, 0)</f>
        <v>31.935600000000001</v>
      </c>
      <c r="D412" s="17">
        <f>31.8924 * CHOOSE(CONTROL!$C$15, $E$9, 100%, $G$9) + CHOOSE(CONTROL!$C$38, 0.0354, 0)</f>
        <v>31.927799999999998</v>
      </c>
      <c r="E412" s="17">
        <f>31.8924 * CHOOSE(CONTROL!$C$15, $E$9, 100%, $G$9) + CHOOSE(CONTROL!$C$38, 0.0354, 0)</f>
        <v>31.927799999999998</v>
      </c>
      <c r="F412" s="45">
        <f>33.9833 * CHOOSE(CONTROL!$C$15, $E$9, 100%, $G$9) + CHOOSE(CONTROL!$C$38, 0.0353, 0)</f>
        <v>34.018599999999999</v>
      </c>
      <c r="G412" s="17">
        <f>31.8986 * CHOOSE(CONTROL!$C$15, $E$9, 100%, $G$9) + CHOOSE(CONTROL!$C$38, 0.0354, 0)</f>
        <v>31.933999999999997</v>
      </c>
      <c r="H412" s="17">
        <f>31.8986 * CHOOSE(CONTROL!$C$15, $E$9, 100%, $G$9) + CHOOSE(CONTROL!$C$38, 0.0354, 0)</f>
        <v>31.933999999999997</v>
      </c>
      <c r="I412" s="17">
        <f>31.9002 * CHOOSE(CONTROL!$C$15, $E$9, 100%, $G$9) + CHOOSE(CONTROL!$C$38, 0.0354, 0)</f>
        <v>31.935600000000001</v>
      </c>
      <c r="J412" s="44">
        <f>261.5648</f>
        <v>261.56479999999999</v>
      </c>
    </row>
    <row r="413" spans="1:10" ht="15.75" x14ac:dyDescent="0.25">
      <c r="A413" s="14">
        <v>53508</v>
      </c>
      <c r="B413" s="17">
        <f>33.4189 * CHOOSE(CONTROL!$C$15, $E$9, 100%, $G$9) + CHOOSE(CONTROL!$C$38, 0.0353, 0)</f>
        <v>33.4542</v>
      </c>
      <c r="C413" s="17">
        <f>31.3359 * CHOOSE(CONTROL!$C$15, $E$9, 100%, $G$9) + CHOOSE(CONTROL!$C$38, 0.0354, 0)</f>
        <v>31.371299999999998</v>
      </c>
      <c r="D413" s="17">
        <f>31.328 * CHOOSE(CONTROL!$C$15, $E$9, 100%, $G$9) + CHOOSE(CONTROL!$C$38, 0.0354, 0)</f>
        <v>31.363399999999999</v>
      </c>
      <c r="E413" s="17">
        <f>31.328 * CHOOSE(CONTROL!$C$15, $E$9, 100%, $G$9) + CHOOSE(CONTROL!$C$38, 0.0354, 0)</f>
        <v>31.363399999999999</v>
      </c>
      <c r="F413" s="45">
        <f>33.4189 * CHOOSE(CONTROL!$C$15, $E$9, 100%, $G$9) + CHOOSE(CONTROL!$C$38, 0.0353, 0)</f>
        <v>33.4542</v>
      </c>
      <c r="G413" s="17">
        <f>31.3343 * CHOOSE(CONTROL!$C$15, $E$9, 100%, $G$9) + CHOOSE(CONTROL!$C$38, 0.0354, 0)</f>
        <v>31.369699999999998</v>
      </c>
      <c r="H413" s="17">
        <f>31.3343 * CHOOSE(CONTROL!$C$15, $E$9, 100%, $G$9) + CHOOSE(CONTROL!$C$38, 0.0354, 0)</f>
        <v>31.369699999999998</v>
      </c>
      <c r="I413" s="17">
        <f>31.3359 * CHOOSE(CONTROL!$C$15, $E$9, 100%, $G$9) + CHOOSE(CONTROL!$C$38, 0.0354, 0)</f>
        <v>31.371299999999998</v>
      </c>
      <c r="J413" s="44">
        <f>265.3337</f>
        <v>265.33370000000002</v>
      </c>
    </row>
    <row r="414" spans="1:10" ht="15.75" x14ac:dyDescent="0.25">
      <c r="A414" s="14">
        <v>53539</v>
      </c>
      <c r="B414" s="17">
        <f>33.0969 * CHOOSE(CONTROL!$C$15, $E$9, 100%, $G$9) + CHOOSE(CONTROL!$C$38, 0.0353, 0)</f>
        <v>33.132199999999997</v>
      </c>
      <c r="C414" s="17">
        <f>31.0138 * CHOOSE(CONTROL!$C$15, $E$9, 100%, $G$9) + CHOOSE(CONTROL!$C$38, 0.0354, 0)</f>
        <v>31.049199999999999</v>
      </c>
      <c r="D414" s="17">
        <f>31.006 * CHOOSE(CONTROL!$C$15, $E$9, 100%, $G$9) + CHOOSE(CONTROL!$C$38, 0.0354, 0)</f>
        <v>31.041399999999999</v>
      </c>
      <c r="E414" s="17">
        <f>31.006 * CHOOSE(CONTROL!$C$15, $E$9, 100%, $G$9) + CHOOSE(CONTROL!$C$38, 0.0354, 0)</f>
        <v>31.041399999999999</v>
      </c>
      <c r="F414" s="45">
        <f>33.0969 * CHOOSE(CONTROL!$C$15, $E$9, 100%, $G$9) + CHOOSE(CONTROL!$C$38, 0.0353, 0)</f>
        <v>33.132199999999997</v>
      </c>
      <c r="G414" s="17">
        <f>31.0122 * CHOOSE(CONTROL!$C$15, $E$9, 100%, $G$9) + CHOOSE(CONTROL!$C$38, 0.0354, 0)</f>
        <v>31.047599999999999</v>
      </c>
      <c r="H414" s="17">
        <f>31.0122 * CHOOSE(CONTROL!$C$15, $E$9, 100%, $G$9) + CHOOSE(CONTROL!$C$38, 0.0354, 0)</f>
        <v>31.047599999999999</v>
      </c>
      <c r="I414" s="17">
        <f>31.0138 * CHOOSE(CONTROL!$C$15, $E$9, 100%, $G$9) + CHOOSE(CONTROL!$C$38, 0.0354, 0)</f>
        <v>31.049199999999999</v>
      </c>
      <c r="J414" s="44">
        <f>264.0928</f>
        <v>264.09280000000001</v>
      </c>
    </row>
    <row r="415" spans="1:10" ht="15.75" x14ac:dyDescent="0.25">
      <c r="A415" s="14">
        <v>53570</v>
      </c>
      <c r="B415" s="17">
        <f>33.2558 * CHOOSE(CONTROL!$C$15, $E$9, 100%, $G$9) + CHOOSE(CONTROL!$C$38, 0.0353, 0)</f>
        <v>33.2911</v>
      </c>
      <c r="C415" s="17">
        <f>31.1727 * CHOOSE(CONTROL!$C$15, $E$9, 100%, $G$9) + CHOOSE(CONTROL!$C$38, 0.0354, 0)</f>
        <v>31.208099999999998</v>
      </c>
      <c r="D415" s="17">
        <f>31.1649 * CHOOSE(CONTROL!$C$15, $E$9, 100%, $G$9) + CHOOSE(CONTROL!$C$38, 0.0354, 0)</f>
        <v>31.200299999999999</v>
      </c>
      <c r="E415" s="17">
        <f>31.1649 * CHOOSE(CONTROL!$C$15, $E$9, 100%, $G$9) + CHOOSE(CONTROL!$C$38, 0.0354, 0)</f>
        <v>31.200299999999999</v>
      </c>
      <c r="F415" s="45">
        <f>33.2558 * CHOOSE(CONTROL!$C$15, $E$9, 100%, $G$9) + CHOOSE(CONTROL!$C$38, 0.0353, 0)</f>
        <v>33.2911</v>
      </c>
      <c r="G415" s="17">
        <f>31.1712 * CHOOSE(CONTROL!$C$15, $E$9, 100%, $G$9) + CHOOSE(CONTROL!$C$38, 0.0354, 0)</f>
        <v>31.206599999999998</v>
      </c>
      <c r="H415" s="17">
        <f>31.1712 * CHOOSE(CONTROL!$C$15, $E$9, 100%, $G$9) + CHOOSE(CONTROL!$C$38, 0.0354, 0)</f>
        <v>31.206599999999998</v>
      </c>
      <c r="I415" s="17">
        <f>31.1727 * CHOOSE(CONTROL!$C$15, $E$9, 100%, $G$9) + CHOOSE(CONTROL!$C$38, 0.0354, 0)</f>
        <v>31.208099999999998</v>
      </c>
      <c r="J415" s="44">
        <f>257.9448</f>
        <v>257.94479999999999</v>
      </c>
    </row>
    <row r="416" spans="1:10" ht="15.75" x14ac:dyDescent="0.25">
      <c r="A416" s="14">
        <v>53600</v>
      </c>
      <c r="B416" s="17">
        <f>33.6875 * CHOOSE(CONTROL!$C$15, $E$9, 100%, $G$9) + CHOOSE(CONTROL!$C$38, 0.0353, 0)</f>
        <v>33.722799999999999</v>
      </c>
      <c r="C416" s="17">
        <f>31.6045 * CHOOSE(CONTROL!$C$15, $E$9, 100%, $G$9) + CHOOSE(CONTROL!$C$38, 0.0354, 0)</f>
        <v>31.639900000000001</v>
      </c>
      <c r="D416" s="17">
        <f>31.5966 * CHOOSE(CONTROL!$C$15, $E$9, 100%, $G$9) + CHOOSE(CONTROL!$C$38, 0.0354, 0)</f>
        <v>31.631999999999998</v>
      </c>
      <c r="E416" s="17">
        <f>31.5966 * CHOOSE(CONTROL!$C$15, $E$9, 100%, $G$9) + CHOOSE(CONTROL!$C$38, 0.0354, 0)</f>
        <v>31.631999999999998</v>
      </c>
      <c r="F416" s="45">
        <f>33.6875 * CHOOSE(CONTROL!$C$15, $E$9, 100%, $G$9) + CHOOSE(CONTROL!$C$38, 0.0353, 0)</f>
        <v>33.722799999999999</v>
      </c>
      <c r="G416" s="17">
        <f>31.6029 * CHOOSE(CONTROL!$C$15, $E$9, 100%, $G$9) + CHOOSE(CONTROL!$C$38, 0.0354, 0)</f>
        <v>31.638300000000001</v>
      </c>
      <c r="H416" s="17">
        <f>31.6029 * CHOOSE(CONTROL!$C$15, $E$9, 100%, $G$9) + CHOOSE(CONTROL!$C$38, 0.0354, 0)</f>
        <v>31.638300000000001</v>
      </c>
      <c r="I416" s="17">
        <f>31.6045 * CHOOSE(CONTROL!$C$15, $E$9, 100%, $G$9) + CHOOSE(CONTROL!$C$38, 0.0354, 0)</f>
        <v>31.639900000000001</v>
      </c>
      <c r="J416" s="44">
        <f>249.3712</f>
        <v>249.37119999999999</v>
      </c>
    </row>
    <row r="417" spans="1:10" ht="15.75" x14ac:dyDescent="0.25">
      <c r="A417" s="14">
        <v>53631</v>
      </c>
      <c r="B417" s="17">
        <f>34.0491 * CHOOSE(CONTROL!$C$15, $E$9, 100%, $G$9) + CHOOSE(CONTROL!$C$38, 0.034, 0)</f>
        <v>34.083100000000002</v>
      </c>
      <c r="C417" s="17">
        <f>31.966 * CHOOSE(CONTROL!$C$15, $E$9, 100%, $G$9) + CHOOSE(CONTROL!$C$38, 0.0342, 0)</f>
        <v>32.0002</v>
      </c>
      <c r="D417" s="17">
        <f>31.9582 * CHOOSE(CONTROL!$C$15, $E$9, 100%, $G$9) + CHOOSE(CONTROL!$C$38, 0.0342, 0)</f>
        <v>31.9924</v>
      </c>
      <c r="E417" s="17">
        <f>31.9582 * CHOOSE(CONTROL!$C$15, $E$9, 100%, $G$9) + CHOOSE(CONTROL!$C$38, 0.0342, 0)</f>
        <v>31.9924</v>
      </c>
      <c r="F417" s="45">
        <f>34.0491 * CHOOSE(CONTROL!$C$15, $E$9, 100%, $G$9) + CHOOSE(CONTROL!$C$38, 0.034, 0)</f>
        <v>34.083100000000002</v>
      </c>
      <c r="G417" s="17">
        <f>31.9645 * CHOOSE(CONTROL!$C$15, $E$9, 100%, $G$9) + CHOOSE(CONTROL!$C$38, 0.0342, 0)</f>
        <v>31.998699999999999</v>
      </c>
      <c r="H417" s="17">
        <f>31.9645 * CHOOSE(CONTROL!$C$15, $E$9, 100%, $G$9) + CHOOSE(CONTROL!$C$38, 0.0342, 0)</f>
        <v>31.998699999999999</v>
      </c>
      <c r="I417" s="17">
        <f>31.966 * CHOOSE(CONTROL!$C$15, $E$9, 100%, $G$9) + CHOOSE(CONTROL!$C$38, 0.0342, 0)</f>
        <v>32.0002</v>
      </c>
      <c r="J417" s="44">
        <f>240.7477</f>
        <v>240.74770000000001</v>
      </c>
    </row>
    <row r="418" spans="1:10" ht="15.75" x14ac:dyDescent="0.25">
      <c r="A418" s="14">
        <v>53661</v>
      </c>
      <c r="B418" s="17">
        <f>34.3508 * CHOOSE(CONTROL!$C$15, $E$9, 100%, $G$9) + CHOOSE(CONTROL!$C$38, 0.034, 0)</f>
        <v>34.384799999999998</v>
      </c>
      <c r="C418" s="17">
        <f>32.2677 * CHOOSE(CONTROL!$C$15, $E$9, 100%, $G$9) + CHOOSE(CONTROL!$C$38, 0.0342, 0)</f>
        <v>32.301899999999996</v>
      </c>
      <c r="D418" s="17">
        <f>32.2599 * CHOOSE(CONTROL!$C$15, $E$9, 100%, $G$9) + CHOOSE(CONTROL!$C$38, 0.0342, 0)</f>
        <v>32.2941</v>
      </c>
      <c r="E418" s="17">
        <f>32.2599 * CHOOSE(CONTROL!$C$15, $E$9, 100%, $G$9) + CHOOSE(CONTROL!$C$38, 0.0342, 0)</f>
        <v>32.2941</v>
      </c>
      <c r="F418" s="45">
        <f>34.3508 * CHOOSE(CONTROL!$C$15, $E$9, 100%, $G$9) + CHOOSE(CONTROL!$C$38, 0.034, 0)</f>
        <v>34.384799999999998</v>
      </c>
      <c r="G418" s="17">
        <f>32.2662 * CHOOSE(CONTROL!$C$15, $E$9, 100%, $G$9) + CHOOSE(CONTROL!$C$38, 0.0342, 0)</f>
        <v>32.300399999999996</v>
      </c>
      <c r="H418" s="17">
        <f>32.2662 * CHOOSE(CONTROL!$C$15, $E$9, 100%, $G$9) + CHOOSE(CONTROL!$C$38, 0.0342, 0)</f>
        <v>32.300399999999996</v>
      </c>
      <c r="I418" s="17">
        <f>32.2677 * CHOOSE(CONTROL!$C$15, $E$9, 100%, $G$9) + CHOOSE(CONTROL!$C$38, 0.0342, 0)</f>
        <v>32.301899999999996</v>
      </c>
      <c r="J418" s="44">
        <f>239.0323</f>
        <v>239.03229999999999</v>
      </c>
    </row>
    <row r="419" spans="1:10" ht="15.75" x14ac:dyDescent="0.25">
      <c r="A419" s="14">
        <v>53692</v>
      </c>
      <c r="B419" s="17">
        <f>35.2805 * CHOOSE(CONTROL!$C$15, $E$9, 100%, $G$9) + CHOOSE(CONTROL!$C$38, 0.034, 0)</f>
        <v>35.314500000000002</v>
      </c>
      <c r="C419" s="17">
        <f>33.1974 * CHOOSE(CONTROL!$C$15, $E$9, 100%, $G$9) + CHOOSE(CONTROL!$C$38, 0.0342, 0)</f>
        <v>33.2316</v>
      </c>
      <c r="D419" s="17">
        <f>33.1896 * CHOOSE(CONTROL!$C$15, $E$9, 100%, $G$9) + CHOOSE(CONTROL!$C$38, 0.0342, 0)</f>
        <v>33.223799999999997</v>
      </c>
      <c r="E419" s="17">
        <f>33.1896 * CHOOSE(CONTROL!$C$15, $E$9, 100%, $G$9) + CHOOSE(CONTROL!$C$38, 0.0342, 0)</f>
        <v>33.223799999999997</v>
      </c>
      <c r="F419" s="45">
        <f>35.2805 * CHOOSE(CONTROL!$C$15, $E$9, 100%, $G$9) + CHOOSE(CONTROL!$C$38, 0.034, 0)</f>
        <v>35.314500000000002</v>
      </c>
      <c r="G419" s="17">
        <f>33.1958 * CHOOSE(CONTROL!$C$15, $E$9, 100%, $G$9) + CHOOSE(CONTROL!$C$38, 0.0342, 0)</f>
        <v>33.229999999999997</v>
      </c>
      <c r="H419" s="17">
        <f>33.1958 * CHOOSE(CONTROL!$C$15, $E$9, 100%, $G$9) + CHOOSE(CONTROL!$C$38, 0.0342, 0)</f>
        <v>33.229999999999997</v>
      </c>
      <c r="I419" s="17">
        <f>33.1974 * CHOOSE(CONTROL!$C$15, $E$9, 100%, $G$9) + CHOOSE(CONTROL!$C$38, 0.0342, 0)</f>
        <v>33.2316</v>
      </c>
      <c r="J419" s="44">
        <f>231.939</f>
        <v>231.93899999999999</v>
      </c>
    </row>
    <row r="420" spans="1:10" ht="15.75" x14ac:dyDescent="0.25">
      <c r="A420" s="14">
        <v>53723</v>
      </c>
      <c r="B420" s="17">
        <f>36.5823 * CHOOSE(CONTROL!$C$15, $E$9, 100%, $G$9) + CHOOSE(CONTROL!$C$38, 0.034, 0)</f>
        <v>36.616299999999995</v>
      </c>
      <c r="C420" s="17">
        <f>34.4668 * CHOOSE(CONTROL!$C$15, $E$9, 100%, $G$9) + CHOOSE(CONTROL!$C$38, 0.0342, 0)</f>
        <v>34.500999999999998</v>
      </c>
      <c r="D420" s="17">
        <f>34.459 * CHOOSE(CONTROL!$C$15, $E$9, 100%, $G$9) + CHOOSE(CONTROL!$C$38, 0.0342, 0)</f>
        <v>34.493200000000002</v>
      </c>
      <c r="E420" s="17">
        <f>34.459 * CHOOSE(CONTROL!$C$15, $E$9, 100%, $G$9) + CHOOSE(CONTROL!$C$38, 0.0342, 0)</f>
        <v>34.493200000000002</v>
      </c>
      <c r="F420" s="45">
        <f>36.5823 * CHOOSE(CONTROL!$C$15, $E$9, 100%, $G$9) + CHOOSE(CONTROL!$C$38, 0.034, 0)</f>
        <v>36.616299999999995</v>
      </c>
      <c r="G420" s="17">
        <f>34.4653 * CHOOSE(CONTROL!$C$15, $E$9, 100%, $G$9) + CHOOSE(CONTROL!$C$38, 0.0342, 0)</f>
        <v>34.499499999999998</v>
      </c>
      <c r="H420" s="17">
        <f>34.4653 * CHOOSE(CONTROL!$C$15, $E$9, 100%, $G$9) + CHOOSE(CONTROL!$C$38, 0.0342, 0)</f>
        <v>34.499499999999998</v>
      </c>
      <c r="I420" s="17">
        <f>34.4668 * CHOOSE(CONTROL!$C$15, $E$9, 100%, $G$9) + CHOOSE(CONTROL!$C$38, 0.0342, 0)</f>
        <v>34.500999999999998</v>
      </c>
      <c r="J420" s="44">
        <f>231.7715</f>
        <v>231.7715</v>
      </c>
    </row>
    <row r="421" spans="1:10" ht="15.75" x14ac:dyDescent="0.25">
      <c r="A421" s="14">
        <v>53751</v>
      </c>
      <c r="B421" s="17">
        <f>36.9266 * CHOOSE(CONTROL!$C$15, $E$9, 100%, $G$9) + CHOOSE(CONTROL!$C$38, 0.034, 0)</f>
        <v>36.960599999999999</v>
      </c>
      <c r="C421" s="17">
        <f>34.8111 * CHOOSE(CONTROL!$C$15, $E$9, 100%, $G$9) + CHOOSE(CONTROL!$C$38, 0.0342, 0)</f>
        <v>34.845300000000002</v>
      </c>
      <c r="D421" s="17">
        <f>34.8033 * CHOOSE(CONTROL!$C$15, $E$9, 100%, $G$9) + CHOOSE(CONTROL!$C$38, 0.0342, 0)</f>
        <v>34.837499999999999</v>
      </c>
      <c r="E421" s="17">
        <f>34.8033 * CHOOSE(CONTROL!$C$15, $E$9, 100%, $G$9) + CHOOSE(CONTROL!$C$38, 0.0342, 0)</f>
        <v>34.837499999999999</v>
      </c>
      <c r="F421" s="45">
        <f>36.9266 * CHOOSE(CONTROL!$C$15, $E$9, 100%, $G$9) + CHOOSE(CONTROL!$C$38, 0.034, 0)</f>
        <v>36.960599999999999</v>
      </c>
      <c r="G421" s="17">
        <f>34.8096 * CHOOSE(CONTROL!$C$15, $E$9, 100%, $G$9) + CHOOSE(CONTROL!$C$38, 0.0342, 0)</f>
        <v>34.843800000000002</v>
      </c>
      <c r="H421" s="17">
        <f>34.8096 * CHOOSE(CONTROL!$C$15, $E$9, 100%, $G$9) + CHOOSE(CONTROL!$C$38, 0.0342, 0)</f>
        <v>34.843800000000002</v>
      </c>
      <c r="I421" s="17">
        <f>34.8111 * CHOOSE(CONTROL!$C$15, $E$9, 100%, $G$9) + CHOOSE(CONTROL!$C$38, 0.0342, 0)</f>
        <v>34.845300000000002</v>
      </c>
      <c r="J421" s="44">
        <f>231.1273</f>
        <v>231.12729999999999</v>
      </c>
    </row>
    <row r="422" spans="1:10" ht="15.75" x14ac:dyDescent="0.25">
      <c r="A422" s="14">
        <v>53782</v>
      </c>
      <c r="B422" s="17">
        <f>36.1295 * CHOOSE(CONTROL!$C$15, $E$9, 100%, $G$9) + CHOOSE(CONTROL!$C$38, 0.034, 0)</f>
        <v>36.163499999999999</v>
      </c>
      <c r="C422" s="17">
        <f>34.0141 * CHOOSE(CONTROL!$C$15, $E$9, 100%, $G$9) + CHOOSE(CONTROL!$C$38, 0.0342, 0)</f>
        <v>34.048299999999998</v>
      </c>
      <c r="D422" s="17">
        <f>34.0063 * CHOOSE(CONTROL!$C$15, $E$9, 100%, $G$9) + CHOOSE(CONTROL!$C$38, 0.0342, 0)</f>
        <v>34.040500000000002</v>
      </c>
      <c r="E422" s="17">
        <f>34.0063 * CHOOSE(CONTROL!$C$15, $E$9, 100%, $G$9) + CHOOSE(CONTROL!$C$38, 0.0342, 0)</f>
        <v>34.040500000000002</v>
      </c>
      <c r="F422" s="45">
        <f>36.1295 * CHOOSE(CONTROL!$C$15, $E$9, 100%, $G$9) + CHOOSE(CONTROL!$C$38, 0.034, 0)</f>
        <v>36.163499999999999</v>
      </c>
      <c r="G422" s="17">
        <f>34.0125 * CHOOSE(CONTROL!$C$15, $E$9, 100%, $G$9) + CHOOSE(CONTROL!$C$38, 0.0342, 0)</f>
        <v>34.046700000000001</v>
      </c>
      <c r="H422" s="17">
        <f>34.0125 * CHOOSE(CONTROL!$C$15, $E$9, 100%, $G$9) + CHOOSE(CONTROL!$C$38, 0.0342, 0)</f>
        <v>34.046700000000001</v>
      </c>
      <c r="I422" s="17">
        <f>34.0141 * CHOOSE(CONTROL!$C$15, $E$9, 100%, $G$9) + CHOOSE(CONTROL!$C$38, 0.0342, 0)</f>
        <v>34.048299999999998</v>
      </c>
      <c r="J422" s="44">
        <f>243.309</f>
        <v>243.309</v>
      </c>
    </row>
    <row r="423" spans="1:10" ht="15.75" x14ac:dyDescent="0.25">
      <c r="A423" s="14">
        <v>53812</v>
      </c>
      <c r="B423" s="17">
        <f>35.3572 * CHOOSE(CONTROL!$C$15, $E$9, 100%, $G$9) + CHOOSE(CONTROL!$C$38, 0.034, 0)</f>
        <v>35.391199999999998</v>
      </c>
      <c r="C423" s="17">
        <f>33.2418 * CHOOSE(CONTROL!$C$15, $E$9, 100%, $G$9) + CHOOSE(CONTROL!$C$38, 0.0342, 0)</f>
        <v>33.275999999999996</v>
      </c>
      <c r="D423" s="17">
        <f>33.234 * CHOOSE(CONTROL!$C$15, $E$9, 100%, $G$9) + CHOOSE(CONTROL!$C$38, 0.0342, 0)</f>
        <v>33.2682</v>
      </c>
      <c r="E423" s="17">
        <f>33.234 * CHOOSE(CONTROL!$C$15, $E$9, 100%, $G$9) + CHOOSE(CONTROL!$C$38, 0.0342, 0)</f>
        <v>33.2682</v>
      </c>
      <c r="F423" s="45">
        <f>35.3572 * CHOOSE(CONTROL!$C$15, $E$9, 100%, $G$9) + CHOOSE(CONTROL!$C$38, 0.034, 0)</f>
        <v>35.391199999999998</v>
      </c>
      <c r="G423" s="17">
        <f>33.2402 * CHOOSE(CONTROL!$C$15, $E$9, 100%, $G$9) + CHOOSE(CONTROL!$C$38, 0.0342, 0)</f>
        <v>33.2744</v>
      </c>
      <c r="H423" s="17">
        <f>33.2402 * CHOOSE(CONTROL!$C$15, $E$9, 100%, $G$9) + CHOOSE(CONTROL!$C$38, 0.0342, 0)</f>
        <v>33.2744</v>
      </c>
      <c r="I423" s="17">
        <f>33.2418 * CHOOSE(CONTROL!$C$15, $E$9, 100%, $G$9) + CHOOSE(CONTROL!$C$38, 0.0342, 0)</f>
        <v>33.275999999999996</v>
      </c>
      <c r="J423" s="44">
        <f>259.1058</f>
        <v>259.10579999999999</v>
      </c>
    </row>
    <row r="424" spans="1:10" ht="15.75" x14ac:dyDescent="0.25">
      <c r="A424" s="14">
        <v>53843</v>
      </c>
      <c r="B424" s="17">
        <f>34.5523 * CHOOSE(CONTROL!$C$15, $E$9, 100%, $G$9) + CHOOSE(CONTROL!$C$38, 0.0353, 0)</f>
        <v>34.587600000000002</v>
      </c>
      <c r="C424" s="17">
        <f>32.4368 * CHOOSE(CONTROL!$C$15, $E$9, 100%, $G$9) + CHOOSE(CONTROL!$C$38, 0.0354, 0)</f>
        <v>32.472200000000001</v>
      </c>
      <c r="D424" s="17">
        <f>32.429 * CHOOSE(CONTROL!$C$15, $E$9, 100%, $G$9) + CHOOSE(CONTROL!$C$38, 0.0354, 0)</f>
        <v>32.464400000000005</v>
      </c>
      <c r="E424" s="17">
        <f>32.429 * CHOOSE(CONTROL!$C$15, $E$9, 100%, $G$9) + CHOOSE(CONTROL!$C$38, 0.0354, 0)</f>
        <v>32.464400000000005</v>
      </c>
      <c r="F424" s="45">
        <f>34.5523 * CHOOSE(CONTROL!$C$15, $E$9, 100%, $G$9) + CHOOSE(CONTROL!$C$38, 0.0353, 0)</f>
        <v>34.587600000000002</v>
      </c>
      <c r="G424" s="17">
        <f>32.4353 * CHOOSE(CONTROL!$C$15, $E$9, 100%, $G$9) + CHOOSE(CONTROL!$C$38, 0.0354, 0)</f>
        <v>32.470700000000001</v>
      </c>
      <c r="H424" s="17">
        <f>32.4353 * CHOOSE(CONTROL!$C$15, $E$9, 100%, $G$9) + CHOOSE(CONTROL!$C$38, 0.0354, 0)</f>
        <v>32.470700000000001</v>
      </c>
      <c r="I424" s="17">
        <f>32.4368 * CHOOSE(CONTROL!$C$15, $E$9, 100%, $G$9) + CHOOSE(CONTROL!$C$38, 0.0354, 0)</f>
        <v>32.472200000000001</v>
      </c>
      <c r="J424" s="44">
        <f>267.8009</f>
        <v>267.80090000000001</v>
      </c>
    </row>
    <row r="425" spans="1:10" ht="15.75" x14ac:dyDescent="0.25">
      <c r="A425" s="14">
        <v>53873</v>
      </c>
      <c r="B425" s="17">
        <f>33.9879 * CHOOSE(CONTROL!$C$15, $E$9, 100%, $G$9) + CHOOSE(CONTROL!$C$38, 0.0353, 0)</f>
        <v>34.023200000000003</v>
      </c>
      <c r="C425" s="17">
        <f>31.8725 * CHOOSE(CONTROL!$C$15, $E$9, 100%, $G$9) + CHOOSE(CONTROL!$C$38, 0.0354, 0)</f>
        <v>31.907899999999998</v>
      </c>
      <c r="D425" s="17">
        <f>31.8647 * CHOOSE(CONTROL!$C$15, $E$9, 100%, $G$9) + CHOOSE(CONTROL!$C$38, 0.0354, 0)</f>
        <v>31.900099999999998</v>
      </c>
      <c r="E425" s="17">
        <f>31.8647 * CHOOSE(CONTROL!$C$15, $E$9, 100%, $G$9) + CHOOSE(CONTROL!$C$38, 0.0354, 0)</f>
        <v>31.900099999999998</v>
      </c>
      <c r="F425" s="45">
        <f>33.9879 * CHOOSE(CONTROL!$C$15, $E$9, 100%, $G$9) + CHOOSE(CONTROL!$C$38, 0.0353, 0)</f>
        <v>34.023200000000003</v>
      </c>
      <c r="G425" s="17">
        <f>31.8709 * CHOOSE(CONTROL!$C$15, $E$9, 100%, $G$9) + CHOOSE(CONTROL!$C$38, 0.0354, 0)</f>
        <v>31.906299999999998</v>
      </c>
      <c r="H425" s="17">
        <f>31.8709 * CHOOSE(CONTROL!$C$15, $E$9, 100%, $G$9) + CHOOSE(CONTROL!$C$38, 0.0354, 0)</f>
        <v>31.906299999999998</v>
      </c>
      <c r="I425" s="17">
        <f>31.8725 * CHOOSE(CONTROL!$C$15, $E$9, 100%, $G$9) + CHOOSE(CONTROL!$C$38, 0.0354, 0)</f>
        <v>31.907899999999998</v>
      </c>
      <c r="J425" s="44">
        <f>271.6596</f>
        <v>271.65960000000001</v>
      </c>
    </row>
    <row r="426" spans="1:10" ht="15.75" x14ac:dyDescent="0.25">
      <c r="A426" s="14">
        <v>53904</v>
      </c>
      <c r="B426" s="17">
        <f>33.6659 * CHOOSE(CONTROL!$C$15, $E$9, 100%, $G$9) + CHOOSE(CONTROL!$C$38, 0.0353, 0)</f>
        <v>33.7012</v>
      </c>
      <c r="C426" s="17">
        <f>31.5504 * CHOOSE(CONTROL!$C$15, $E$9, 100%, $G$9) + CHOOSE(CONTROL!$C$38, 0.0354, 0)</f>
        <v>31.585799999999999</v>
      </c>
      <c r="D426" s="17">
        <f>31.5426 * CHOOSE(CONTROL!$C$15, $E$9, 100%, $G$9) + CHOOSE(CONTROL!$C$38, 0.0354, 0)</f>
        <v>31.577999999999999</v>
      </c>
      <c r="E426" s="17">
        <f>31.5426 * CHOOSE(CONTROL!$C$15, $E$9, 100%, $G$9) + CHOOSE(CONTROL!$C$38, 0.0354, 0)</f>
        <v>31.577999999999999</v>
      </c>
      <c r="F426" s="45">
        <f>33.6659 * CHOOSE(CONTROL!$C$15, $E$9, 100%, $G$9) + CHOOSE(CONTROL!$C$38, 0.0353, 0)</f>
        <v>33.7012</v>
      </c>
      <c r="G426" s="17">
        <f>31.5489 * CHOOSE(CONTROL!$C$15, $E$9, 100%, $G$9) + CHOOSE(CONTROL!$C$38, 0.0354, 0)</f>
        <v>31.584299999999999</v>
      </c>
      <c r="H426" s="17">
        <f>31.5489 * CHOOSE(CONTROL!$C$15, $E$9, 100%, $G$9) + CHOOSE(CONTROL!$C$38, 0.0354, 0)</f>
        <v>31.584299999999999</v>
      </c>
      <c r="I426" s="17">
        <f>31.5504 * CHOOSE(CONTROL!$C$15, $E$9, 100%, $G$9) + CHOOSE(CONTROL!$C$38, 0.0354, 0)</f>
        <v>31.585799999999999</v>
      </c>
      <c r="J426" s="44">
        <f>270.3892</f>
        <v>270.38920000000002</v>
      </c>
    </row>
    <row r="427" spans="1:10" ht="15.75" x14ac:dyDescent="0.25">
      <c r="A427" s="14">
        <v>53935</v>
      </c>
      <c r="B427" s="17">
        <f>33.8248 * CHOOSE(CONTROL!$C$15, $E$9, 100%, $G$9) + CHOOSE(CONTROL!$C$38, 0.0353, 0)</f>
        <v>33.860100000000003</v>
      </c>
      <c r="C427" s="17">
        <f>31.7094 * CHOOSE(CONTROL!$C$15, $E$9, 100%, $G$9) + CHOOSE(CONTROL!$C$38, 0.0354, 0)</f>
        <v>31.744799999999998</v>
      </c>
      <c r="D427" s="17">
        <f>31.7016 * CHOOSE(CONTROL!$C$15, $E$9, 100%, $G$9) + CHOOSE(CONTROL!$C$38, 0.0354, 0)</f>
        <v>31.736999999999998</v>
      </c>
      <c r="E427" s="17">
        <f>31.7016 * CHOOSE(CONTROL!$C$15, $E$9, 100%, $G$9) + CHOOSE(CONTROL!$C$38, 0.0354, 0)</f>
        <v>31.736999999999998</v>
      </c>
      <c r="F427" s="45">
        <f>33.8248 * CHOOSE(CONTROL!$C$15, $E$9, 100%, $G$9) + CHOOSE(CONTROL!$C$38, 0.0353, 0)</f>
        <v>33.860100000000003</v>
      </c>
      <c r="G427" s="17">
        <f>31.7078 * CHOOSE(CONTROL!$C$15, $E$9, 100%, $G$9) + CHOOSE(CONTROL!$C$38, 0.0354, 0)</f>
        <v>31.743199999999998</v>
      </c>
      <c r="H427" s="17">
        <f>31.7078 * CHOOSE(CONTROL!$C$15, $E$9, 100%, $G$9) + CHOOSE(CONTROL!$C$38, 0.0354, 0)</f>
        <v>31.743199999999998</v>
      </c>
      <c r="I427" s="17">
        <f>31.7094 * CHOOSE(CONTROL!$C$15, $E$9, 100%, $G$9) + CHOOSE(CONTROL!$C$38, 0.0354, 0)</f>
        <v>31.744799999999998</v>
      </c>
      <c r="J427" s="44">
        <f>264.0946</f>
        <v>264.09460000000001</v>
      </c>
    </row>
    <row r="428" spans="1:10" ht="15.75" x14ac:dyDescent="0.25">
      <c r="A428" s="14">
        <v>53965</v>
      </c>
      <c r="B428" s="17">
        <f>34.2565 * CHOOSE(CONTROL!$C$15, $E$9, 100%, $G$9) + CHOOSE(CONTROL!$C$38, 0.0353, 0)</f>
        <v>34.291800000000002</v>
      </c>
      <c r="C428" s="17">
        <f>32.1411 * CHOOSE(CONTROL!$C$15, $E$9, 100%, $G$9) + CHOOSE(CONTROL!$C$38, 0.0354, 0)</f>
        <v>32.176500000000004</v>
      </c>
      <c r="D428" s="17">
        <f>32.1333 * CHOOSE(CONTROL!$C$15, $E$9, 100%, $G$9) + CHOOSE(CONTROL!$C$38, 0.0354, 0)</f>
        <v>32.168700000000001</v>
      </c>
      <c r="E428" s="17">
        <f>32.1333 * CHOOSE(CONTROL!$C$15, $E$9, 100%, $G$9) + CHOOSE(CONTROL!$C$38, 0.0354, 0)</f>
        <v>32.168700000000001</v>
      </c>
      <c r="F428" s="45">
        <f>34.2565 * CHOOSE(CONTROL!$C$15, $E$9, 100%, $G$9) + CHOOSE(CONTROL!$C$38, 0.0353, 0)</f>
        <v>34.291800000000002</v>
      </c>
      <c r="G428" s="17">
        <f>32.1395 * CHOOSE(CONTROL!$C$15, $E$9, 100%, $G$9) + CHOOSE(CONTROL!$C$38, 0.0354, 0)</f>
        <v>32.174900000000001</v>
      </c>
      <c r="H428" s="17">
        <f>32.1395 * CHOOSE(CONTROL!$C$15, $E$9, 100%, $G$9) + CHOOSE(CONTROL!$C$38, 0.0354, 0)</f>
        <v>32.174900000000001</v>
      </c>
      <c r="I428" s="17">
        <f>32.1411 * CHOOSE(CONTROL!$C$15, $E$9, 100%, $G$9) + CHOOSE(CONTROL!$C$38, 0.0354, 0)</f>
        <v>32.176500000000004</v>
      </c>
      <c r="J428" s="44">
        <f>255.3166</f>
        <v>255.31659999999999</v>
      </c>
    </row>
    <row r="429" spans="1:10" ht="15.75" x14ac:dyDescent="0.25">
      <c r="A429" s="14">
        <v>53996</v>
      </c>
      <c r="B429" s="17">
        <f>34.6181 * CHOOSE(CONTROL!$C$15, $E$9, 100%, $G$9) + CHOOSE(CONTROL!$C$38, 0.034, 0)</f>
        <v>34.652099999999997</v>
      </c>
      <c r="C429" s="17">
        <f>32.5027 * CHOOSE(CONTROL!$C$15, $E$9, 100%, $G$9) + CHOOSE(CONTROL!$C$38, 0.0342, 0)</f>
        <v>32.536899999999996</v>
      </c>
      <c r="D429" s="17">
        <f>32.4948 * CHOOSE(CONTROL!$C$15, $E$9, 100%, $G$9) + CHOOSE(CONTROL!$C$38, 0.0342, 0)</f>
        <v>32.528999999999996</v>
      </c>
      <c r="E429" s="17">
        <f>32.4948 * CHOOSE(CONTROL!$C$15, $E$9, 100%, $G$9) + CHOOSE(CONTROL!$C$38, 0.0342, 0)</f>
        <v>32.528999999999996</v>
      </c>
      <c r="F429" s="45">
        <f>34.6181 * CHOOSE(CONTROL!$C$15, $E$9, 100%, $G$9) + CHOOSE(CONTROL!$C$38, 0.034, 0)</f>
        <v>34.652099999999997</v>
      </c>
      <c r="G429" s="17">
        <f>32.5011 * CHOOSE(CONTROL!$C$15, $E$9, 100%, $G$9) + CHOOSE(CONTROL!$C$38, 0.0342, 0)</f>
        <v>32.535299999999999</v>
      </c>
      <c r="H429" s="17">
        <f>32.5011 * CHOOSE(CONTROL!$C$15, $E$9, 100%, $G$9) + CHOOSE(CONTROL!$C$38, 0.0342, 0)</f>
        <v>32.535299999999999</v>
      </c>
      <c r="I429" s="17">
        <f>32.5027 * CHOOSE(CONTROL!$C$15, $E$9, 100%, $G$9) + CHOOSE(CONTROL!$C$38, 0.0342, 0)</f>
        <v>32.536899999999996</v>
      </c>
      <c r="J429" s="44">
        <f>246.4874</f>
        <v>246.48740000000001</v>
      </c>
    </row>
    <row r="430" spans="1:10" ht="15.75" x14ac:dyDescent="0.25">
      <c r="A430" s="14">
        <v>54026</v>
      </c>
      <c r="B430" s="17">
        <f>34.9198 * CHOOSE(CONTROL!$C$15, $E$9, 100%, $G$9) + CHOOSE(CONTROL!$C$38, 0.034, 0)</f>
        <v>34.953800000000001</v>
      </c>
      <c r="C430" s="17">
        <f>32.8044 * CHOOSE(CONTROL!$C$15, $E$9, 100%, $G$9) + CHOOSE(CONTROL!$C$38, 0.0342, 0)</f>
        <v>32.8386</v>
      </c>
      <c r="D430" s="17">
        <f>32.7965 * CHOOSE(CONTROL!$C$15, $E$9, 100%, $G$9) + CHOOSE(CONTROL!$C$38, 0.0342, 0)</f>
        <v>32.8307</v>
      </c>
      <c r="E430" s="17">
        <f>32.7965 * CHOOSE(CONTROL!$C$15, $E$9, 100%, $G$9) + CHOOSE(CONTROL!$C$38, 0.0342, 0)</f>
        <v>32.8307</v>
      </c>
      <c r="F430" s="45">
        <f>34.9198 * CHOOSE(CONTROL!$C$15, $E$9, 100%, $G$9) + CHOOSE(CONTROL!$C$38, 0.034, 0)</f>
        <v>34.953800000000001</v>
      </c>
      <c r="G430" s="17">
        <f>32.8028 * CHOOSE(CONTROL!$C$15, $E$9, 100%, $G$9) + CHOOSE(CONTROL!$C$38, 0.0342, 0)</f>
        <v>32.836999999999996</v>
      </c>
      <c r="H430" s="17">
        <f>32.8028 * CHOOSE(CONTROL!$C$15, $E$9, 100%, $G$9) + CHOOSE(CONTROL!$C$38, 0.0342, 0)</f>
        <v>32.836999999999996</v>
      </c>
      <c r="I430" s="17">
        <f>32.8044 * CHOOSE(CONTROL!$C$15, $E$9, 100%, $G$9) + CHOOSE(CONTROL!$C$38, 0.0342, 0)</f>
        <v>32.8386</v>
      </c>
      <c r="J430" s="44">
        <f>244.7312</f>
        <v>244.7312</v>
      </c>
    </row>
    <row r="431" spans="1:10" ht="15.75" x14ac:dyDescent="0.25">
      <c r="A431" s="14">
        <v>54057</v>
      </c>
      <c r="B431" s="17">
        <f>35.8495 * CHOOSE(CONTROL!$C$15, $E$9, 100%, $G$9) + CHOOSE(CONTROL!$C$38, 0.034, 0)</f>
        <v>35.883499999999998</v>
      </c>
      <c r="C431" s="17">
        <f>33.734 * CHOOSE(CONTROL!$C$15, $E$9, 100%, $G$9) + CHOOSE(CONTROL!$C$38, 0.0342, 0)</f>
        <v>33.7682</v>
      </c>
      <c r="D431" s="17">
        <f>33.7262 * CHOOSE(CONTROL!$C$15, $E$9, 100%, $G$9) + CHOOSE(CONTROL!$C$38, 0.0342, 0)</f>
        <v>33.760399999999997</v>
      </c>
      <c r="E431" s="17">
        <f>33.7262 * CHOOSE(CONTROL!$C$15, $E$9, 100%, $G$9) + CHOOSE(CONTROL!$C$38, 0.0342, 0)</f>
        <v>33.760399999999997</v>
      </c>
      <c r="F431" s="45">
        <f>35.8495 * CHOOSE(CONTROL!$C$15, $E$9, 100%, $G$9) + CHOOSE(CONTROL!$C$38, 0.034, 0)</f>
        <v>35.883499999999998</v>
      </c>
      <c r="G431" s="17">
        <f>33.7325 * CHOOSE(CONTROL!$C$15, $E$9, 100%, $G$9) + CHOOSE(CONTROL!$C$38, 0.0342, 0)</f>
        <v>33.7667</v>
      </c>
      <c r="H431" s="17">
        <f>33.7325 * CHOOSE(CONTROL!$C$15, $E$9, 100%, $G$9) + CHOOSE(CONTROL!$C$38, 0.0342, 0)</f>
        <v>33.7667</v>
      </c>
      <c r="I431" s="17">
        <f>33.734 * CHOOSE(CONTROL!$C$15, $E$9, 100%, $G$9) + CHOOSE(CONTROL!$C$38, 0.0342, 0)</f>
        <v>33.7682</v>
      </c>
      <c r="J431" s="44">
        <f>237.4687</f>
        <v>237.46870000000001</v>
      </c>
    </row>
    <row r="432" spans="1:10" ht="15.75" x14ac:dyDescent="0.25">
      <c r="A432" s="14">
        <v>54088</v>
      </c>
      <c r="B432" s="17">
        <f>37.1608 * CHOOSE(CONTROL!$C$15, $E$9, 100%, $G$9) + CHOOSE(CONTROL!$C$38, 0.034, 0)</f>
        <v>37.194800000000001</v>
      </c>
      <c r="C432" s="17">
        <f>35.0125 * CHOOSE(CONTROL!$C$15, $E$9, 100%, $G$9) + CHOOSE(CONTROL!$C$38, 0.0342, 0)</f>
        <v>35.046700000000001</v>
      </c>
      <c r="D432" s="17">
        <f>35.0047 * CHOOSE(CONTROL!$C$15, $E$9, 100%, $G$9) + CHOOSE(CONTROL!$C$38, 0.0342, 0)</f>
        <v>35.038899999999998</v>
      </c>
      <c r="E432" s="17">
        <f>35.0047 * CHOOSE(CONTROL!$C$15, $E$9, 100%, $G$9) + CHOOSE(CONTROL!$C$38, 0.0342, 0)</f>
        <v>35.038899999999998</v>
      </c>
      <c r="F432" s="45">
        <f>37.1608 * CHOOSE(CONTROL!$C$15, $E$9, 100%, $G$9) + CHOOSE(CONTROL!$C$38, 0.034, 0)</f>
        <v>37.194800000000001</v>
      </c>
      <c r="G432" s="17">
        <f>35.0109 * CHOOSE(CONTROL!$C$15, $E$9, 100%, $G$9) + CHOOSE(CONTROL!$C$38, 0.0342, 0)</f>
        <v>35.045099999999998</v>
      </c>
      <c r="H432" s="17">
        <f>35.0109 * CHOOSE(CONTROL!$C$15, $E$9, 100%, $G$9) + CHOOSE(CONTROL!$C$38, 0.0342, 0)</f>
        <v>35.045099999999998</v>
      </c>
      <c r="I432" s="17">
        <f>35.0125 * CHOOSE(CONTROL!$C$15, $E$9, 100%, $G$9) + CHOOSE(CONTROL!$C$38, 0.0342, 0)</f>
        <v>35.046700000000001</v>
      </c>
      <c r="J432" s="44">
        <f>237.2973</f>
        <v>237.29730000000001</v>
      </c>
    </row>
    <row r="433" spans="1:10" ht="15.75" x14ac:dyDescent="0.25">
      <c r="A433" s="14">
        <v>54116</v>
      </c>
      <c r="B433" s="17">
        <f>37.5051 * CHOOSE(CONTROL!$C$15, $E$9, 100%, $G$9) + CHOOSE(CONTROL!$C$38, 0.034, 0)</f>
        <v>37.539099999999998</v>
      </c>
      <c r="C433" s="17">
        <f>35.3568 * CHOOSE(CONTROL!$C$15, $E$9, 100%, $G$9) + CHOOSE(CONTROL!$C$38, 0.0342, 0)</f>
        <v>35.390999999999998</v>
      </c>
      <c r="D433" s="17">
        <f>35.349 * CHOOSE(CONTROL!$C$15, $E$9, 100%, $G$9) + CHOOSE(CONTROL!$C$38, 0.0342, 0)</f>
        <v>35.383199999999995</v>
      </c>
      <c r="E433" s="17">
        <f>35.349 * CHOOSE(CONTROL!$C$15, $E$9, 100%, $G$9) + CHOOSE(CONTROL!$C$38, 0.0342, 0)</f>
        <v>35.383199999999995</v>
      </c>
      <c r="F433" s="45">
        <f>37.5051 * CHOOSE(CONTROL!$C$15, $E$9, 100%, $G$9) + CHOOSE(CONTROL!$C$38, 0.034, 0)</f>
        <v>37.539099999999998</v>
      </c>
      <c r="G433" s="17">
        <f>35.3552 * CHOOSE(CONTROL!$C$15, $E$9, 100%, $G$9) + CHOOSE(CONTROL!$C$38, 0.0342, 0)</f>
        <v>35.389400000000002</v>
      </c>
      <c r="H433" s="17">
        <f>35.3552 * CHOOSE(CONTROL!$C$15, $E$9, 100%, $G$9) + CHOOSE(CONTROL!$C$38, 0.0342, 0)</f>
        <v>35.389400000000002</v>
      </c>
      <c r="I433" s="17">
        <f>35.3568 * CHOOSE(CONTROL!$C$15, $E$9, 100%, $G$9) + CHOOSE(CONTROL!$C$38, 0.0342, 0)</f>
        <v>35.390999999999998</v>
      </c>
      <c r="J433" s="44">
        <f>236.6377</f>
        <v>236.6377</v>
      </c>
    </row>
    <row r="434" spans="1:10" ht="15.75" x14ac:dyDescent="0.25">
      <c r="A434" s="14">
        <v>54148</v>
      </c>
      <c r="B434" s="17">
        <f>36.7081 * CHOOSE(CONTROL!$C$15, $E$9, 100%, $G$9) + CHOOSE(CONTROL!$C$38, 0.034, 0)</f>
        <v>36.742100000000001</v>
      </c>
      <c r="C434" s="17">
        <f>34.5597 * CHOOSE(CONTROL!$C$15, $E$9, 100%, $G$9) + CHOOSE(CONTROL!$C$38, 0.0342, 0)</f>
        <v>34.593899999999998</v>
      </c>
      <c r="D434" s="17">
        <f>34.5519 * CHOOSE(CONTROL!$C$15, $E$9, 100%, $G$9) + CHOOSE(CONTROL!$C$38, 0.0342, 0)</f>
        <v>34.586100000000002</v>
      </c>
      <c r="E434" s="17">
        <f>34.5519 * CHOOSE(CONTROL!$C$15, $E$9, 100%, $G$9) + CHOOSE(CONTROL!$C$38, 0.0342, 0)</f>
        <v>34.586100000000002</v>
      </c>
      <c r="F434" s="45">
        <f>36.7081 * CHOOSE(CONTROL!$C$15, $E$9, 100%, $G$9) + CHOOSE(CONTROL!$C$38, 0.034, 0)</f>
        <v>36.742100000000001</v>
      </c>
      <c r="G434" s="17">
        <f>34.5582 * CHOOSE(CONTROL!$C$15, $E$9, 100%, $G$9) + CHOOSE(CONTROL!$C$38, 0.0342, 0)</f>
        <v>34.592399999999998</v>
      </c>
      <c r="H434" s="17">
        <f>34.5582 * CHOOSE(CONTROL!$C$15, $E$9, 100%, $G$9) + CHOOSE(CONTROL!$C$38, 0.0342, 0)</f>
        <v>34.592399999999998</v>
      </c>
      <c r="I434" s="17">
        <f>34.5597 * CHOOSE(CONTROL!$C$15, $E$9, 100%, $G$9) + CHOOSE(CONTROL!$C$38, 0.0342, 0)</f>
        <v>34.593899999999998</v>
      </c>
      <c r="J434" s="44">
        <f>249.1099</f>
        <v>249.10990000000001</v>
      </c>
    </row>
    <row r="435" spans="1:10" ht="15.75" x14ac:dyDescent="0.25">
      <c r="A435" s="14">
        <v>54178</v>
      </c>
      <c r="B435" s="17">
        <f>35.9358 * CHOOSE(CONTROL!$C$15, $E$9, 100%, $G$9) + CHOOSE(CONTROL!$C$38, 0.034, 0)</f>
        <v>35.969799999999999</v>
      </c>
      <c r="C435" s="17">
        <f>33.7874 * CHOOSE(CONTROL!$C$15, $E$9, 100%, $G$9) + CHOOSE(CONTROL!$C$38, 0.0342, 0)</f>
        <v>33.821599999999997</v>
      </c>
      <c r="D435" s="17">
        <f>33.7796 * CHOOSE(CONTROL!$C$15, $E$9, 100%, $G$9) + CHOOSE(CONTROL!$C$38, 0.0342, 0)</f>
        <v>33.813800000000001</v>
      </c>
      <c r="E435" s="17">
        <f>33.7796 * CHOOSE(CONTROL!$C$15, $E$9, 100%, $G$9) + CHOOSE(CONTROL!$C$38, 0.0342, 0)</f>
        <v>33.813800000000001</v>
      </c>
      <c r="F435" s="45">
        <f>35.9358 * CHOOSE(CONTROL!$C$15, $E$9, 100%, $G$9) + CHOOSE(CONTROL!$C$38, 0.034, 0)</f>
        <v>35.969799999999999</v>
      </c>
      <c r="G435" s="17">
        <f>33.7859 * CHOOSE(CONTROL!$C$15, $E$9, 100%, $G$9) + CHOOSE(CONTROL!$C$38, 0.0342, 0)</f>
        <v>33.820099999999996</v>
      </c>
      <c r="H435" s="17">
        <f>33.7859 * CHOOSE(CONTROL!$C$15, $E$9, 100%, $G$9) + CHOOSE(CONTROL!$C$38, 0.0342, 0)</f>
        <v>33.820099999999996</v>
      </c>
      <c r="I435" s="17">
        <f>33.7874 * CHOOSE(CONTROL!$C$15, $E$9, 100%, $G$9) + CHOOSE(CONTROL!$C$38, 0.0342, 0)</f>
        <v>33.821599999999997</v>
      </c>
      <c r="J435" s="44">
        <f>265.2833</f>
        <v>265.2833</v>
      </c>
    </row>
    <row r="436" spans="1:10" ht="15.75" x14ac:dyDescent="0.25">
      <c r="A436" s="14">
        <v>54209</v>
      </c>
      <c r="B436" s="17">
        <f>35.1308 * CHOOSE(CONTROL!$C$15, $E$9, 100%, $G$9) + CHOOSE(CONTROL!$C$38, 0.0353, 0)</f>
        <v>35.1661</v>
      </c>
      <c r="C436" s="17">
        <f>32.9825 * CHOOSE(CONTROL!$C$15, $E$9, 100%, $G$9) + CHOOSE(CONTROL!$C$38, 0.0354, 0)</f>
        <v>33.017900000000004</v>
      </c>
      <c r="D436" s="17">
        <f>32.9747 * CHOOSE(CONTROL!$C$15, $E$9, 100%, $G$9) + CHOOSE(CONTROL!$C$38, 0.0354, 0)</f>
        <v>33.010100000000001</v>
      </c>
      <c r="E436" s="17">
        <f>32.9747 * CHOOSE(CONTROL!$C$15, $E$9, 100%, $G$9) + CHOOSE(CONTROL!$C$38, 0.0354, 0)</f>
        <v>33.010100000000001</v>
      </c>
      <c r="F436" s="45">
        <f>35.1308 * CHOOSE(CONTROL!$C$15, $E$9, 100%, $G$9) + CHOOSE(CONTROL!$C$38, 0.0353, 0)</f>
        <v>35.1661</v>
      </c>
      <c r="G436" s="17">
        <f>32.9809 * CHOOSE(CONTROL!$C$15, $E$9, 100%, $G$9) + CHOOSE(CONTROL!$C$38, 0.0354, 0)</f>
        <v>33.016300000000001</v>
      </c>
      <c r="H436" s="17">
        <f>32.9809 * CHOOSE(CONTROL!$C$15, $E$9, 100%, $G$9) + CHOOSE(CONTROL!$C$38, 0.0354, 0)</f>
        <v>33.016300000000001</v>
      </c>
      <c r="I436" s="17">
        <f>32.9825 * CHOOSE(CONTROL!$C$15, $E$9, 100%, $G$9) + CHOOSE(CONTROL!$C$38, 0.0354, 0)</f>
        <v>33.017900000000004</v>
      </c>
      <c r="J436" s="44">
        <f>274.1857</f>
        <v>274.1857</v>
      </c>
    </row>
    <row r="437" spans="1:10" ht="15.75" x14ac:dyDescent="0.25">
      <c r="A437" s="14">
        <v>54239</v>
      </c>
      <c r="B437" s="17">
        <f>34.5665 * CHOOSE(CONTROL!$C$15, $E$9, 100%, $G$9) + CHOOSE(CONTROL!$C$38, 0.0353, 0)</f>
        <v>34.601799999999997</v>
      </c>
      <c r="C437" s="17">
        <f>32.4181 * CHOOSE(CONTROL!$C$15, $E$9, 100%, $G$9) + CHOOSE(CONTROL!$C$38, 0.0354, 0)</f>
        <v>32.453500000000005</v>
      </c>
      <c r="D437" s="17">
        <f>32.4103 * CHOOSE(CONTROL!$C$15, $E$9, 100%, $G$9) + CHOOSE(CONTROL!$C$38, 0.0354, 0)</f>
        <v>32.445700000000002</v>
      </c>
      <c r="E437" s="17">
        <f>32.4103 * CHOOSE(CONTROL!$C$15, $E$9, 100%, $G$9) + CHOOSE(CONTROL!$C$38, 0.0354, 0)</f>
        <v>32.445700000000002</v>
      </c>
      <c r="F437" s="45">
        <f>34.5665 * CHOOSE(CONTROL!$C$15, $E$9, 100%, $G$9) + CHOOSE(CONTROL!$C$38, 0.0353, 0)</f>
        <v>34.601799999999997</v>
      </c>
      <c r="G437" s="17">
        <f>32.4166 * CHOOSE(CONTROL!$C$15, $E$9, 100%, $G$9) + CHOOSE(CONTROL!$C$38, 0.0354, 0)</f>
        <v>32.452000000000005</v>
      </c>
      <c r="H437" s="17">
        <f>32.4166 * CHOOSE(CONTROL!$C$15, $E$9, 100%, $G$9) + CHOOSE(CONTROL!$C$38, 0.0354, 0)</f>
        <v>32.452000000000005</v>
      </c>
      <c r="I437" s="17">
        <f>32.4181 * CHOOSE(CONTROL!$C$15, $E$9, 100%, $G$9) + CHOOSE(CONTROL!$C$38, 0.0354, 0)</f>
        <v>32.453500000000005</v>
      </c>
      <c r="J437" s="44">
        <f>278.1364</f>
        <v>278.13639999999998</v>
      </c>
    </row>
    <row r="438" spans="1:10" ht="15.75" x14ac:dyDescent="0.25">
      <c r="A438" s="14">
        <v>54270</v>
      </c>
      <c r="B438" s="17">
        <f>34.2444 * CHOOSE(CONTROL!$C$15, $E$9, 100%, $G$9) + CHOOSE(CONTROL!$C$38, 0.0353, 0)</f>
        <v>34.279699999999998</v>
      </c>
      <c r="C438" s="17">
        <f>32.0961 * CHOOSE(CONTROL!$C$15, $E$9, 100%, $G$9) + CHOOSE(CONTROL!$C$38, 0.0354, 0)</f>
        <v>32.131500000000003</v>
      </c>
      <c r="D438" s="17">
        <f>32.0883 * CHOOSE(CONTROL!$C$15, $E$9, 100%, $G$9) + CHOOSE(CONTROL!$C$38, 0.0354, 0)</f>
        <v>32.123699999999999</v>
      </c>
      <c r="E438" s="17">
        <f>32.0883 * CHOOSE(CONTROL!$C$15, $E$9, 100%, $G$9) + CHOOSE(CONTROL!$C$38, 0.0354, 0)</f>
        <v>32.123699999999999</v>
      </c>
      <c r="F438" s="45">
        <f>34.2444 * CHOOSE(CONTROL!$C$15, $E$9, 100%, $G$9) + CHOOSE(CONTROL!$C$38, 0.0353, 0)</f>
        <v>34.279699999999998</v>
      </c>
      <c r="G438" s="17">
        <f>32.0945 * CHOOSE(CONTROL!$C$15, $E$9, 100%, $G$9) + CHOOSE(CONTROL!$C$38, 0.0354, 0)</f>
        <v>32.129899999999999</v>
      </c>
      <c r="H438" s="17">
        <f>32.0945 * CHOOSE(CONTROL!$C$15, $E$9, 100%, $G$9) + CHOOSE(CONTROL!$C$38, 0.0354, 0)</f>
        <v>32.129899999999999</v>
      </c>
      <c r="I438" s="17">
        <f>32.0961 * CHOOSE(CONTROL!$C$15, $E$9, 100%, $G$9) + CHOOSE(CONTROL!$C$38, 0.0354, 0)</f>
        <v>32.131500000000003</v>
      </c>
      <c r="J438" s="44">
        <f>276.8356</f>
        <v>276.8356</v>
      </c>
    </row>
    <row r="439" spans="1:10" ht="15.75" x14ac:dyDescent="0.25">
      <c r="A439" s="14">
        <v>54301</v>
      </c>
      <c r="B439" s="17">
        <f>34.4034 * CHOOSE(CONTROL!$C$15, $E$9, 100%, $G$9) + CHOOSE(CONTROL!$C$38, 0.0353, 0)</f>
        <v>34.438699999999997</v>
      </c>
      <c r="C439" s="17">
        <f>32.255 * CHOOSE(CONTROL!$C$15, $E$9, 100%, $G$9) + CHOOSE(CONTROL!$C$38, 0.0354, 0)</f>
        <v>32.290400000000005</v>
      </c>
      <c r="D439" s="17">
        <f>32.2472 * CHOOSE(CONTROL!$C$15, $E$9, 100%, $G$9) + CHOOSE(CONTROL!$C$38, 0.0354, 0)</f>
        <v>32.282600000000002</v>
      </c>
      <c r="E439" s="17">
        <f>32.2472 * CHOOSE(CONTROL!$C$15, $E$9, 100%, $G$9) + CHOOSE(CONTROL!$C$38, 0.0354, 0)</f>
        <v>32.282600000000002</v>
      </c>
      <c r="F439" s="45">
        <f>34.4034 * CHOOSE(CONTROL!$C$15, $E$9, 100%, $G$9) + CHOOSE(CONTROL!$C$38, 0.0353, 0)</f>
        <v>34.438699999999997</v>
      </c>
      <c r="G439" s="17">
        <f>32.2535 * CHOOSE(CONTROL!$C$15, $E$9, 100%, $G$9) + CHOOSE(CONTROL!$C$38, 0.0354, 0)</f>
        <v>32.288900000000005</v>
      </c>
      <c r="H439" s="17">
        <f>32.2535 * CHOOSE(CONTROL!$C$15, $E$9, 100%, $G$9) + CHOOSE(CONTROL!$C$38, 0.0354, 0)</f>
        <v>32.288900000000005</v>
      </c>
      <c r="I439" s="17">
        <f>32.255 * CHOOSE(CONTROL!$C$15, $E$9, 100%, $G$9) + CHOOSE(CONTROL!$C$38, 0.0354, 0)</f>
        <v>32.290400000000005</v>
      </c>
      <c r="J439" s="44">
        <f>270.391</f>
        <v>270.39100000000002</v>
      </c>
    </row>
    <row r="440" spans="1:10" ht="15.75" x14ac:dyDescent="0.25">
      <c r="A440" s="14">
        <v>54331</v>
      </c>
      <c r="B440" s="17">
        <f>34.8351 * CHOOSE(CONTROL!$C$15, $E$9, 100%, $G$9) + CHOOSE(CONTROL!$C$38, 0.0353, 0)</f>
        <v>34.870399999999997</v>
      </c>
      <c r="C440" s="17">
        <f>32.6867 * CHOOSE(CONTROL!$C$15, $E$9, 100%, $G$9) + CHOOSE(CONTROL!$C$38, 0.0354, 0)</f>
        <v>32.722100000000005</v>
      </c>
      <c r="D440" s="17">
        <f>32.6789 * CHOOSE(CONTROL!$C$15, $E$9, 100%, $G$9) + CHOOSE(CONTROL!$C$38, 0.0354, 0)</f>
        <v>32.714300000000001</v>
      </c>
      <c r="E440" s="17">
        <f>32.6789 * CHOOSE(CONTROL!$C$15, $E$9, 100%, $G$9) + CHOOSE(CONTROL!$C$38, 0.0354, 0)</f>
        <v>32.714300000000001</v>
      </c>
      <c r="F440" s="45">
        <f>34.8351 * CHOOSE(CONTROL!$C$15, $E$9, 100%, $G$9) + CHOOSE(CONTROL!$C$38, 0.0353, 0)</f>
        <v>34.870399999999997</v>
      </c>
      <c r="G440" s="17">
        <f>32.6852 * CHOOSE(CONTROL!$C$15, $E$9, 100%, $G$9) + CHOOSE(CONTROL!$C$38, 0.0354, 0)</f>
        <v>32.720600000000005</v>
      </c>
      <c r="H440" s="17">
        <f>32.6852 * CHOOSE(CONTROL!$C$15, $E$9, 100%, $G$9) + CHOOSE(CONTROL!$C$38, 0.0354, 0)</f>
        <v>32.720600000000005</v>
      </c>
      <c r="I440" s="17">
        <f>32.6867 * CHOOSE(CONTROL!$C$15, $E$9, 100%, $G$9) + CHOOSE(CONTROL!$C$38, 0.0354, 0)</f>
        <v>32.722100000000005</v>
      </c>
      <c r="J440" s="44">
        <f>261.4037</f>
        <v>261.40370000000001</v>
      </c>
    </row>
    <row r="441" spans="1:10" ht="15.75" x14ac:dyDescent="0.25">
      <c r="A441" s="14">
        <v>54362</v>
      </c>
      <c r="B441" s="17">
        <f>35.1967 * CHOOSE(CONTROL!$C$15, $E$9, 100%, $G$9) + CHOOSE(CONTROL!$C$38, 0.034, 0)</f>
        <v>35.230699999999999</v>
      </c>
      <c r="C441" s="17">
        <f>33.0483 * CHOOSE(CONTROL!$C$15, $E$9, 100%, $G$9) + CHOOSE(CONTROL!$C$38, 0.0342, 0)</f>
        <v>33.082499999999996</v>
      </c>
      <c r="D441" s="17">
        <f>33.0405 * CHOOSE(CONTROL!$C$15, $E$9, 100%, $G$9) + CHOOSE(CONTROL!$C$38, 0.0342, 0)</f>
        <v>33.0747</v>
      </c>
      <c r="E441" s="17">
        <f>33.0405 * CHOOSE(CONTROL!$C$15, $E$9, 100%, $G$9) + CHOOSE(CONTROL!$C$38, 0.0342, 0)</f>
        <v>33.0747</v>
      </c>
      <c r="F441" s="45">
        <f>35.1967 * CHOOSE(CONTROL!$C$15, $E$9, 100%, $G$9) + CHOOSE(CONTROL!$C$38, 0.034, 0)</f>
        <v>35.230699999999999</v>
      </c>
      <c r="G441" s="17">
        <f>33.0467 * CHOOSE(CONTROL!$C$15, $E$9, 100%, $G$9) + CHOOSE(CONTROL!$C$38, 0.0342, 0)</f>
        <v>33.0809</v>
      </c>
      <c r="H441" s="17">
        <f>33.0467 * CHOOSE(CONTROL!$C$15, $E$9, 100%, $G$9) + CHOOSE(CONTROL!$C$38, 0.0342, 0)</f>
        <v>33.0809</v>
      </c>
      <c r="I441" s="17">
        <f>33.0483 * CHOOSE(CONTROL!$C$15, $E$9, 100%, $G$9) + CHOOSE(CONTROL!$C$38, 0.0342, 0)</f>
        <v>33.082499999999996</v>
      </c>
      <c r="J441" s="44">
        <f>252.3641</f>
        <v>252.36410000000001</v>
      </c>
    </row>
    <row r="442" spans="1:10" ht="15.75" x14ac:dyDescent="0.25">
      <c r="A442" s="14">
        <v>54392</v>
      </c>
      <c r="B442" s="17">
        <f>35.4984 * CHOOSE(CONTROL!$C$15, $E$9, 100%, $G$9) + CHOOSE(CONTROL!$C$38, 0.034, 0)</f>
        <v>35.532399999999996</v>
      </c>
      <c r="C442" s="17">
        <f>33.35 * CHOOSE(CONTROL!$C$15, $E$9, 100%, $G$9) + CHOOSE(CONTROL!$C$38, 0.0342, 0)</f>
        <v>33.3842</v>
      </c>
      <c r="D442" s="17">
        <f>33.3422 * CHOOSE(CONTROL!$C$15, $E$9, 100%, $G$9) + CHOOSE(CONTROL!$C$38, 0.0342, 0)</f>
        <v>33.376399999999997</v>
      </c>
      <c r="E442" s="17">
        <f>33.3422 * CHOOSE(CONTROL!$C$15, $E$9, 100%, $G$9) + CHOOSE(CONTROL!$C$38, 0.0342, 0)</f>
        <v>33.376399999999997</v>
      </c>
      <c r="F442" s="45">
        <f>35.4984 * CHOOSE(CONTROL!$C$15, $E$9, 100%, $G$9) + CHOOSE(CONTROL!$C$38, 0.034, 0)</f>
        <v>35.532399999999996</v>
      </c>
      <c r="G442" s="17">
        <f>33.3484 * CHOOSE(CONTROL!$C$15, $E$9, 100%, $G$9) + CHOOSE(CONTROL!$C$38, 0.0342, 0)</f>
        <v>33.382599999999996</v>
      </c>
      <c r="H442" s="17">
        <f>33.3484 * CHOOSE(CONTROL!$C$15, $E$9, 100%, $G$9) + CHOOSE(CONTROL!$C$38, 0.0342, 0)</f>
        <v>33.382599999999996</v>
      </c>
      <c r="I442" s="17">
        <f>33.35 * CHOOSE(CONTROL!$C$15, $E$9, 100%, $G$9) + CHOOSE(CONTROL!$C$38, 0.0342, 0)</f>
        <v>33.3842</v>
      </c>
      <c r="J442" s="44">
        <f>250.5659</f>
        <v>250.5659</v>
      </c>
    </row>
    <row r="443" spans="1:10" ht="15.75" x14ac:dyDescent="0.25">
      <c r="A443" s="14">
        <v>54423</v>
      </c>
      <c r="B443" s="17">
        <f>36.428 * CHOOSE(CONTROL!$C$15, $E$9, 100%, $G$9) + CHOOSE(CONTROL!$C$38, 0.034, 0)</f>
        <v>36.461999999999996</v>
      </c>
      <c r="C443" s="17">
        <f>34.2797 * CHOOSE(CONTROL!$C$15, $E$9, 100%, $G$9) + CHOOSE(CONTROL!$C$38, 0.0342, 0)</f>
        <v>34.313899999999997</v>
      </c>
      <c r="D443" s="17">
        <f>34.2719 * CHOOSE(CONTROL!$C$15, $E$9, 100%, $G$9) + CHOOSE(CONTROL!$C$38, 0.0342, 0)</f>
        <v>34.306100000000001</v>
      </c>
      <c r="E443" s="17">
        <f>34.2719 * CHOOSE(CONTROL!$C$15, $E$9, 100%, $G$9) + CHOOSE(CONTROL!$C$38, 0.0342, 0)</f>
        <v>34.306100000000001</v>
      </c>
      <c r="F443" s="45">
        <f>36.428 * CHOOSE(CONTROL!$C$15, $E$9, 100%, $G$9) + CHOOSE(CONTROL!$C$38, 0.034, 0)</f>
        <v>36.461999999999996</v>
      </c>
      <c r="G443" s="17">
        <f>34.2781 * CHOOSE(CONTROL!$C$15, $E$9, 100%, $G$9) + CHOOSE(CONTROL!$C$38, 0.0342, 0)</f>
        <v>34.3123</v>
      </c>
      <c r="H443" s="17">
        <f>34.2781 * CHOOSE(CONTROL!$C$15, $E$9, 100%, $G$9) + CHOOSE(CONTROL!$C$38, 0.0342, 0)</f>
        <v>34.3123</v>
      </c>
      <c r="I443" s="17">
        <f>34.2797 * CHOOSE(CONTROL!$C$15, $E$9, 100%, $G$9) + CHOOSE(CONTROL!$C$38, 0.0342, 0)</f>
        <v>34.313899999999997</v>
      </c>
      <c r="J443" s="44">
        <f>243.1304</f>
        <v>243.13040000000001</v>
      </c>
    </row>
    <row r="444" spans="1:10" ht="15.75" x14ac:dyDescent="0.25">
      <c r="A444" s="14">
        <v>54454</v>
      </c>
      <c r="B444" s="17">
        <f>37.7491 * CHOOSE(CONTROL!$C$15, $E$9, 100%, $G$9) + CHOOSE(CONTROL!$C$38, 0.034, 0)</f>
        <v>37.783099999999997</v>
      </c>
      <c r="C444" s="17">
        <f>35.5673 * CHOOSE(CONTROL!$C$15, $E$9, 100%, $G$9) + CHOOSE(CONTROL!$C$38, 0.0342, 0)</f>
        <v>35.601500000000001</v>
      </c>
      <c r="D444" s="17">
        <f>35.5595 * CHOOSE(CONTROL!$C$15, $E$9, 100%, $G$9) + CHOOSE(CONTROL!$C$38, 0.0342, 0)</f>
        <v>35.593699999999998</v>
      </c>
      <c r="E444" s="17">
        <f>35.5595 * CHOOSE(CONTROL!$C$15, $E$9, 100%, $G$9) + CHOOSE(CONTROL!$C$38, 0.0342, 0)</f>
        <v>35.593699999999998</v>
      </c>
      <c r="F444" s="45">
        <f>37.7491 * CHOOSE(CONTROL!$C$15, $E$9, 100%, $G$9) + CHOOSE(CONTROL!$C$38, 0.034, 0)</f>
        <v>37.783099999999997</v>
      </c>
      <c r="G444" s="17">
        <f>35.5657 * CHOOSE(CONTROL!$C$15, $E$9, 100%, $G$9) + CHOOSE(CONTROL!$C$38, 0.0342, 0)</f>
        <v>35.599899999999998</v>
      </c>
      <c r="H444" s="17">
        <f>35.5657 * CHOOSE(CONTROL!$C$15, $E$9, 100%, $G$9) + CHOOSE(CONTROL!$C$38, 0.0342, 0)</f>
        <v>35.599899999999998</v>
      </c>
      <c r="I444" s="17">
        <f>35.5673 * CHOOSE(CONTROL!$C$15, $E$9, 100%, $G$9) + CHOOSE(CONTROL!$C$38, 0.0342, 0)</f>
        <v>35.601500000000001</v>
      </c>
      <c r="J444" s="44">
        <f>242.9548</f>
        <v>242.95480000000001</v>
      </c>
    </row>
    <row r="445" spans="1:10" ht="15.75" x14ac:dyDescent="0.25">
      <c r="A445" s="14">
        <v>54482</v>
      </c>
      <c r="B445" s="17">
        <f>38.0934 * CHOOSE(CONTROL!$C$15, $E$9, 100%, $G$9) + CHOOSE(CONTROL!$C$38, 0.034, 0)</f>
        <v>38.127400000000002</v>
      </c>
      <c r="C445" s="17">
        <f>35.9116 * CHOOSE(CONTROL!$C$15, $E$9, 100%, $G$9) + CHOOSE(CONTROL!$C$38, 0.0342, 0)</f>
        <v>35.945799999999998</v>
      </c>
      <c r="D445" s="17">
        <f>35.9038 * CHOOSE(CONTROL!$C$15, $E$9, 100%, $G$9) + CHOOSE(CONTROL!$C$38, 0.0342, 0)</f>
        <v>35.937999999999995</v>
      </c>
      <c r="E445" s="17">
        <f>35.9038 * CHOOSE(CONTROL!$C$15, $E$9, 100%, $G$9) + CHOOSE(CONTROL!$C$38, 0.0342, 0)</f>
        <v>35.937999999999995</v>
      </c>
      <c r="F445" s="45">
        <f>38.0934 * CHOOSE(CONTROL!$C$15, $E$9, 100%, $G$9) + CHOOSE(CONTROL!$C$38, 0.034, 0)</f>
        <v>38.127400000000002</v>
      </c>
      <c r="G445" s="17">
        <f>35.91 * CHOOSE(CONTROL!$C$15, $E$9, 100%, $G$9) + CHOOSE(CONTROL!$C$38, 0.0342, 0)</f>
        <v>35.944199999999995</v>
      </c>
      <c r="H445" s="17">
        <f>35.91 * CHOOSE(CONTROL!$C$15, $E$9, 100%, $G$9) + CHOOSE(CONTROL!$C$38, 0.0342, 0)</f>
        <v>35.944199999999995</v>
      </c>
      <c r="I445" s="17">
        <f>35.9116 * CHOOSE(CONTROL!$C$15, $E$9, 100%, $G$9) + CHOOSE(CONTROL!$C$38, 0.0342, 0)</f>
        <v>35.945799999999998</v>
      </c>
      <c r="J445" s="44">
        <f>242.2795</f>
        <v>242.27950000000001</v>
      </c>
    </row>
    <row r="446" spans="1:10" ht="15.75" x14ac:dyDescent="0.25">
      <c r="A446" s="14">
        <v>54513</v>
      </c>
      <c r="B446" s="17">
        <f>37.2964 * CHOOSE(CONTROL!$C$15, $E$9, 100%, $G$9) + CHOOSE(CONTROL!$C$38, 0.034, 0)</f>
        <v>37.330399999999997</v>
      </c>
      <c r="C446" s="17">
        <f>35.1146 * CHOOSE(CONTROL!$C$15, $E$9, 100%, $G$9) + CHOOSE(CONTROL!$C$38, 0.0342, 0)</f>
        <v>35.148800000000001</v>
      </c>
      <c r="D446" s="17">
        <f>35.1067 * CHOOSE(CONTROL!$C$15, $E$9, 100%, $G$9) + CHOOSE(CONTROL!$C$38, 0.0342, 0)</f>
        <v>35.140899999999995</v>
      </c>
      <c r="E446" s="17">
        <f>35.1067 * CHOOSE(CONTROL!$C$15, $E$9, 100%, $G$9) + CHOOSE(CONTROL!$C$38, 0.0342, 0)</f>
        <v>35.140899999999995</v>
      </c>
      <c r="F446" s="45">
        <f>37.2964 * CHOOSE(CONTROL!$C$15, $E$9, 100%, $G$9) + CHOOSE(CONTROL!$C$38, 0.034, 0)</f>
        <v>37.330399999999997</v>
      </c>
      <c r="G446" s="17">
        <f>35.113 * CHOOSE(CONTROL!$C$15, $E$9, 100%, $G$9) + CHOOSE(CONTROL!$C$38, 0.0342, 0)</f>
        <v>35.147199999999998</v>
      </c>
      <c r="H446" s="17">
        <f>35.113 * CHOOSE(CONTROL!$C$15, $E$9, 100%, $G$9) + CHOOSE(CONTROL!$C$38, 0.0342, 0)</f>
        <v>35.147199999999998</v>
      </c>
      <c r="I446" s="17">
        <f>35.1146 * CHOOSE(CONTROL!$C$15, $E$9, 100%, $G$9) + CHOOSE(CONTROL!$C$38, 0.0342, 0)</f>
        <v>35.148800000000001</v>
      </c>
      <c r="J446" s="44">
        <f>255.049</f>
        <v>255.04900000000001</v>
      </c>
    </row>
    <row r="447" spans="1:10" ht="15.75" x14ac:dyDescent="0.25">
      <c r="A447" s="14">
        <v>54543</v>
      </c>
      <c r="B447" s="17">
        <f>36.5241 * CHOOSE(CONTROL!$C$15, $E$9, 100%, $G$9) + CHOOSE(CONTROL!$C$38, 0.034, 0)</f>
        <v>36.558099999999996</v>
      </c>
      <c r="C447" s="17">
        <f>34.3422 * CHOOSE(CONTROL!$C$15, $E$9, 100%, $G$9) + CHOOSE(CONTROL!$C$38, 0.0342, 0)</f>
        <v>34.376399999999997</v>
      </c>
      <c r="D447" s="17">
        <f>34.3344 * CHOOSE(CONTROL!$C$15, $E$9, 100%, $G$9) + CHOOSE(CONTROL!$C$38, 0.0342, 0)</f>
        <v>34.368600000000001</v>
      </c>
      <c r="E447" s="17">
        <f>34.3344 * CHOOSE(CONTROL!$C$15, $E$9, 100%, $G$9) + CHOOSE(CONTROL!$C$38, 0.0342, 0)</f>
        <v>34.368600000000001</v>
      </c>
      <c r="F447" s="45">
        <f>36.5241 * CHOOSE(CONTROL!$C$15, $E$9, 100%, $G$9) + CHOOSE(CONTROL!$C$38, 0.034, 0)</f>
        <v>36.558099999999996</v>
      </c>
      <c r="G447" s="17">
        <f>34.3407 * CHOOSE(CONTROL!$C$15, $E$9, 100%, $G$9) + CHOOSE(CONTROL!$C$38, 0.0342, 0)</f>
        <v>34.374899999999997</v>
      </c>
      <c r="H447" s="17">
        <f>34.3407 * CHOOSE(CONTROL!$C$15, $E$9, 100%, $G$9) + CHOOSE(CONTROL!$C$38, 0.0342, 0)</f>
        <v>34.374899999999997</v>
      </c>
      <c r="I447" s="17">
        <f>34.3422 * CHOOSE(CONTROL!$C$15, $E$9, 100%, $G$9) + CHOOSE(CONTROL!$C$38, 0.0342, 0)</f>
        <v>34.376399999999997</v>
      </c>
      <c r="J447" s="44">
        <f>271.608</f>
        <v>271.608</v>
      </c>
    </row>
    <row r="448" spans="1:10" ht="15.75" x14ac:dyDescent="0.25">
      <c r="A448" s="14">
        <v>54574</v>
      </c>
      <c r="B448" s="17">
        <f>35.7191 * CHOOSE(CONTROL!$C$15, $E$9, 100%, $G$9) + CHOOSE(CONTROL!$C$38, 0.0353, 0)</f>
        <v>35.754399999999997</v>
      </c>
      <c r="C448" s="17">
        <f>33.5373 * CHOOSE(CONTROL!$C$15, $E$9, 100%, $G$9) + CHOOSE(CONTROL!$C$38, 0.0354, 0)</f>
        <v>33.572700000000005</v>
      </c>
      <c r="D448" s="17">
        <f>33.5295 * CHOOSE(CONTROL!$C$15, $E$9, 100%, $G$9) + CHOOSE(CONTROL!$C$38, 0.0354, 0)</f>
        <v>33.564900000000002</v>
      </c>
      <c r="E448" s="17">
        <f>33.5295 * CHOOSE(CONTROL!$C$15, $E$9, 100%, $G$9) + CHOOSE(CONTROL!$C$38, 0.0354, 0)</f>
        <v>33.564900000000002</v>
      </c>
      <c r="F448" s="45">
        <f>35.7191 * CHOOSE(CONTROL!$C$15, $E$9, 100%, $G$9) + CHOOSE(CONTROL!$C$38, 0.0353, 0)</f>
        <v>35.754399999999997</v>
      </c>
      <c r="G448" s="17">
        <f>33.5357 * CHOOSE(CONTROL!$C$15, $E$9, 100%, $G$9) + CHOOSE(CONTROL!$C$38, 0.0354, 0)</f>
        <v>33.571100000000001</v>
      </c>
      <c r="H448" s="17">
        <f>33.5357 * CHOOSE(CONTROL!$C$15, $E$9, 100%, $G$9) + CHOOSE(CONTROL!$C$38, 0.0354, 0)</f>
        <v>33.571100000000001</v>
      </c>
      <c r="I448" s="17">
        <f>33.5373 * CHOOSE(CONTROL!$C$15, $E$9, 100%, $G$9) + CHOOSE(CONTROL!$C$38, 0.0354, 0)</f>
        <v>33.572700000000005</v>
      </c>
      <c r="J448" s="44">
        <f>280.7227</f>
        <v>280.72269999999997</v>
      </c>
    </row>
    <row r="449" spans="1:10" ht="15.75" x14ac:dyDescent="0.25">
      <c r="A449" s="14">
        <v>54604</v>
      </c>
      <c r="B449" s="17">
        <f>35.1548 * CHOOSE(CONTROL!$C$15, $E$9, 100%, $G$9) + CHOOSE(CONTROL!$C$38, 0.0353, 0)</f>
        <v>35.190100000000001</v>
      </c>
      <c r="C449" s="17">
        <f>32.973 * CHOOSE(CONTROL!$C$15, $E$9, 100%, $G$9) + CHOOSE(CONTROL!$C$38, 0.0354, 0)</f>
        <v>33.008400000000002</v>
      </c>
      <c r="D449" s="17">
        <f>32.9651 * CHOOSE(CONTROL!$C$15, $E$9, 100%, $G$9) + CHOOSE(CONTROL!$C$38, 0.0354, 0)</f>
        <v>33.000500000000002</v>
      </c>
      <c r="E449" s="17">
        <f>32.9651 * CHOOSE(CONTROL!$C$15, $E$9, 100%, $G$9) + CHOOSE(CONTROL!$C$38, 0.0354, 0)</f>
        <v>33.000500000000002</v>
      </c>
      <c r="F449" s="45">
        <f>35.1548 * CHOOSE(CONTROL!$C$15, $E$9, 100%, $G$9) + CHOOSE(CONTROL!$C$38, 0.0353, 0)</f>
        <v>35.190100000000001</v>
      </c>
      <c r="G449" s="17">
        <f>32.9714 * CHOOSE(CONTROL!$C$15, $E$9, 100%, $G$9) + CHOOSE(CONTROL!$C$38, 0.0354, 0)</f>
        <v>33.006800000000005</v>
      </c>
      <c r="H449" s="17">
        <f>32.9714 * CHOOSE(CONTROL!$C$15, $E$9, 100%, $G$9) + CHOOSE(CONTROL!$C$38, 0.0354, 0)</f>
        <v>33.006800000000005</v>
      </c>
      <c r="I449" s="17">
        <f>32.973 * CHOOSE(CONTROL!$C$15, $E$9, 100%, $G$9) + CHOOSE(CONTROL!$C$38, 0.0354, 0)</f>
        <v>33.008400000000002</v>
      </c>
      <c r="J449" s="44">
        <f>284.7676</f>
        <v>284.76760000000002</v>
      </c>
    </row>
    <row r="450" spans="1:10" ht="15.75" x14ac:dyDescent="0.25">
      <c r="A450" s="14">
        <v>54635</v>
      </c>
      <c r="B450" s="17">
        <f>34.8327 * CHOOSE(CONTROL!$C$15, $E$9, 100%, $G$9) + CHOOSE(CONTROL!$C$38, 0.0353, 0)</f>
        <v>34.868000000000002</v>
      </c>
      <c r="C450" s="17">
        <f>32.6509 * CHOOSE(CONTROL!$C$15, $E$9, 100%, $G$9) + CHOOSE(CONTROL!$C$38, 0.0354, 0)</f>
        <v>32.686300000000003</v>
      </c>
      <c r="D450" s="17">
        <f>32.6431 * CHOOSE(CONTROL!$C$15, $E$9, 100%, $G$9) + CHOOSE(CONTROL!$C$38, 0.0354, 0)</f>
        <v>32.6785</v>
      </c>
      <c r="E450" s="17">
        <f>32.6431 * CHOOSE(CONTROL!$C$15, $E$9, 100%, $G$9) + CHOOSE(CONTROL!$C$38, 0.0354, 0)</f>
        <v>32.6785</v>
      </c>
      <c r="F450" s="45">
        <f>34.8327 * CHOOSE(CONTROL!$C$15, $E$9, 100%, $G$9) + CHOOSE(CONTROL!$C$38, 0.0353, 0)</f>
        <v>34.868000000000002</v>
      </c>
      <c r="G450" s="17">
        <f>32.6493 * CHOOSE(CONTROL!$C$15, $E$9, 100%, $G$9) + CHOOSE(CONTROL!$C$38, 0.0354, 0)</f>
        <v>32.684699999999999</v>
      </c>
      <c r="H450" s="17">
        <f>32.6493 * CHOOSE(CONTROL!$C$15, $E$9, 100%, $G$9) + CHOOSE(CONTROL!$C$38, 0.0354, 0)</f>
        <v>32.684699999999999</v>
      </c>
      <c r="I450" s="17">
        <f>32.6509 * CHOOSE(CONTROL!$C$15, $E$9, 100%, $G$9) + CHOOSE(CONTROL!$C$38, 0.0354, 0)</f>
        <v>32.686300000000003</v>
      </c>
      <c r="J450" s="44">
        <f>283.4358</f>
        <v>283.43579999999997</v>
      </c>
    </row>
    <row r="451" spans="1:10" ht="15.75" x14ac:dyDescent="0.25">
      <c r="A451" s="14">
        <v>54666</v>
      </c>
      <c r="B451" s="17">
        <f>34.9917 * CHOOSE(CONTROL!$C$15, $E$9, 100%, $G$9) + CHOOSE(CONTROL!$C$38, 0.0353, 0)</f>
        <v>35.027000000000001</v>
      </c>
      <c r="C451" s="17">
        <f>32.8098 * CHOOSE(CONTROL!$C$15, $E$9, 100%, $G$9) + CHOOSE(CONTROL!$C$38, 0.0354, 0)</f>
        <v>32.845200000000006</v>
      </c>
      <c r="D451" s="17">
        <f>32.802 * CHOOSE(CONTROL!$C$15, $E$9, 100%, $G$9) + CHOOSE(CONTROL!$C$38, 0.0354, 0)</f>
        <v>32.837400000000002</v>
      </c>
      <c r="E451" s="17">
        <f>32.802 * CHOOSE(CONTROL!$C$15, $E$9, 100%, $G$9) + CHOOSE(CONTROL!$C$38, 0.0354, 0)</f>
        <v>32.837400000000002</v>
      </c>
      <c r="F451" s="45">
        <f>34.9917 * CHOOSE(CONTROL!$C$15, $E$9, 100%, $G$9) + CHOOSE(CONTROL!$C$38, 0.0353, 0)</f>
        <v>35.027000000000001</v>
      </c>
      <c r="G451" s="17">
        <f>32.8083 * CHOOSE(CONTROL!$C$15, $E$9, 100%, $G$9) + CHOOSE(CONTROL!$C$38, 0.0354, 0)</f>
        <v>32.843700000000005</v>
      </c>
      <c r="H451" s="17">
        <f>32.8083 * CHOOSE(CONTROL!$C$15, $E$9, 100%, $G$9) + CHOOSE(CONTROL!$C$38, 0.0354, 0)</f>
        <v>32.843700000000005</v>
      </c>
      <c r="I451" s="17">
        <f>32.8098 * CHOOSE(CONTROL!$C$15, $E$9, 100%, $G$9) + CHOOSE(CONTROL!$C$38, 0.0354, 0)</f>
        <v>32.845200000000006</v>
      </c>
      <c r="J451" s="44">
        <f>276.8375</f>
        <v>276.83749999999998</v>
      </c>
    </row>
    <row r="452" spans="1:10" ht="15.75" x14ac:dyDescent="0.25">
      <c r="A452" s="14">
        <v>54696</v>
      </c>
      <c r="B452" s="17">
        <f>35.4234 * CHOOSE(CONTROL!$C$15, $E$9, 100%, $G$9) + CHOOSE(CONTROL!$C$38, 0.0353, 0)</f>
        <v>35.4587</v>
      </c>
      <c r="C452" s="17">
        <f>33.2416 * CHOOSE(CONTROL!$C$15, $E$9, 100%, $G$9) + CHOOSE(CONTROL!$C$38, 0.0354, 0)</f>
        <v>33.277000000000001</v>
      </c>
      <c r="D452" s="17">
        <f>33.2337 * CHOOSE(CONTROL!$C$15, $E$9, 100%, $G$9) + CHOOSE(CONTROL!$C$38, 0.0354, 0)</f>
        <v>33.269100000000002</v>
      </c>
      <c r="E452" s="17">
        <f>33.2337 * CHOOSE(CONTROL!$C$15, $E$9, 100%, $G$9) + CHOOSE(CONTROL!$C$38, 0.0354, 0)</f>
        <v>33.269100000000002</v>
      </c>
      <c r="F452" s="45">
        <f>35.4234 * CHOOSE(CONTROL!$C$15, $E$9, 100%, $G$9) + CHOOSE(CONTROL!$C$38, 0.0353, 0)</f>
        <v>35.4587</v>
      </c>
      <c r="G452" s="17">
        <f>33.24 * CHOOSE(CONTROL!$C$15, $E$9, 100%, $G$9) + CHOOSE(CONTROL!$C$38, 0.0354, 0)</f>
        <v>33.275400000000005</v>
      </c>
      <c r="H452" s="17">
        <f>33.24 * CHOOSE(CONTROL!$C$15, $E$9, 100%, $G$9) + CHOOSE(CONTROL!$C$38, 0.0354, 0)</f>
        <v>33.275400000000005</v>
      </c>
      <c r="I452" s="17">
        <f>33.2416 * CHOOSE(CONTROL!$C$15, $E$9, 100%, $G$9) + CHOOSE(CONTROL!$C$38, 0.0354, 0)</f>
        <v>33.277000000000001</v>
      </c>
      <c r="J452" s="44">
        <f>267.6359</f>
        <v>267.63589999999999</v>
      </c>
    </row>
    <row r="453" spans="1:10" ht="15.75" x14ac:dyDescent="0.25">
      <c r="A453" s="14">
        <v>54727</v>
      </c>
      <c r="B453" s="17">
        <f>35.7849 * CHOOSE(CONTROL!$C$15, $E$9, 100%, $G$9) + CHOOSE(CONTROL!$C$38, 0.034, 0)</f>
        <v>35.818899999999999</v>
      </c>
      <c r="C453" s="17">
        <f>33.6031 * CHOOSE(CONTROL!$C$15, $E$9, 100%, $G$9) + CHOOSE(CONTROL!$C$38, 0.0342, 0)</f>
        <v>33.637299999999996</v>
      </c>
      <c r="D453" s="17">
        <f>33.5953 * CHOOSE(CONTROL!$C$15, $E$9, 100%, $G$9) + CHOOSE(CONTROL!$C$38, 0.0342, 0)</f>
        <v>33.6295</v>
      </c>
      <c r="E453" s="17">
        <f>33.5953 * CHOOSE(CONTROL!$C$15, $E$9, 100%, $G$9) + CHOOSE(CONTROL!$C$38, 0.0342, 0)</f>
        <v>33.6295</v>
      </c>
      <c r="F453" s="45">
        <f>35.7849 * CHOOSE(CONTROL!$C$15, $E$9, 100%, $G$9) + CHOOSE(CONTROL!$C$38, 0.034, 0)</f>
        <v>35.818899999999999</v>
      </c>
      <c r="G453" s="17">
        <f>33.6016 * CHOOSE(CONTROL!$C$15, $E$9, 100%, $G$9) + CHOOSE(CONTROL!$C$38, 0.0342, 0)</f>
        <v>33.635799999999996</v>
      </c>
      <c r="H453" s="17">
        <f>33.6016 * CHOOSE(CONTROL!$C$15, $E$9, 100%, $G$9) + CHOOSE(CONTROL!$C$38, 0.0342, 0)</f>
        <v>33.635799999999996</v>
      </c>
      <c r="I453" s="17">
        <f>33.6031 * CHOOSE(CONTROL!$C$15, $E$9, 100%, $G$9) + CHOOSE(CONTROL!$C$38, 0.0342, 0)</f>
        <v>33.637299999999996</v>
      </c>
      <c r="J453" s="44">
        <f>258.3808</f>
        <v>258.38080000000002</v>
      </c>
    </row>
    <row r="454" spans="1:10" ht="15.75" x14ac:dyDescent="0.25">
      <c r="A454" s="14">
        <v>54757</v>
      </c>
      <c r="B454" s="17">
        <f>36.0866 * CHOOSE(CONTROL!$C$15, $E$9, 100%, $G$9) + CHOOSE(CONTROL!$C$38, 0.034, 0)</f>
        <v>36.120599999999996</v>
      </c>
      <c r="C454" s="17">
        <f>33.9048 * CHOOSE(CONTROL!$C$15, $E$9, 100%, $G$9) + CHOOSE(CONTROL!$C$38, 0.0342, 0)</f>
        <v>33.939</v>
      </c>
      <c r="D454" s="17">
        <f>33.897 * CHOOSE(CONTROL!$C$15, $E$9, 100%, $G$9) + CHOOSE(CONTROL!$C$38, 0.0342, 0)</f>
        <v>33.931199999999997</v>
      </c>
      <c r="E454" s="17">
        <f>33.897 * CHOOSE(CONTROL!$C$15, $E$9, 100%, $G$9) + CHOOSE(CONTROL!$C$38, 0.0342, 0)</f>
        <v>33.931199999999997</v>
      </c>
      <c r="F454" s="45">
        <f>36.0866 * CHOOSE(CONTROL!$C$15, $E$9, 100%, $G$9) + CHOOSE(CONTROL!$C$38, 0.034, 0)</f>
        <v>36.120599999999996</v>
      </c>
      <c r="G454" s="17">
        <f>33.9033 * CHOOSE(CONTROL!$C$15, $E$9, 100%, $G$9) + CHOOSE(CONTROL!$C$38, 0.0342, 0)</f>
        <v>33.9375</v>
      </c>
      <c r="H454" s="17">
        <f>33.9033 * CHOOSE(CONTROL!$C$15, $E$9, 100%, $G$9) + CHOOSE(CONTROL!$C$38, 0.0342, 0)</f>
        <v>33.9375</v>
      </c>
      <c r="I454" s="17">
        <f>33.9048 * CHOOSE(CONTROL!$C$15, $E$9, 100%, $G$9) + CHOOSE(CONTROL!$C$38, 0.0342, 0)</f>
        <v>33.939</v>
      </c>
      <c r="J454" s="44">
        <f>256.5398</f>
        <v>256.53980000000001</v>
      </c>
    </row>
    <row r="455" spans="1:10" ht="15.75" x14ac:dyDescent="0.25">
      <c r="A455" s="14">
        <v>54788</v>
      </c>
      <c r="B455" s="17">
        <f>37.0163 * CHOOSE(CONTROL!$C$15, $E$9, 100%, $G$9) + CHOOSE(CONTROL!$C$38, 0.034, 0)</f>
        <v>37.0503</v>
      </c>
      <c r="C455" s="17">
        <f>34.8345 * CHOOSE(CONTROL!$C$15, $E$9, 100%, $G$9) + CHOOSE(CONTROL!$C$38, 0.0342, 0)</f>
        <v>34.868699999999997</v>
      </c>
      <c r="D455" s="17">
        <f>34.8267 * CHOOSE(CONTROL!$C$15, $E$9, 100%, $G$9) + CHOOSE(CONTROL!$C$38, 0.0342, 0)</f>
        <v>34.860900000000001</v>
      </c>
      <c r="E455" s="17">
        <f>34.8267 * CHOOSE(CONTROL!$C$15, $E$9, 100%, $G$9) + CHOOSE(CONTROL!$C$38, 0.0342, 0)</f>
        <v>34.860900000000001</v>
      </c>
      <c r="F455" s="45">
        <f>37.0163 * CHOOSE(CONTROL!$C$15, $E$9, 100%, $G$9) + CHOOSE(CONTROL!$C$38, 0.034, 0)</f>
        <v>37.0503</v>
      </c>
      <c r="G455" s="17">
        <f>34.8329 * CHOOSE(CONTROL!$C$15, $E$9, 100%, $G$9) + CHOOSE(CONTROL!$C$38, 0.0342, 0)</f>
        <v>34.867100000000001</v>
      </c>
      <c r="H455" s="17">
        <f>34.8329 * CHOOSE(CONTROL!$C$15, $E$9, 100%, $G$9) + CHOOSE(CONTROL!$C$38, 0.0342, 0)</f>
        <v>34.867100000000001</v>
      </c>
      <c r="I455" s="17">
        <f>34.8345 * CHOOSE(CONTROL!$C$15, $E$9, 100%, $G$9) + CHOOSE(CONTROL!$C$38, 0.0342, 0)</f>
        <v>34.868699999999997</v>
      </c>
      <c r="J455" s="44">
        <f>248.9269</f>
        <v>248.92689999999999</v>
      </c>
    </row>
    <row r="456" spans="1:10" ht="15.75" x14ac:dyDescent="0.25">
      <c r="A456" s="14">
        <v>54819</v>
      </c>
      <c r="B456" s="17">
        <f>38.3473 * CHOOSE(CONTROL!$C$15, $E$9, 100%, $G$9) + CHOOSE(CONTROL!$C$38, 0.034, 0)</f>
        <v>38.381299999999996</v>
      </c>
      <c r="C456" s="17">
        <f>36.1314 * CHOOSE(CONTROL!$C$15, $E$9, 100%, $G$9) + CHOOSE(CONTROL!$C$38, 0.0342, 0)</f>
        <v>36.165599999999998</v>
      </c>
      <c r="D456" s="17">
        <f>36.1236 * CHOOSE(CONTROL!$C$15, $E$9, 100%, $G$9) + CHOOSE(CONTROL!$C$38, 0.0342, 0)</f>
        <v>36.157800000000002</v>
      </c>
      <c r="E456" s="17">
        <f>36.1236 * CHOOSE(CONTROL!$C$15, $E$9, 100%, $G$9) + CHOOSE(CONTROL!$C$38, 0.0342, 0)</f>
        <v>36.157800000000002</v>
      </c>
      <c r="F456" s="45">
        <f>38.3473 * CHOOSE(CONTROL!$C$15, $E$9, 100%, $G$9) + CHOOSE(CONTROL!$C$38, 0.034, 0)</f>
        <v>38.381299999999996</v>
      </c>
      <c r="G456" s="17">
        <f>36.1299 * CHOOSE(CONTROL!$C$15, $E$9, 100%, $G$9) + CHOOSE(CONTROL!$C$38, 0.0342, 0)</f>
        <v>36.164099999999998</v>
      </c>
      <c r="H456" s="17">
        <f>36.1299 * CHOOSE(CONTROL!$C$15, $E$9, 100%, $G$9) + CHOOSE(CONTROL!$C$38, 0.0342, 0)</f>
        <v>36.164099999999998</v>
      </c>
      <c r="I456" s="17">
        <f>36.1314 * CHOOSE(CONTROL!$C$15, $E$9, 100%, $G$9) + CHOOSE(CONTROL!$C$38, 0.0342, 0)</f>
        <v>36.165599999999998</v>
      </c>
      <c r="J456" s="44">
        <f>248.7472</f>
        <v>248.74719999999999</v>
      </c>
    </row>
    <row r="457" spans="1:10" ht="15.75" x14ac:dyDescent="0.25">
      <c r="A457" s="14">
        <v>54847</v>
      </c>
      <c r="B457" s="17">
        <f>38.6916 * CHOOSE(CONTROL!$C$15, $E$9, 100%, $G$9) + CHOOSE(CONTROL!$C$38, 0.034, 0)</f>
        <v>38.7256</v>
      </c>
      <c r="C457" s="17">
        <f>36.4757 * CHOOSE(CONTROL!$C$15, $E$9, 100%, $G$9) + CHOOSE(CONTROL!$C$38, 0.0342, 0)</f>
        <v>36.509900000000002</v>
      </c>
      <c r="D457" s="17">
        <f>36.4679 * CHOOSE(CONTROL!$C$15, $E$9, 100%, $G$9) + CHOOSE(CONTROL!$C$38, 0.0342, 0)</f>
        <v>36.502099999999999</v>
      </c>
      <c r="E457" s="17">
        <f>36.4679 * CHOOSE(CONTROL!$C$15, $E$9, 100%, $G$9) + CHOOSE(CONTROL!$C$38, 0.0342, 0)</f>
        <v>36.502099999999999</v>
      </c>
      <c r="F457" s="45">
        <f>38.6916 * CHOOSE(CONTROL!$C$15, $E$9, 100%, $G$9) + CHOOSE(CONTROL!$C$38, 0.034, 0)</f>
        <v>38.7256</v>
      </c>
      <c r="G457" s="17">
        <f>36.4742 * CHOOSE(CONTROL!$C$15, $E$9, 100%, $G$9) + CHOOSE(CONTROL!$C$38, 0.0342, 0)</f>
        <v>36.508400000000002</v>
      </c>
      <c r="H457" s="17">
        <f>36.4742 * CHOOSE(CONTROL!$C$15, $E$9, 100%, $G$9) + CHOOSE(CONTROL!$C$38, 0.0342, 0)</f>
        <v>36.508400000000002</v>
      </c>
      <c r="I457" s="17">
        <f>36.4757 * CHOOSE(CONTROL!$C$15, $E$9, 100%, $G$9) + CHOOSE(CONTROL!$C$38, 0.0342, 0)</f>
        <v>36.509900000000002</v>
      </c>
      <c r="J457" s="44">
        <f>248.0558</f>
        <v>248.0558</v>
      </c>
    </row>
    <row r="458" spans="1:10" ht="15.75" x14ac:dyDescent="0.25">
      <c r="A458" s="14">
        <v>54878</v>
      </c>
      <c r="B458" s="17">
        <f>37.8945 * CHOOSE(CONTROL!$C$15, $E$9, 100%, $G$9) + CHOOSE(CONTROL!$C$38, 0.034, 0)</f>
        <v>37.9285</v>
      </c>
      <c r="C458" s="17">
        <f>35.6787 * CHOOSE(CONTROL!$C$15, $E$9, 100%, $G$9) + CHOOSE(CONTROL!$C$38, 0.0342, 0)</f>
        <v>35.712899999999998</v>
      </c>
      <c r="D458" s="17">
        <f>35.6709 * CHOOSE(CONTROL!$C$15, $E$9, 100%, $G$9) + CHOOSE(CONTROL!$C$38, 0.0342, 0)</f>
        <v>35.705100000000002</v>
      </c>
      <c r="E458" s="17">
        <f>35.6709 * CHOOSE(CONTROL!$C$15, $E$9, 100%, $G$9) + CHOOSE(CONTROL!$C$38, 0.0342, 0)</f>
        <v>35.705100000000002</v>
      </c>
      <c r="F458" s="45">
        <f>37.8945 * CHOOSE(CONTROL!$C$15, $E$9, 100%, $G$9) + CHOOSE(CONTROL!$C$38, 0.034, 0)</f>
        <v>37.9285</v>
      </c>
      <c r="G458" s="17">
        <f>35.6771 * CHOOSE(CONTROL!$C$15, $E$9, 100%, $G$9) + CHOOSE(CONTROL!$C$38, 0.0342, 0)</f>
        <v>35.711300000000001</v>
      </c>
      <c r="H458" s="17">
        <f>35.6771 * CHOOSE(CONTROL!$C$15, $E$9, 100%, $G$9) + CHOOSE(CONTROL!$C$38, 0.0342, 0)</f>
        <v>35.711300000000001</v>
      </c>
      <c r="I458" s="17">
        <f>35.6787 * CHOOSE(CONTROL!$C$15, $E$9, 100%, $G$9) + CHOOSE(CONTROL!$C$38, 0.0342, 0)</f>
        <v>35.712899999999998</v>
      </c>
      <c r="J458" s="44">
        <f>261.1298</f>
        <v>261.12979999999999</v>
      </c>
    </row>
    <row r="459" spans="1:10" ht="15.75" x14ac:dyDescent="0.25">
      <c r="A459" s="14">
        <v>54908</v>
      </c>
      <c r="B459" s="17">
        <f>37.1222 * CHOOSE(CONTROL!$C$15, $E$9, 100%, $G$9) + CHOOSE(CONTROL!$C$38, 0.034, 0)</f>
        <v>37.156199999999998</v>
      </c>
      <c r="C459" s="17">
        <f>34.9064 * CHOOSE(CONTROL!$C$15, $E$9, 100%, $G$9) + CHOOSE(CONTROL!$C$38, 0.0342, 0)</f>
        <v>34.940599999999996</v>
      </c>
      <c r="D459" s="17">
        <f>34.8986 * CHOOSE(CONTROL!$C$15, $E$9, 100%, $G$9) + CHOOSE(CONTROL!$C$38, 0.0342, 0)</f>
        <v>34.9328</v>
      </c>
      <c r="E459" s="17">
        <f>34.8986 * CHOOSE(CONTROL!$C$15, $E$9, 100%, $G$9) + CHOOSE(CONTROL!$C$38, 0.0342, 0)</f>
        <v>34.9328</v>
      </c>
      <c r="F459" s="45">
        <f>37.1222 * CHOOSE(CONTROL!$C$15, $E$9, 100%, $G$9) + CHOOSE(CONTROL!$C$38, 0.034, 0)</f>
        <v>37.156199999999998</v>
      </c>
      <c r="G459" s="17">
        <f>34.9048 * CHOOSE(CONTROL!$C$15, $E$9, 100%, $G$9) + CHOOSE(CONTROL!$C$38, 0.0342, 0)</f>
        <v>34.939</v>
      </c>
      <c r="H459" s="17">
        <f>34.9048 * CHOOSE(CONTROL!$C$15, $E$9, 100%, $G$9) + CHOOSE(CONTROL!$C$38, 0.0342, 0)</f>
        <v>34.939</v>
      </c>
      <c r="I459" s="17">
        <f>34.9064 * CHOOSE(CONTROL!$C$15, $E$9, 100%, $G$9) + CHOOSE(CONTROL!$C$38, 0.0342, 0)</f>
        <v>34.940599999999996</v>
      </c>
      <c r="J459" s="44">
        <f>278.0836</f>
        <v>278.08359999999999</v>
      </c>
    </row>
    <row r="460" spans="1:10" ht="15.75" x14ac:dyDescent="0.25">
      <c r="A460" s="14">
        <v>54939</v>
      </c>
      <c r="B460" s="17">
        <f>36.3173 * CHOOSE(CONTROL!$C$15, $E$9, 100%, $G$9) + CHOOSE(CONTROL!$C$38, 0.0353, 0)</f>
        <v>36.352600000000002</v>
      </c>
      <c r="C460" s="17">
        <f>34.1014 * CHOOSE(CONTROL!$C$15, $E$9, 100%, $G$9) + CHOOSE(CONTROL!$C$38, 0.0354, 0)</f>
        <v>34.136800000000001</v>
      </c>
      <c r="D460" s="17">
        <f>34.0936 * CHOOSE(CONTROL!$C$15, $E$9, 100%, $G$9) + CHOOSE(CONTROL!$C$38, 0.0354, 0)</f>
        <v>34.129000000000005</v>
      </c>
      <c r="E460" s="17">
        <f>34.0936 * CHOOSE(CONTROL!$C$15, $E$9, 100%, $G$9) + CHOOSE(CONTROL!$C$38, 0.0354, 0)</f>
        <v>34.129000000000005</v>
      </c>
      <c r="F460" s="45">
        <f>36.3173 * CHOOSE(CONTROL!$C$15, $E$9, 100%, $G$9) + CHOOSE(CONTROL!$C$38, 0.0353, 0)</f>
        <v>36.352600000000002</v>
      </c>
      <c r="G460" s="17">
        <f>34.0999 * CHOOSE(CONTROL!$C$15, $E$9, 100%, $G$9) + CHOOSE(CONTROL!$C$38, 0.0354, 0)</f>
        <v>34.135300000000001</v>
      </c>
      <c r="H460" s="17">
        <f>34.0999 * CHOOSE(CONTROL!$C$15, $E$9, 100%, $G$9) + CHOOSE(CONTROL!$C$38, 0.0354, 0)</f>
        <v>34.135300000000001</v>
      </c>
      <c r="I460" s="17">
        <f>34.1014 * CHOOSE(CONTROL!$C$15, $E$9, 100%, $G$9) + CHOOSE(CONTROL!$C$38, 0.0354, 0)</f>
        <v>34.136800000000001</v>
      </c>
      <c r="J460" s="44">
        <f>287.4155</f>
        <v>287.41550000000001</v>
      </c>
    </row>
    <row r="461" spans="1:10" ht="15.75" x14ac:dyDescent="0.25">
      <c r="A461" s="14">
        <v>54969</v>
      </c>
      <c r="B461" s="17">
        <f>35.7529 * CHOOSE(CONTROL!$C$15, $E$9, 100%, $G$9) + CHOOSE(CONTROL!$C$38, 0.0353, 0)</f>
        <v>35.788199999999996</v>
      </c>
      <c r="C461" s="17">
        <f>33.5371 * CHOOSE(CONTROL!$C$15, $E$9, 100%, $G$9) + CHOOSE(CONTROL!$C$38, 0.0354, 0)</f>
        <v>33.572500000000005</v>
      </c>
      <c r="D461" s="17">
        <f>33.5293 * CHOOSE(CONTROL!$C$15, $E$9, 100%, $G$9) + CHOOSE(CONTROL!$C$38, 0.0354, 0)</f>
        <v>33.564700000000002</v>
      </c>
      <c r="E461" s="17">
        <f>33.5293 * CHOOSE(CONTROL!$C$15, $E$9, 100%, $G$9) + CHOOSE(CONTROL!$C$38, 0.0354, 0)</f>
        <v>33.564700000000002</v>
      </c>
      <c r="F461" s="45">
        <f>35.7529 * CHOOSE(CONTROL!$C$15, $E$9, 100%, $G$9) + CHOOSE(CONTROL!$C$38, 0.0353, 0)</f>
        <v>35.788199999999996</v>
      </c>
      <c r="G461" s="17">
        <f>33.5355 * CHOOSE(CONTROL!$C$15, $E$9, 100%, $G$9) + CHOOSE(CONTROL!$C$38, 0.0354, 0)</f>
        <v>33.570900000000002</v>
      </c>
      <c r="H461" s="17">
        <f>33.5355 * CHOOSE(CONTROL!$C$15, $E$9, 100%, $G$9) + CHOOSE(CONTROL!$C$38, 0.0354, 0)</f>
        <v>33.570900000000002</v>
      </c>
      <c r="I461" s="17">
        <f>33.5371 * CHOOSE(CONTROL!$C$15, $E$9, 100%, $G$9) + CHOOSE(CONTROL!$C$38, 0.0354, 0)</f>
        <v>33.572500000000005</v>
      </c>
      <c r="J461" s="44">
        <f>291.5569</f>
        <v>291.55689999999998</v>
      </c>
    </row>
    <row r="462" spans="1:10" ht="15.75" x14ac:dyDescent="0.25">
      <c r="A462" s="14">
        <v>55000</v>
      </c>
      <c r="B462" s="17">
        <f>35.4309 * CHOOSE(CONTROL!$C$15, $E$9, 100%, $G$9) + CHOOSE(CONTROL!$C$38, 0.0353, 0)</f>
        <v>35.466200000000001</v>
      </c>
      <c r="C462" s="17">
        <f>33.215 * CHOOSE(CONTROL!$C$15, $E$9, 100%, $G$9) + CHOOSE(CONTROL!$C$38, 0.0354, 0)</f>
        <v>33.250400000000006</v>
      </c>
      <c r="D462" s="17">
        <f>33.2072 * CHOOSE(CONTROL!$C$15, $E$9, 100%, $G$9) + CHOOSE(CONTROL!$C$38, 0.0354, 0)</f>
        <v>33.242600000000003</v>
      </c>
      <c r="E462" s="17">
        <f>33.2072 * CHOOSE(CONTROL!$C$15, $E$9, 100%, $G$9) + CHOOSE(CONTROL!$C$38, 0.0354, 0)</f>
        <v>33.242600000000003</v>
      </c>
      <c r="F462" s="45">
        <f>35.4309 * CHOOSE(CONTROL!$C$15, $E$9, 100%, $G$9) + CHOOSE(CONTROL!$C$38, 0.0353, 0)</f>
        <v>35.466200000000001</v>
      </c>
      <c r="G462" s="17">
        <f>33.2135 * CHOOSE(CONTROL!$C$15, $E$9, 100%, $G$9) + CHOOSE(CONTROL!$C$38, 0.0354, 0)</f>
        <v>33.248900000000006</v>
      </c>
      <c r="H462" s="17">
        <f>33.2135 * CHOOSE(CONTROL!$C$15, $E$9, 100%, $G$9) + CHOOSE(CONTROL!$C$38, 0.0354, 0)</f>
        <v>33.248900000000006</v>
      </c>
      <c r="I462" s="17">
        <f>33.215 * CHOOSE(CONTROL!$C$15, $E$9, 100%, $G$9) + CHOOSE(CONTROL!$C$38, 0.0354, 0)</f>
        <v>33.250400000000006</v>
      </c>
      <c r="J462" s="44">
        <f>290.1933</f>
        <v>290.19330000000002</v>
      </c>
    </row>
    <row r="463" spans="1:10" ht="15.75" x14ac:dyDescent="0.25">
      <c r="A463" s="14">
        <v>55031</v>
      </c>
      <c r="B463" s="17">
        <f>35.5898 * CHOOSE(CONTROL!$C$15, $E$9, 100%, $G$9) + CHOOSE(CONTROL!$C$38, 0.0353, 0)</f>
        <v>35.625099999999996</v>
      </c>
      <c r="C463" s="17">
        <f>33.374 * CHOOSE(CONTROL!$C$15, $E$9, 100%, $G$9) + CHOOSE(CONTROL!$C$38, 0.0354, 0)</f>
        <v>33.409400000000005</v>
      </c>
      <c r="D463" s="17">
        <f>33.3662 * CHOOSE(CONTROL!$C$15, $E$9, 100%, $G$9) + CHOOSE(CONTROL!$C$38, 0.0354, 0)</f>
        <v>33.401600000000002</v>
      </c>
      <c r="E463" s="17">
        <f>33.3662 * CHOOSE(CONTROL!$C$15, $E$9, 100%, $G$9) + CHOOSE(CONTROL!$C$38, 0.0354, 0)</f>
        <v>33.401600000000002</v>
      </c>
      <c r="F463" s="45">
        <f>35.5898 * CHOOSE(CONTROL!$C$15, $E$9, 100%, $G$9) + CHOOSE(CONTROL!$C$38, 0.0353, 0)</f>
        <v>35.625099999999996</v>
      </c>
      <c r="G463" s="17">
        <f>33.3724 * CHOOSE(CONTROL!$C$15, $E$9, 100%, $G$9) + CHOOSE(CONTROL!$C$38, 0.0354, 0)</f>
        <v>33.407800000000002</v>
      </c>
      <c r="H463" s="17">
        <f>33.3724 * CHOOSE(CONTROL!$C$15, $E$9, 100%, $G$9) + CHOOSE(CONTROL!$C$38, 0.0354, 0)</f>
        <v>33.407800000000002</v>
      </c>
      <c r="I463" s="17">
        <f>33.374 * CHOOSE(CONTROL!$C$15, $E$9, 100%, $G$9) + CHOOSE(CONTROL!$C$38, 0.0354, 0)</f>
        <v>33.409400000000005</v>
      </c>
      <c r="J463" s="44">
        <f>283.4378</f>
        <v>283.43779999999998</v>
      </c>
    </row>
    <row r="464" spans="1:10" ht="15.75" x14ac:dyDescent="0.25">
      <c r="A464" s="14">
        <v>55061</v>
      </c>
      <c r="B464" s="17">
        <f>36.0215 * CHOOSE(CONTROL!$C$15, $E$9, 100%, $G$9) + CHOOSE(CONTROL!$C$38, 0.0353, 0)</f>
        <v>36.056800000000003</v>
      </c>
      <c r="C464" s="17">
        <f>33.8057 * CHOOSE(CONTROL!$C$15, $E$9, 100%, $G$9) + CHOOSE(CONTROL!$C$38, 0.0354, 0)</f>
        <v>33.841100000000004</v>
      </c>
      <c r="D464" s="17">
        <f>33.7979 * CHOOSE(CONTROL!$C$15, $E$9, 100%, $G$9) + CHOOSE(CONTROL!$C$38, 0.0354, 0)</f>
        <v>33.833300000000001</v>
      </c>
      <c r="E464" s="17">
        <f>33.7979 * CHOOSE(CONTROL!$C$15, $E$9, 100%, $G$9) + CHOOSE(CONTROL!$C$38, 0.0354, 0)</f>
        <v>33.833300000000001</v>
      </c>
      <c r="F464" s="45">
        <f>36.0215 * CHOOSE(CONTROL!$C$15, $E$9, 100%, $G$9) + CHOOSE(CONTROL!$C$38, 0.0353, 0)</f>
        <v>36.056800000000003</v>
      </c>
      <c r="G464" s="17">
        <f>33.8041 * CHOOSE(CONTROL!$C$15, $E$9, 100%, $G$9) + CHOOSE(CONTROL!$C$38, 0.0354, 0)</f>
        <v>33.839500000000001</v>
      </c>
      <c r="H464" s="17">
        <f>33.8041 * CHOOSE(CONTROL!$C$15, $E$9, 100%, $G$9) + CHOOSE(CONTROL!$C$38, 0.0354, 0)</f>
        <v>33.839500000000001</v>
      </c>
      <c r="I464" s="17">
        <f>33.8057 * CHOOSE(CONTROL!$C$15, $E$9, 100%, $G$9) + CHOOSE(CONTROL!$C$38, 0.0354, 0)</f>
        <v>33.841100000000004</v>
      </c>
      <c r="J464" s="44">
        <f>274.0168</f>
        <v>274.01679999999999</v>
      </c>
    </row>
    <row r="465" spans="1:10" ht="15.75" x14ac:dyDescent="0.25">
      <c r="A465" s="14">
        <v>55092</v>
      </c>
      <c r="B465" s="17">
        <f>36.3831 * CHOOSE(CONTROL!$C$15, $E$9, 100%, $G$9) + CHOOSE(CONTROL!$C$38, 0.034, 0)</f>
        <v>36.417099999999998</v>
      </c>
      <c r="C465" s="17">
        <f>34.1672 * CHOOSE(CONTROL!$C$15, $E$9, 100%, $G$9) + CHOOSE(CONTROL!$C$38, 0.0342, 0)</f>
        <v>34.2014</v>
      </c>
      <c r="D465" s="17">
        <f>34.1594 * CHOOSE(CONTROL!$C$15, $E$9, 100%, $G$9) + CHOOSE(CONTROL!$C$38, 0.0342, 0)</f>
        <v>34.193599999999996</v>
      </c>
      <c r="E465" s="17">
        <f>34.1594 * CHOOSE(CONTROL!$C$15, $E$9, 100%, $G$9) + CHOOSE(CONTROL!$C$38, 0.0342, 0)</f>
        <v>34.193599999999996</v>
      </c>
      <c r="F465" s="45">
        <f>36.3831 * CHOOSE(CONTROL!$C$15, $E$9, 100%, $G$9) + CHOOSE(CONTROL!$C$38, 0.034, 0)</f>
        <v>36.417099999999998</v>
      </c>
      <c r="G465" s="17">
        <f>34.1657 * CHOOSE(CONTROL!$C$15, $E$9, 100%, $G$9) + CHOOSE(CONTROL!$C$38, 0.0342, 0)</f>
        <v>34.1999</v>
      </c>
      <c r="H465" s="17">
        <f>34.1657 * CHOOSE(CONTROL!$C$15, $E$9, 100%, $G$9) + CHOOSE(CONTROL!$C$38, 0.0342, 0)</f>
        <v>34.1999</v>
      </c>
      <c r="I465" s="17">
        <f>34.1672 * CHOOSE(CONTROL!$C$15, $E$9, 100%, $G$9) + CHOOSE(CONTROL!$C$38, 0.0342, 0)</f>
        <v>34.2014</v>
      </c>
      <c r="J465" s="44">
        <f>264.541</f>
        <v>264.541</v>
      </c>
    </row>
    <row r="466" spans="1:10" ht="15.75" x14ac:dyDescent="0.25">
      <c r="A466" s="14">
        <v>55122</v>
      </c>
      <c r="B466" s="17">
        <f>36.6848 * CHOOSE(CONTROL!$C$15, $E$9, 100%, $G$9) + CHOOSE(CONTROL!$C$38, 0.034, 0)</f>
        <v>36.718800000000002</v>
      </c>
      <c r="C466" s="17">
        <f>34.469 * CHOOSE(CONTROL!$C$15, $E$9, 100%, $G$9) + CHOOSE(CONTROL!$C$38, 0.0342, 0)</f>
        <v>34.5032</v>
      </c>
      <c r="D466" s="17">
        <f>34.4611 * CHOOSE(CONTROL!$C$15, $E$9, 100%, $G$9) + CHOOSE(CONTROL!$C$38, 0.0342, 0)</f>
        <v>34.4953</v>
      </c>
      <c r="E466" s="17">
        <f>34.4611 * CHOOSE(CONTROL!$C$15, $E$9, 100%, $G$9) + CHOOSE(CONTROL!$C$38, 0.0342, 0)</f>
        <v>34.4953</v>
      </c>
      <c r="F466" s="45">
        <f>36.6848 * CHOOSE(CONTROL!$C$15, $E$9, 100%, $G$9) + CHOOSE(CONTROL!$C$38, 0.034, 0)</f>
        <v>36.718800000000002</v>
      </c>
      <c r="G466" s="17">
        <f>34.4674 * CHOOSE(CONTROL!$C$15, $E$9, 100%, $G$9) + CHOOSE(CONTROL!$C$38, 0.0342, 0)</f>
        <v>34.501599999999996</v>
      </c>
      <c r="H466" s="17">
        <f>34.4674 * CHOOSE(CONTROL!$C$15, $E$9, 100%, $G$9) + CHOOSE(CONTROL!$C$38, 0.0342, 0)</f>
        <v>34.501599999999996</v>
      </c>
      <c r="I466" s="17">
        <f>34.469 * CHOOSE(CONTROL!$C$15, $E$9, 100%, $G$9) + CHOOSE(CONTROL!$C$38, 0.0342, 0)</f>
        <v>34.5032</v>
      </c>
      <c r="J466" s="44">
        <f>262.6561</f>
        <v>262.65609999999998</v>
      </c>
    </row>
    <row r="467" spans="1:10" ht="15.75" x14ac:dyDescent="0.25">
      <c r="A467" s="14">
        <v>55153</v>
      </c>
      <c r="B467" s="17">
        <f>37.6145 * CHOOSE(CONTROL!$C$15, $E$9, 100%, $G$9) + CHOOSE(CONTROL!$C$38, 0.034, 0)</f>
        <v>37.648499999999999</v>
      </c>
      <c r="C467" s="17">
        <f>35.3986 * CHOOSE(CONTROL!$C$15, $E$9, 100%, $G$9) + CHOOSE(CONTROL!$C$38, 0.0342, 0)</f>
        <v>35.4328</v>
      </c>
      <c r="D467" s="17">
        <f>35.3908 * CHOOSE(CONTROL!$C$15, $E$9, 100%, $G$9) + CHOOSE(CONTROL!$C$38, 0.0342, 0)</f>
        <v>35.424999999999997</v>
      </c>
      <c r="E467" s="17">
        <f>35.3908 * CHOOSE(CONTROL!$C$15, $E$9, 100%, $G$9) + CHOOSE(CONTROL!$C$38, 0.0342, 0)</f>
        <v>35.424999999999997</v>
      </c>
      <c r="F467" s="45">
        <f>37.6145 * CHOOSE(CONTROL!$C$15, $E$9, 100%, $G$9) + CHOOSE(CONTROL!$C$38, 0.034, 0)</f>
        <v>37.648499999999999</v>
      </c>
      <c r="G467" s="17">
        <f>35.3971 * CHOOSE(CONTROL!$C$15, $E$9, 100%, $G$9) + CHOOSE(CONTROL!$C$38, 0.0342, 0)</f>
        <v>35.4313</v>
      </c>
      <c r="H467" s="17">
        <f>35.3971 * CHOOSE(CONTROL!$C$15, $E$9, 100%, $G$9) + CHOOSE(CONTROL!$C$38, 0.0342, 0)</f>
        <v>35.4313</v>
      </c>
      <c r="I467" s="17">
        <f>35.3986 * CHOOSE(CONTROL!$C$15, $E$9, 100%, $G$9) + CHOOSE(CONTROL!$C$38, 0.0342, 0)</f>
        <v>35.4328</v>
      </c>
      <c r="J467" s="44">
        <f>254.8617</f>
        <v>254.86170000000001</v>
      </c>
    </row>
    <row r="468" spans="1:10" ht="15.75" x14ac:dyDescent="0.25">
      <c r="A468" s="14">
        <v>55184</v>
      </c>
      <c r="B468" s="17">
        <f>38.9555 * CHOOSE(CONTROL!$C$15, $E$9, 100%, $G$9) + CHOOSE(CONTROL!$C$38, 0.034, 0)</f>
        <v>38.9895</v>
      </c>
      <c r="C468" s="17">
        <f>36.705 * CHOOSE(CONTROL!$C$15, $E$9, 100%, $G$9) + CHOOSE(CONTROL!$C$38, 0.0342, 0)</f>
        <v>36.739199999999997</v>
      </c>
      <c r="D468" s="17">
        <f>36.6972 * CHOOSE(CONTROL!$C$15, $E$9, 100%, $G$9) + CHOOSE(CONTROL!$C$38, 0.0342, 0)</f>
        <v>36.731400000000001</v>
      </c>
      <c r="E468" s="17">
        <f>36.6972 * CHOOSE(CONTROL!$C$15, $E$9, 100%, $G$9) + CHOOSE(CONTROL!$C$38, 0.0342, 0)</f>
        <v>36.731400000000001</v>
      </c>
      <c r="F468" s="45">
        <f>38.9555 * CHOOSE(CONTROL!$C$15, $E$9, 100%, $G$9) + CHOOSE(CONTROL!$C$38, 0.034, 0)</f>
        <v>38.9895</v>
      </c>
      <c r="G468" s="17">
        <f>36.7035 * CHOOSE(CONTROL!$C$15, $E$9, 100%, $G$9) + CHOOSE(CONTROL!$C$38, 0.0342, 0)</f>
        <v>36.737699999999997</v>
      </c>
      <c r="H468" s="17">
        <f>36.7035 * CHOOSE(CONTROL!$C$15, $E$9, 100%, $G$9) + CHOOSE(CONTROL!$C$38, 0.0342, 0)</f>
        <v>36.737699999999997</v>
      </c>
      <c r="I468" s="17">
        <f>36.705 * CHOOSE(CONTROL!$C$15, $E$9, 100%, $G$9) + CHOOSE(CONTROL!$C$38, 0.0342, 0)</f>
        <v>36.739199999999997</v>
      </c>
      <c r="J468" s="44">
        <f>254.6777</f>
        <v>254.67769999999999</v>
      </c>
    </row>
    <row r="469" spans="1:10" ht="15.75" x14ac:dyDescent="0.25">
      <c r="A469" s="14">
        <v>55212</v>
      </c>
      <c r="B469" s="17">
        <f>39.2998 * CHOOSE(CONTROL!$C$15, $E$9, 100%, $G$9) + CHOOSE(CONTROL!$C$38, 0.034, 0)</f>
        <v>39.333799999999997</v>
      </c>
      <c r="C469" s="17">
        <f>37.0493 * CHOOSE(CONTROL!$C$15, $E$9, 100%, $G$9) + CHOOSE(CONTROL!$C$38, 0.0342, 0)</f>
        <v>37.083500000000001</v>
      </c>
      <c r="D469" s="17">
        <f>37.0415 * CHOOSE(CONTROL!$C$15, $E$9, 100%, $G$9) + CHOOSE(CONTROL!$C$38, 0.0342, 0)</f>
        <v>37.075699999999998</v>
      </c>
      <c r="E469" s="17">
        <f>37.0415 * CHOOSE(CONTROL!$C$15, $E$9, 100%, $G$9) + CHOOSE(CONTROL!$C$38, 0.0342, 0)</f>
        <v>37.075699999999998</v>
      </c>
      <c r="F469" s="45">
        <f>39.2998 * CHOOSE(CONTROL!$C$15, $E$9, 100%, $G$9) + CHOOSE(CONTROL!$C$38, 0.034, 0)</f>
        <v>39.333799999999997</v>
      </c>
      <c r="G469" s="17">
        <f>37.0478 * CHOOSE(CONTROL!$C$15, $E$9, 100%, $G$9) + CHOOSE(CONTROL!$C$38, 0.0342, 0)</f>
        <v>37.082000000000001</v>
      </c>
      <c r="H469" s="17">
        <f>37.0478 * CHOOSE(CONTROL!$C$15, $E$9, 100%, $G$9) + CHOOSE(CONTROL!$C$38, 0.0342, 0)</f>
        <v>37.082000000000001</v>
      </c>
      <c r="I469" s="17">
        <f>37.0493 * CHOOSE(CONTROL!$C$15, $E$9, 100%, $G$9) + CHOOSE(CONTROL!$C$38, 0.0342, 0)</f>
        <v>37.083500000000001</v>
      </c>
      <c r="J469" s="44">
        <f>253.9698</f>
        <v>253.96979999999999</v>
      </c>
    </row>
    <row r="470" spans="1:10" ht="15.75" x14ac:dyDescent="0.25">
      <c r="A470" s="14">
        <v>55243</v>
      </c>
      <c r="B470" s="17">
        <f>38.5028 * CHOOSE(CONTROL!$C$15, $E$9, 100%, $G$9) + CHOOSE(CONTROL!$C$38, 0.034, 0)</f>
        <v>38.536799999999999</v>
      </c>
      <c r="C470" s="17">
        <f>36.2523 * CHOOSE(CONTROL!$C$15, $E$9, 100%, $G$9) + CHOOSE(CONTROL!$C$38, 0.0342, 0)</f>
        <v>36.286499999999997</v>
      </c>
      <c r="D470" s="17">
        <f>36.2445 * CHOOSE(CONTROL!$C$15, $E$9, 100%, $G$9) + CHOOSE(CONTROL!$C$38, 0.0342, 0)</f>
        <v>36.278700000000001</v>
      </c>
      <c r="E470" s="17">
        <f>36.2445 * CHOOSE(CONTROL!$C$15, $E$9, 100%, $G$9) + CHOOSE(CONTROL!$C$38, 0.0342, 0)</f>
        <v>36.278700000000001</v>
      </c>
      <c r="F470" s="45">
        <f>38.5028 * CHOOSE(CONTROL!$C$15, $E$9, 100%, $G$9) + CHOOSE(CONTROL!$C$38, 0.034, 0)</f>
        <v>38.536799999999999</v>
      </c>
      <c r="G470" s="17">
        <f>36.2507 * CHOOSE(CONTROL!$C$15, $E$9, 100%, $G$9) + CHOOSE(CONTROL!$C$38, 0.0342, 0)</f>
        <v>36.2849</v>
      </c>
      <c r="H470" s="17">
        <f>36.2507 * CHOOSE(CONTROL!$C$15, $E$9, 100%, $G$9) + CHOOSE(CONTROL!$C$38, 0.0342, 0)</f>
        <v>36.2849</v>
      </c>
      <c r="I470" s="17">
        <f>36.2523 * CHOOSE(CONTROL!$C$15, $E$9, 100%, $G$9) + CHOOSE(CONTROL!$C$38, 0.0342, 0)</f>
        <v>36.286499999999997</v>
      </c>
      <c r="J470" s="44">
        <f>267.3555</f>
        <v>267.35550000000001</v>
      </c>
    </row>
    <row r="471" spans="1:10" ht="15.75" x14ac:dyDescent="0.25">
      <c r="A471" s="14">
        <v>55273</v>
      </c>
      <c r="B471" s="17">
        <f>37.7305 * CHOOSE(CONTROL!$C$15, $E$9, 100%, $G$9) + CHOOSE(CONTROL!$C$38, 0.034, 0)</f>
        <v>37.764499999999998</v>
      </c>
      <c r="C471" s="17">
        <f>35.48 * CHOOSE(CONTROL!$C$15, $E$9, 100%, $G$9) + CHOOSE(CONTROL!$C$38, 0.0342, 0)</f>
        <v>35.514199999999995</v>
      </c>
      <c r="D471" s="17">
        <f>35.4722 * CHOOSE(CONTROL!$C$15, $E$9, 100%, $G$9) + CHOOSE(CONTROL!$C$38, 0.0342, 0)</f>
        <v>35.506399999999999</v>
      </c>
      <c r="E471" s="17">
        <f>35.4722 * CHOOSE(CONTROL!$C$15, $E$9, 100%, $G$9) + CHOOSE(CONTROL!$C$38, 0.0342, 0)</f>
        <v>35.506399999999999</v>
      </c>
      <c r="F471" s="45">
        <f>37.7305 * CHOOSE(CONTROL!$C$15, $E$9, 100%, $G$9) + CHOOSE(CONTROL!$C$38, 0.034, 0)</f>
        <v>37.764499999999998</v>
      </c>
      <c r="G471" s="17">
        <f>35.4784 * CHOOSE(CONTROL!$C$15, $E$9, 100%, $G$9) + CHOOSE(CONTROL!$C$38, 0.0342, 0)</f>
        <v>35.512599999999999</v>
      </c>
      <c r="H471" s="17">
        <f>35.4784 * CHOOSE(CONTROL!$C$15, $E$9, 100%, $G$9) + CHOOSE(CONTROL!$C$38, 0.0342, 0)</f>
        <v>35.512599999999999</v>
      </c>
      <c r="I471" s="17">
        <f>35.48 * CHOOSE(CONTROL!$C$15, $E$9, 100%, $G$9) + CHOOSE(CONTROL!$C$38, 0.0342, 0)</f>
        <v>35.514199999999995</v>
      </c>
      <c r="J471" s="44">
        <f>284.7135</f>
        <v>284.71350000000001</v>
      </c>
    </row>
    <row r="472" spans="1:10" ht="15.75" x14ac:dyDescent="0.25">
      <c r="A472" s="14">
        <v>55304</v>
      </c>
      <c r="B472" s="17">
        <f>36.9255 * CHOOSE(CONTROL!$C$15, $E$9, 100%, $G$9) + CHOOSE(CONTROL!$C$38, 0.0353, 0)</f>
        <v>36.960799999999999</v>
      </c>
      <c r="C472" s="17">
        <f>34.675 * CHOOSE(CONTROL!$C$15, $E$9, 100%, $G$9) + CHOOSE(CONTROL!$C$38, 0.0354, 0)</f>
        <v>34.7104</v>
      </c>
      <c r="D472" s="17">
        <f>34.6672 * CHOOSE(CONTROL!$C$15, $E$9, 100%, $G$9) + CHOOSE(CONTROL!$C$38, 0.0354, 0)</f>
        <v>34.702600000000004</v>
      </c>
      <c r="E472" s="17">
        <f>34.6672 * CHOOSE(CONTROL!$C$15, $E$9, 100%, $G$9) + CHOOSE(CONTROL!$C$38, 0.0354, 0)</f>
        <v>34.702600000000004</v>
      </c>
      <c r="F472" s="45">
        <f>36.9255 * CHOOSE(CONTROL!$C$15, $E$9, 100%, $G$9) + CHOOSE(CONTROL!$C$38, 0.0353, 0)</f>
        <v>36.960799999999999</v>
      </c>
      <c r="G472" s="17">
        <f>34.6735 * CHOOSE(CONTROL!$C$15, $E$9, 100%, $G$9) + CHOOSE(CONTROL!$C$38, 0.0354, 0)</f>
        <v>34.7089</v>
      </c>
      <c r="H472" s="17">
        <f>34.6735 * CHOOSE(CONTROL!$C$15, $E$9, 100%, $G$9) + CHOOSE(CONTROL!$C$38, 0.0354, 0)</f>
        <v>34.7089</v>
      </c>
      <c r="I472" s="17">
        <f>34.675 * CHOOSE(CONTROL!$C$15, $E$9, 100%, $G$9) + CHOOSE(CONTROL!$C$38, 0.0354, 0)</f>
        <v>34.7104</v>
      </c>
      <c r="J472" s="44">
        <f>294.2679</f>
        <v>294.2679</v>
      </c>
    </row>
    <row r="473" spans="1:10" ht="15.75" x14ac:dyDescent="0.25">
      <c r="A473" s="14">
        <v>55334</v>
      </c>
      <c r="B473" s="17">
        <f>36.3612 * CHOOSE(CONTROL!$C$15, $E$9, 100%, $G$9) + CHOOSE(CONTROL!$C$38, 0.0353, 0)</f>
        <v>36.396499999999996</v>
      </c>
      <c r="C473" s="17">
        <f>34.1107 * CHOOSE(CONTROL!$C$15, $E$9, 100%, $G$9) + CHOOSE(CONTROL!$C$38, 0.0354, 0)</f>
        <v>34.146100000000004</v>
      </c>
      <c r="D473" s="17">
        <f>34.1029 * CHOOSE(CONTROL!$C$15, $E$9, 100%, $G$9) + CHOOSE(CONTROL!$C$38, 0.0354, 0)</f>
        <v>34.138300000000001</v>
      </c>
      <c r="E473" s="17">
        <f>34.1029 * CHOOSE(CONTROL!$C$15, $E$9, 100%, $G$9) + CHOOSE(CONTROL!$C$38, 0.0354, 0)</f>
        <v>34.138300000000001</v>
      </c>
      <c r="F473" s="45">
        <f>36.3612 * CHOOSE(CONTROL!$C$15, $E$9, 100%, $G$9) + CHOOSE(CONTROL!$C$38, 0.0353, 0)</f>
        <v>36.396499999999996</v>
      </c>
      <c r="G473" s="17">
        <f>34.1091 * CHOOSE(CONTROL!$C$15, $E$9, 100%, $G$9) + CHOOSE(CONTROL!$C$38, 0.0354, 0)</f>
        <v>34.144500000000001</v>
      </c>
      <c r="H473" s="17">
        <f>34.1091 * CHOOSE(CONTROL!$C$15, $E$9, 100%, $G$9) + CHOOSE(CONTROL!$C$38, 0.0354, 0)</f>
        <v>34.144500000000001</v>
      </c>
      <c r="I473" s="17">
        <f>34.1107 * CHOOSE(CONTROL!$C$15, $E$9, 100%, $G$9) + CHOOSE(CONTROL!$C$38, 0.0354, 0)</f>
        <v>34.146100000000004</v>
      </c>
      <c r="J473" s="44">
        <f>298.508</f>
        <v>298.50799999999998</v>
      </c>
    </row>
    <row r="474" spans="1:10" ht="15.75" x14ac:dyDescent="0.25">
      <c r="A474" s="14">
        <v>55365</v>
      </c>
      <c r="B474" s="17">
        <f>36.0391 * CHOOSE(CONTROL!$C$15, $E$9, 100%, $G$9) + CHOOSE(CONTROL!$C$38, 0.0353, 0)</f>
        <v>36.074399999999997</v>
      </c>
      <c r="C474" s="17">
        <f>33.7886 * CHOOSE(CONTROL!$C$15, $E$9, 100%, $G$9) + CHOOSE(CONTROL!$C$38, 0.0354, 0)</f>
        <v>33.824000000000005</v>
      </c>
      <c r="D474" s="17">
        <f>33.7808 * CHOOSE(CONTROL!$C$15, $E$9, 100%, $G$9) + CHOOSE(CONTROL!$C$38, 0.0354, 0)</f>
        <v>33.816200000000002</v>
      </c>
      <c r="E474" s="17">
        <f>33.7808 * CHOOSE(CONTROL!$C$15, $E$9, 100%, $G$9) + CHOOSE(CONTROL!$C$38, 0.0354, 0)</f>
        <v>33.816200000000002</v>
      </c>
      <c r="F474" s="45">
        <f>36.0391 * CHOOSE(CONTROL!$C$15, $E$9, 100%, $G$9) + CHOOSE(CONTROL!$C$38, 0.0353, 0)</f>
        <v>36.074399999999997</v>
      </c>
      <c r="G474" s="17">
        <f>33.7871 * CHOOSE(CONTROL!$C$15, $E$9, 100%, $G$9) + CHOOSE(CONTROL!$C$38, 0.0354, 0)</f>
        <v>33.822500000000005</v>
      </c>
      <c r="H474" s="17">
        <f>33.7871 * CHOOSE(CONTROL!$C$15, $E$9, 100%, $G$9) + CHOOSE(CONTROL!$C$38, 0.0354, 0)</f>
        <v>33.822500000000005</v>
      </c>
      <c r="I474" s="17">
        <f>33.7886 * CHOOSE(CONTROL!$C$15, $E$9, 100%, $G$9) + CHOOSE(CONTROL!$C$38, 0.0354, 0)</f>
        <v>33.824000000000005</v>
      </c>
      <c r="J474" s="44">
        <f>297.112</f>
        <v>297.11200000000002</v>
      </c>
    </row>
    <row r="475" spans="1:10" ht="15.75" x14ac:dyDescent="0.25">
      <c r="A475" s="14">
        <v>55396</v>
      </c>
      <c r="B475" s="17">
        <f>36.198 * CHOOSE(CONTROL!$C$15, $E$9, 100%, $G$9) + CHOOSE(CONTROL!$C$38, 0.0353, 0)</f>
        <v>36.2333</v>
      </c>
      <c r="C475" s="17">
        <f>33.9476 * CHOOSE(CONTROL!$C$15, $E$9, 100%, $G$9) + CHOOSE(CONTROL!$C$38, 0.0354, 0)</f>
        <v>33.983000000000004</v>
      </c>
      <c r="D475" s="17">
        <f>33.9398 * CHOOSE(CONTROL!$C$15, $E$9, 100%, $G$9) + CHOOSE(CONTROL!$C$38, 0.0354, 0)</f>
        <v>33.975200000000001</v>
      </c>
      <c r="E475" s="17">
        <f>33.9398 * CHOOSE(CONTROL!$C$15, $E$9, 100%, $G$9) + CHOOSE(CONTROL!$C$38, 0.0354, 0)</f>
        <v>33.975200000000001</v>
      </c>
      <c r="F475" s="45">
        <f>36.198 * CHOOSE(CONTROL!$C$15, $E$9, 100%, $G$9) + CHOOSE(CONTROL!$C$38, 0.0353, 0)</f>
        <v>36.2333</v>
      </c>
      <c r="G475" s="17">
        <f>33.946 * CHOOSE(CONTROL!$C$15, $E$9, 100%, $G$9) + CHOOSE(CONTROL!$C$38, 0.0354, 0)</f>
        <v>33.981400000000001</v>
      </c>
      <c r="H475" s="17">
        <f>33.946 * CHOOSE(CONTROL!$C$15, $E$9, 100%, $G$9) + CHOOSE(CONTROL!$C$38, 0.0354, 0)</f>
        <v>33.981400000000001</v>
      </c>
      <c r="I475" s="17">
        <f>33.9476 * CHOOSE(CONTROL!$C$15, $E$9, 100%, $G$9) + CHOOSE(CONTROL!$C$38, 0.0354, 0)</f>
        <v>33.983000000000004</v>
      </c>
      <c r="J475" s="44">
        <f>290.1954</f>
        <v>290.19540000000001</v>
      </c>
    </row>
    <row r="476" spans="1:10" ht="15.75" x14ac:dyDescent="0.25">
      <c r="A476" s="14">
        <v>55426</v>
      </c>
      <c r="B476" s="17">
        <f>36.6298 * CHOOSE(CONTROL!$C$15, $E$9, 100%, $G$9) + CHOOSE(CONTROL!$C$38, 0.0353, 0)</f>
        <v>36.665100000000002</v>
      </c>
      <c r="C476" s="17">
        <f>34.3793 * CHOOSE(CONTROL!$C$15, $E$9, 100%, $G$9) + CHOOSE(CONTROL!$C$38, 0.0354, 0)</f>
        <v>34.414700000000003</v>
      </c>
      <c r="D476" s="17">
        <f>34.3715 * CHOOSE(CONTROL!$C$15, $E$9, 100%, $G$9) + CHOOSE(CONTROL!$C$38, 0.0354, 0)</f>
        <v>34.4069</v>
      </c>
      <c r="E476" s="17">
        <f>34.3715 * CHOOSE(CONTROL!$C$15, $E$9, 100%, $G$9) + CHOOSE(CONTROL!$C$38, 0.0354, 0)</f>
        <v>34.4069</v>
      </c>
      <c r="F476" s="45">
        <f>36.6298 * CHOOSE(CONTROL!$C$15, $E$9, 100%, $G$9) + CHOOSE(CONTROL!$C$38, 0.0353, 0)</f>
        <v>36.665100000000002</v>
      </c>
      <c r="G476" s="17">
        <f>34.3777 * CHOOSE(CONTROL!$C$15, $E$9, 100%, $G$9) + CHOOSE(CONTROL!$C$38, 0.0354, 0)</f>
        <v>34.4131</v>
      </c>
      <c r="H476" s="17">
        <f>34.3777 * CHOOSE(CONTROL!$C$15, $E$9, 100%, $G$9) + CHOOSE(CONTROL!$C$38, 0.0354, 0)</f>
        <v>34.4131</v>
      </c>
      <c r="I476" s="17">
        <f>34.3793 * CHOOSE(CONTROL!$C$15, $E$9, 100%, $G$9) + CHOOSE(CONTROL!$C$38, 0.0354, 0)</f>
        <v>34.414700000000003</v>
      </c>
      <c r="J476" s="44">
        <f>280.5498</f>
        <v>280.5498</v>
      </c>
    </row>
    <row r="477" spans="1:10" ht="15.75" x14ac:dyDescent="0.25">
      <c r="A477" s="14">
        <v>55457</v>
      </c>
      <c r="B477" s="17">
        <f>36.9913 * CHOOSE(CONTROL!$C$15, $E$9, 100%, $G$9) + CHOOSE(CONTROL!$C$38, 0.034, 0)</f>
        <v>37.025300000000001</v>
      </c>
      <c r="C477" s="17">
        <f>34.7409 * CHOOSE(CONTROL!$C$15, $E$9, 100%, $G$9) + CHOOSE(CONTROL!$C$38, 0.0342, 0)</f>
        <v>34.775100000000002</v>
      </c>
      <c r="D477" s="17">
        <f>34.733 * CHOOSE(CONTROL!$C$15, $E$9, 100%, $G$9) + CHOOSE(CONTROL!$C$38, 0.0342, 0)</f>
        <v>34.767199999999995</v>
      </c>
      <c r="E477" s="17">
        <f>34.733 * CHOOSE(CONTROL!$C$15, $E$9, 100%, $G$9) + CHOOSE(CONTROL!$C$38, 0.0342, 0)</f>
        <v>34.767199999999995</v>
      </c>
      <c r="F477" s="45">
        <f>36.9913 * CHOOSE(CONTROL!$C$15, $E$9, 100%, $G$9) + CHOOSE(CONTROL!$C$38, 0.034, 0)</f>
        <v>37.025300000000001</v>
      </c>
      <c r="G477" s="17">
        <f>34.7393 * CHOOSE(CONTROL!$C$15, $E$9, 100%, $G$9) + CHOOSE(CONTROL!$C$38, 0.0342, 0)</f>
        <v>34.773499999999999</v>
      </c>
      <c r="H477" s="17">
        <f>34.7393 * CHOOSE(CONTROL!$C$15, $E$9, 100%, $G$9) + CHOOSE(CONTROL!$C$38, 0.0342, 0)</f>
        <v>34.773499999999999</v>
      </c>
      <c r="I477" s="17">
        <f>34.7409 * CHOOSE(CONTROL!$C$15, $E$9, 100%, $G$9) + CHOOSE(CONTROL!$C$38, 0.0342, 0)</f>
        <v>34.775100000000002</v>
      </c>
      <c r="J477" s="44">
        <f>270.8481</f>
        <v>270.84809999999999</v>
      </c>
    </row>
    <row r="478" spans="1:10" ht="15.75" x14ac:dyDescent="0.25">
      <c r="A478" s="14">
        <v>55487</v>
      </c>
      <c r="B478" s="17">
        <f>37.293 * CHOOSE(CONTROL!$C$15, $E$9, 100%, $G$9) + CHOOSE(CONTROL!$C$38, 0.034, 0)</f>
        <v>37.326999999999998</v>
      </c>
      <c r="C478" s="17">
        <f>35.0426 * CHOOSE(CONTROL!$C$15, $E$9, 100%, $G$9) + CHOOSE(CONTROL!$C$38, 0.0342, 0)</f>
        <v>35.076799999999999</v>
      </c>
      <c r="D478" s="17">
        <f>35.0348 * CHOOSE(CONTROL!$C$15, $E$9, 100%, $G$9) + CHOOSE(CONTROL!$C$38, 0.0342, 0)</f>
        <v>35.068999999999996</v>
      </c>
      <c r="E478" s="17">
        <f>35.0348 * CHOOSE(CONTROL!$C$15, $E$9, 100%, $G$9) + CHOOSE(CONTROL!$C$38, 0.0342, 0)</f>
        <v>35.068999999999996</v>
      </c>
      <c r="F478" s="45">
        <f>37.293 * CHOOSE(CONTROL!$C$15, $E$9, 100%, $G$9) + CHOOSE(CONTROL!$C$38, 0.034, 0)</f>
        <v>37.326999999999998</v>
      </c>
      <c r="G478" s="17">
        <f>35.041 * CHOOSE(CONTROL!$C$15, $E$9, 100%, $G$9) + CHOOSE(CONTROL!$C$38, 0.0342, 0)</f>
        <v>35.075199999999995</v>
      </c>
      <c r="H478" s="17">
        <f>35.041 * CHOOSE(CONTROL!$C$15, $E$9, 100%, $G$9) + CHOOSE(CONTROL!$C$38, 0.0342, 0)</f>
        <v>35.075199999999995</v>
      </c>
      <c r="I478" s="17">
        <f>35.0426 * CHOOSE(CONTROL!$C$15, $E$9, 100%, $G$9) + CHOOSE(CONTROL!$C$38, 0.0342, 0)</f>
        <v>35.076799999999999</v>
      </c>
      <c r="J478" s="44">
        <f>268.9182</f>
        <v>268.91820000000001</v>
      </c>
    </row>
    <row r="479" spans="1:10" ht="15.75" x14ac:dyDescent="0.25">
      <c r="A479" s="14">
        <v>55518</v>
      </c>
      <c r="B479" s="17">
        <f>38.2227 * CHOOSE(CONTROL!$C$15, $E$9, 100%, $G$9) + CHOOSE(CONTROL!$C$38, 0.034, 0)</f>
        <v>38.256700000000002</v>
      </c>
      <c r="C479" s="17">
        <f>35.9722 * CHOOSE(CONTROL!$C$15, $E$9, 100%, $G$9) + CHOOSE(CONTROL!$C$38, 0.0342, 0)</f>
        <v>36.006399999999999</v>
      </c>
      <c r="D479" s="17">
        <f>35.9644 * CHOOSE(CONTROL!$C$15, $E$9, 100%, $G$9) + CHOOSE(CONTROL!$C$38, 0.0342, 0)</f>
        <v>35.998599999999996</v>
      </c>
      <c r="E479" s="17">
        <f>35.9644 * CHOOSE(CONTROL!$C$15, $E$9, 100%, $G$9) + CHOOSE(CONTROL!$C$38, 0.0342, 0)</f>
        <v>35.998599999999996</v>
      </c>
      <c r="F479" s="45">
        <f>38.2227 * CHOOSE(CONTROL!$C$15, $E$9, 100%, $G$9) + CHOOSE(CONTROL!$C$38, 0.034, 0)</f>
        <v>38.256700000000002</v>
      </c>
      <c r="G479" s="17">
        <f>35.9707 * CHOOSE(CONTROL!$C$15, $E$9, 100%, $G$9) + CHOOSE(CONTROL!$C$38, 0.0342, 0)</f>
        <v>36.004899999999999</v>
      </c>
      <c r="H479" s="17">
        <f>35.9707 * CHOOSE(CONTROL!$C$15, $E$9, 100%, $G$9) + CHOOSE(CONTROL!$C$38, 0.0342, 0)</f>
        <v>36.004899999999999</v>
      </c>
      <c r="I479" s="17">
        <f>35.9722 * CHOOSE(CONTROL!$C$15, $E$9, 100%, $G$9) + CHOOSE(CONTROL!$C$38, 0.0342, 0)</f>
        <v>36.006399999999999</v>
      </c>
      <c r="J479" s="44">
        <f>260.938</f>
        <v>260.93799999999999</v>
      </c>
    </row>
    <row r="480" spans="1:10" ht="15.75" x14ac:dyDescent="0.25">
      <c r="A480" s="14">
        <v>55549</v>
      </c>
      <c r="B480" s="17">
        <f>39.5739 * CHOOSE(CONTROL!$C$15, $E$9, 100%, $G$9) + CHOOSE(CONTROL!$C$38, 0.034, 0)</f>
        <v>39.607900000000001</v>
      </c>
      <c r="C480" s="17">
        <f>37.2883 * CHOOSE(CONTROL!$C$15, $E$9, 100%, $G$9) + CHOOSE(CONTROL!$C$38, 0.0342, 0)</f>
        <v>37.322499999999998</v>
      </c>
      <c r="D480" s="17">
        <f>37.2805 * CHOOSE(CONTROL!$C$15, $E$9, 100%, $G$9) + CHOOSE(CONTROL!$C$38, 0.0342, 0)</f>
        <v>37.314700000000002</v>
      </c>
      <c r="E480" s="17">
        <f>37.2805 * CHOOSE(CONTROL!$C$15, $E$9, 100%, $G$9) + CHOOSE(CONTROL!$C$38, 0.0342, 0)</f>
        <v>37.314700000000002</v>
      </c>
      <c r="F480" s="45">
        <f>39.5739 * CHOOSE(CONTROL!$C$15, $E$9, 100%, $G$9) + CHOOSE(CONTROL!$C$38, 0.034, 0)</f>
        <v>39.607900000000001</v>
      </c>
      <c r="G480" s="17">
        <f>37.2867 * CHOOSE(CONTROL!$C$15, $E$9, 100%, $G$9) + CHOOSE(CONTROL!$C$38, 0.0342, 0)</f>
        <v>37.320900000000002</v>
      </c>
      <c r="H480" s="17">
        <f>37.2867 * CHOOSE(CONTROL!$C$15, $E$9, 100%, $G$9) + CHOOSE(CONTROL!$C$38, 0.0342, 0)</f>
        <v>37.320900000000002</v>
      </c>
      <c r="I480" s="17">
        <f>37.2883 * CHOOSE(CONTROL!$C$15, $E$9, 100%, $G$9) + CHOOSE(CONTROL!$C$38, 0.0342, 0)</f>
        <v>37.322499999999998</v>
      </c>
      <c r="J480" s="44">
        <f>260.7496</f>
        <v>260.74959999999999</v>
      </c>
    </row>
    <row r="481" spans="1:10" ht="15.75" x14ac:dyDescent="0.25">
      <c r="A481" s="14">
        <v>55577</v>
      </c>
      <c r="B481" s="17">
        <f>39.9182 * CHOOSE(CONTROL!$C$15, $E$9, 100%, $G$9) + CHOOSE(CONTROL!$C$38, 0.034, 0)</f>
        <v>39.952199999999998</v>
      </c>
      <c r="C481" s="17">
        <f>37.6326 * CHOOSE(CONTROL!$C$15, $E$9, 100%, $G$9) + CHOOSE(CONTROL!$C$38, 0.0342, 0)</f>
        <v>37.666799999999995</v>
      </c>
      <c r="D481" s="17">
        <f>37.6248 * CHOOSE(CONTROL!$C$15, $E$9, 100%, $G$9) + CHOOSE(CONTROL!$C$38, 0.0342, 0)</f>
        <v>37.658999999999999</v>
      </c>
      <c r="E481" s="17">
        <f>37.6248 * CHOOSE(CONTROL!$C$15, $E$9, 100%, $G$9) + CHOOSE(CONTROL!$C$38, 0.0342, 0)</f>
        <v>37.658999999999999</v>
      </c>
      <c r="F481" s="45">
        <f>39.9182 * CHOOSE(CONTROL!$C$15, $E$9, 100%, $G$9) + CHOOSE(CONTROL!$C$38, 0.034, 0)</f>
        <v>39.952199999999998</v>
      </c>
      <c r="G481" s="17">
        <f>37.631 * CHOOSE(CONTROL!$C$15, $E$9, 100%, $G$9) + CHOOSE(CONTROL!$C$38, 0.0342, 0)</f>
        <v>37.665199999999999</v>
      </c>
      <c r="H481" s="17">
        <f>37.631 * CHOOSE(CONTROL!$C$15, $E$9, 100%, $G$9) + CHOOSE(CONTROL!$C$38, 0.0342, 0)</f>
        <v>37.665199999999999</v>
      </c>
      <c r="I481" s="17">
        <f>37.6326 * CHOOSE(CONTROL!$C$15, $E$9, 100%, $G$9) + CHOOSE(CONTROL!$C$38, 0.0342, 0)</f>
        <v>37.666799999999995</v>
      </c>
      <c r="J481" s="44">
        <f>260.0248</f>
        <v>260.02480000000003</v>
      </c>
    </row>
    <row r="482" spans="1:10" ht="15.75" x14ac:dyDescent="0.25">
      <c r="A482" s="14">
        <v>55609</v>
      </c>
      <c r="B482" s="17">
        <f>39.1212 * CHOOSE(CONTROL!$C$15, $E$9, 100%, $G$9) + CHOOSE(CONTROL!$C$38, 0.034, 0)</f>
        <v>39.155200000000001</v>
      </c>
      <c r="C482" s="17">
        <f>36.8356 * CHOOSE(CONTROL!$C$15, $E$9, 100%, $G$9) + CHOOSE(CONTROL!$C$38, 0.0342, 0)</f>
        <v>36.869799999999998</v>
      </c>
      <c r="D482" s="17">
        <f>36.8277 * CHOOSE(CONTROL!$C$15, $E$9, 100%, $G$9) + CHOOSE(CONTROL!$C$38, 0.0342, 0)</f>
        <v>36.861899999999999</v>
      </c>
      <c r="E482" s="17">
        <f>36.8277 * CHOOSE(CONTROL!$C$15, $E$9, 100%, $G$9) + CHOOSE(CONTROL!$C$38, 0.0342, 0)</f>
        <v>36.861899999999999</v>
      </c>
      <c r="F482" s="45">
        <f>39.1212 * CHOOSE(CONTROL!$C$15, $E$9, 100%, $G$9) + CHOOSE(CONTROL!$C$38, 0.034, 0)</f>
        <v>39.155200000000001</v>
      </c>
      <c r="G482" s="17">
        <f>36.834 * CHOOSE(CONTROL!$C$15, $E$9, 100%, $G$9) + CHOOSE(CONTROL!$C$38, 0.0342, 0)</f>
        <v>36.868200000000002</v>
      </c>
      <c r="H482" s="17">
        <f>36.834 * CHOOSE(CONTROL!$C$15, $E$9, 100%, $G$9) + CHOOSE(CONTROL!$C$38, 0.0342, 0)</f>
        <v>36.868200000000002</v>
      </c>
      <c r="I482" s="17">
        <f>36.8356 * CHOOSE(CONTROL!$C$15, $E$9, 100%, $G$9) + CHOOSE(CONTROL!$C$38, 0.0342, 0)</f>
        <v>36.869799999999998</v>
      </c>
      <c r="J482" s="44">
        <f>273.7297</f>
        <v>273.72969999999998</v>
      </c>
    </row>
    <row r="483" spans="1:10" ht="15.75" x14ac:dyDescent="0.25">
      <c r="A483" s="14">
        <v>55639</v>
      </c>
      <c r="B483" s="17">
        <f>38.3489 * CHOOSE(CONTROL!$C$15, $E$9, 100%, $G$9) + CHOOSE(CONTROL!$C$38, 0.034, 0)</f>
        <v>38.382899999999999</v>
      </c>
      <c r="C483" s="17">
        <f>36.0632 * CHOOSE(CONTROL!$C$15, $E$9, 100%, $G$9) + CHOOSE(CONTROL!$C$38, 0.0342, 0)</f>
        <v>36.0974</v>
      </c>
      <c r="D483" s="17">
        <f>36.0554 * CHOOSE(CONTROL!$C$15, $E$9, 100%, $G$9) + CHOOSE(CONTROL!$C$38, 0.0342, 0)</f>
        <v>36.089599999999997</v>
      </c>
      <c r="E483" s="17">
        <f>36.0554 * CHOOSE(CONTROL!$C$15, $E$9, 100%, $G$9) + CHOOSE(CONTROL!$C$38, 0.0342, 0)</f>
        <v>36.089599999999997</v>
      </c>
      <c r="F483" s="45">
        <f>38.3489 * CHOOSE(CONTROL!$C$15, $E$9, 100%, $G$9) + CHOOSE(CONTROL!$C$38, 0.034, 0)</f>
        <v>38.382899999999999</v>
      </c>
      <c r="G483" s="17">
        <f>36.0617 * CHOOSE(CONTROL!$C$15, $E$9, 100%, $G$9) + CHOOSE(CONTROL!$C$38, 0.0342, 0)</f>
        <v>36.0959</v>
      </c>
      <c r="H483" s="17">
        <f>36.0617 * CHOOSE(CONTROL!$C$15, $E$9, 100%, $G$9) + CHOOSE(CONTROL!$C$38, 0.0342, 0)</f>
        <v>36.0959</v>
      </c>
      <c r="I483" s="17">
        <f>36.0632 * CHOOSE(CONTROL!$C$15, $E$9, 100%, $G$9) + CHOOSE(CONTROL!$C$38, 0.0342, 0)</f>
        <v>36.0974</v>
      </c>
      <c r="J483" s="44">
        <f>291.5015</f>
        <v>291.50150000000002</v>
      </c>
    </row>
    <row r="484" spans="1:10" ht="15.75" x14ac:dyDescent="0.25">
      <c r="A484" s="14">
        <v>55670</v>
      </c>
      <c r="B484" s="17">
        <f>37.5439 * CHOOSE(CONTROL!$C$15, $E$9, 100%, $G$9) + CHOOSE(CONTROL!$C$38, 0.0353, 0)</f>
        <v>37.5792</v>
      </c>
      <c r="C484" s="17">
        <f>35.2583 * CHOOSE(CONTROL!$C$15, $E$9, 100%, $G$9) + CHOOSE(CONTROL!$C$38, 0.0354, 0)</f>
        <v>35.293700000000001</v>
      </c>
      <c r="D484" s="17">
        <f>35.2505 * CHOOSE(CONTROL!$C$15, $E$9, 100%, $G$9) + CHOOSE(CONTROL!$C$38, 0.0354, 0)</f>
        <v>35.285900000000005</v>
      </c>
      <c r="E484" s="17">
        <f>35.2505 * CHOOSE(CONTROL!$C$15, $E$9, 100%, $G$9) + CHOOSE(CONTROL!$C$38, 0.0354, 0)</f>
        <v>35.285900000000005</v>
      </c>
      <c r="F484" s="45">
        <f>37.5439 * CHOOSE(CONTROL!$C$15, $E$9, 100%, $G$9) + CHOOSE(CONTROL!$C$38, 0.0353, 0)</f>
        <v>37.5792</v>
      </c>
      <c r="G484" s="17">
        <f>35.2567 * CHOOSE(CONTROL!$C$15, $E$9, 100%, $G$9) + CHOOSE(CONTROL!$C$38, 0.0354, 0)</f>
        <v>35.292100000000005</v>
      </c>
      <c r="H484" s="17">
        <f>35.2567 * CHOOSE(CONTROL!$C$15, $E$9, 100%, $G$9) + CHOOSE(CONTROL!$C$38, 0.0354, 0)</f>
        <v>35.292100000000005</v>
      </c>
      <c r="I484" s="17">
        <f>35.2583 * CHOOSE(CONTROL!$C$15, $E$9, 100%, $G$9) + CHOOSE(CONTROL!$C$38, 0.0354, 0)</f>
        <v>35.293700000000001</v>
      </c>
      <c r="J484" s="44">
        <f>301.2837</f>
        <v>301.28370000000001</v>
      </c>
    </row>
    <row r="485" spans="1:10" ht="15.75" x14ac:dyDescent="0.25">
      <c r="A485" s="14">
        <v>55700</v>
      </c>
      <c r="B485" s="17">
        <f>36.9796 * CHOOSE(CONTROL!$C$15, $E$9, 100%, $G$9) + CHOOSE(CONTROL!$C$38, 0.0353, 0)</f>
        <v>37.014899999999997</v>
      </c>
      <c r="C485" s="17">
        <f>34.6939 * CHOOSE(CONTROL!$C$15, $E$9, 100%, $G$9) + CHOOSE(CONTROL!$C$38, 0.0354, 0)</f>
        <v>34.729300000000002</v>
      </c>
      <c r="D485" s="17">
        <f>34.6861 * CHOOSE(CONTROL!$C$15, $E$9, 100%, $G$9) + CHOOSE(CONTROL!$C$38, 0.0354, 0)</f>
        <v>34.721500000000006</v>
      </c>
      <c r="E485" s="17">
        <f>34.6861 * CHOOSE(CONTROL!$C$15, $E$9, 100%, $G$9) + CHOOSE(CONTROL!$C$38, 0.0354, 0)</f>
        <v>34.721500000000006</v>
      </c>
      <c r="F485" s="45">
        <f>36.9796 * CHOOSE(CONTROL!$C$15, $E$9, 100%, $G$9) + CHOOSE(CONTROL!$C$38, 0.0353, 0)</f>
        <v>37.014899999999997</v>
      </c>
      <c r="G485" s="17">
        <f>34.6924 * CHOOSE(CONTROL!$C$15, $E$9, 100%, $G$9) + CHOOSE(CONTROL!$C$38, 0.0354, 0)</f>
        <v>34.727800000000002</v>
      </c>
      <c r="H485" s="17">
        <f>34.6924 * CHOOSE(CONTROL!$C$15, $E$9, 100%, $G$9) + CHOOSE(CONTROL!$C$38, 0.0354, 0)</f>
        <v>34.727800000000002</v>
      </c>
      <c r="I485" s="17">
        <f>34.6939 * CHOOSE(CONTROL!$C$15, $E$9, 100%, $G$9) + CHOOSE(CONTROL!$C$38, 0.0354, 0)</f>
        <v>34.729300000000002</v>
      </c>
      <c r="J485" s="44">
        <f>305.6249</f>
        <v>305.62490000000003</v>
      </c>
    </row>
    <row r="486" spans="1:10" ht="15.75" x14ac:dyDescent="0.25">
      <c r="A486" s="14">
        <v>55731</v>
      </c>
      <c r="B486" s="17">
        <f>36.6575 * CHOOSE(CONTROL!$C$15, $E$9, 100%, $G$9) + CHOOSE(CONTROL!$C$38, 0.0353, 0)</f>
        <v>36.692799999999998</v>
      </c>
      <c r="C486" s="17">
        <f>34.3719 * CHOOSE(CONTROL!$C$15, $E$9, 100%, $G$9) + CHOOSE(CONTROL!$C$38, 0.0354, 0)</f>
        <v>34.407299999999999</v>
      </c>
      <c r="D486" s="17">
        <f>34.3641 * CHOOSE(CONTROL!$C$15, $E$9, 100%, $G$9) + CHOOSE(CONTROL!$C$38, 0.0354, 0)</f>
        <v>34.399500000000003</v>
      </c>
      <c r="E486" s="17">
        <f>34.3641 * CHOOSE(CONTROL!$C$15, $E$9, 100%, $G$9) + CHOOSE(CONTROL!$C$38, 0.0354, 0)</f>
        <v>34.399500000000003</v>
      </c>
      <c r="F486" s="45">
        <f>36.6575 * CHOOSE(CONTROL!$C$15, $E$9, 100%, $G$9) + CHOOSE(CONTROL!$C$38, 0.0353, 0)</f>
        <v>36.692799999999998</v>
      </c>
      <c r="G486" s="17">
        <f>34.3703 * CHOOSE(CONTROL!$C$15, $E$9, 100%, $G$9) + CHOOSE(CONTROL!$C$38, 0.0354, 0)</f>
        <v>34.405700000000003</v>
      </c>
      <c r="H486" s="17">
        <f>34.3703 * CHOOSE(CONTROL!$C$15, $E$9, 100%, $G$9) + CHOOSE(CONTROL!$C$38, 0.0354, 0)</f>
        <v>34.405700000000003</v>
      </c>
      <c r="I486" s="17">
        <f>34.3719 * CHOOSE(CONTROL!$C$15, $E$9, 100%, $G$9) + CHOOSE(CONTROL!$C$38, 0.0354, 0)</f>
        <v>34.407299999999999</v>
      </c>
      <c r="J486" s="44">
        <f>304.1956</f>
        <v>304.19560000000001</v>
      </c>
    </row>
    <row r="487" spans="1:10" ht="15.75" x14ac:dyDescent="0.25">
      <c r="A487" s="14">
        <v>55762</v>
      </c>
      <c r="B487" s="17">
        <f>36.8165 * CHOOSE(CONTROL!$C$15, $E$9, 100%, $G$9) + CHOOSE(CONTROL!$C$38, 0.0353, 0)</f>
        <v>36.851799999999997</v>
      </c>
      <c r="C487" s="17">
        <f>34.5308 * CHOOSE(CONTROL!$C$15, $E$9, 100%, $G$9) + CHOOSE(CONTROL!$C$38, 0.0354, 0)</f>
        <v>34.566200000000002</v>
      </c>
      <c r="D487" s="17">
        <f>34.523 * CHOOSE(CONTROL!$C$15, $E$9, 100%, $G$9) + CHOOSE(CONTROL!$C$38, 0.0354, 0)</f>
        <v>34.558400000000006</v>
      </c>
      <c r="E487" s="17">
        <f>34.523 * CHOOSE(CONTROL!$C$15, $E$9, 100%, $G$9) + CHOOSE(CONTROL!$C$38, 0.0354, 0)</f>
        <v>34.558400000000006</v>
      </c>
      <c r="F487" s="45">
        <f>36.8165 * CHOOSE(CONTROL!$C$15, $E$9, 100%, $G$9) + CHOOSE(CONTROL!$C$38, 0.0353, 0)</f>
        <v>36.851799999999997</v>
      </c>
      <c r="G487" s="17">
        <f>34.5293 * CHOOSE(CONTROL!$C$15, $E$9, 100%, $G$9) + CHOOSE(CONTROL!$C$38, 0.0354, 0)</f>
        <v>34.564700000000002</v>
      </c>
      <c r="H487" s="17">
        <f>34.5293 * CHOOSE(CONTROL!$C$15, $E$9, 100%, $G$9) + CHOOSE(CONTROL!$C$38, 0.0354, 0)</f>
        <v>34.564700000000002</v>
      </c>
      <c r="I487" s="17">
        <f>34.5308 * CHOOSE(CONTROL!$C$15, $E$9, 100%, $G$9) + CHOOSE(CONTROL!$C$38, 0.0354, 0)</f>
        <v>34.566200000000002</v>
      </c>
      <c r="J487" s="44">
        <f>297.114</f>
        <v>297.11399999999998</v>
      </c>
    </row>
    <row r="488" spans="1:10" ht="15.75" x14ac:dyDescent="0.25">
      <c r="A488" s="14">
        <v>55792</v>
      </c>
      <c r="B488" s="17">
        <f>37.2482 * CHOOSE(CONTROL!$C$15, $E$9, 100%, $G$9) + CHOOSE(CONTROL!$C$38, 0.0353, 0)</f>
        <v>37.283499999999997</v>
      </c>
      <c r="C488" s="17">
        <f>34.9625 * CHOOSE(CONTROL!$C$15, $E$9, 100%, $G$9) + CHOOSE(CONTROL!$C$38, 0.0354, 0)</f>
        <v>34.997900000000001</v>
      </c>
      <c r="D488" s="17">
        <f>34.9547 * CHOOSE(CONTROL!$C$15, $E$9, 100%, $G$9) + CHOOSE(CONTROL!$C$38, 0.0354, 0)</f>
        <v>34.990100000000005</v>
      </c>
      <c r="E488" s="17">
        <f>34.9547 * CHOOSE(CONTROL!$C$15, $E$9, 100%, $G$9) + CHOOSE(CONTROL!$C$38, 0.0354, 0)</f>
        <v>34.990100000000005</v>
      </c>
      <c r="F488" s="45">
        <f>37.2482 * CHOOSE(CONTROL!$C$15, $E$9, 100%, $G$9) + CHOOSE(CONTROL!$C$38, 0.0353, 0)</f>
        <v>37.283499999999997</v>
      </c>
      <c r="G488" s="17">
        <f>34.961 * CHOOSE(CONTROL!$C$15, $E$9, 100%, $G$9) + CHOOSE(CONTROL!$C$38, 0.0354, 0)</f>
        <v>34.996400000000001</v>
      </c>
      <c r="H488" s="17">
        <f>34.961 * CHOOSE(CONTROL!$C$15, $E$9, 100%, $G$9) + CHOOSE(CONTROL!$C$38, 0.0354, 0)</f>
        <v>34.996400000000001</v>
      </c>
      <c r="I488" s="17">
        <f>34.9625 * CHOOSE(CONTROL!$C$15, $E$9, 100%, $G$9) + CHOOSE(CONTROL!$C$38, 0.0354, 0)</f>
        <v>34.997900000000001</v>
      </c>
      <c r="J488" s="44">
        <f>287.2385</f>
        <v>287.23849999999999</v>
      </c>
    </row>
    <row r="489" spans="1:10" ht="15.75" x14ac:dyDescent="0.25">
      <c r="A489" s="14">
        <v>55823</v>
      </c>
      <c r="B489" s="17">
        <f>37.6097 * CHOOSE(CONTROL!$C$15, $E$9, 100%, $G$9) + CHOOSE(CONTROL!$C$38, 0.034, 0)</f>
        <v>37.643699999999995</v>
      </c>
      <c r="C489" s="17">
        <f>35.3241 * CHOOSE(CONTROL!$C$15, $E$9, 100%, $G$9) + CHOOSE(CONTROL!$C$38, 0.0342, 0)</f>
        <v>35.3583</v>
      </c>
      <c r="D489" s="17">
        <f>35.3163 * CHOOSE(CONTROL!$C$15, $E$9, 100%, $G$9) + CHOOSE(CONTROL!$C$38, 0.0342, 0)</f>
        <v>35.350499999999997</v>
      </c>
      <c r="E489" s="17">
        <f>35.3163 * CHOOSE(CONTROL!$C$15, $E$9, 100%, $G$9) + CHOOSE(CONTROL!$C$38, 0.0342, 0)</f>
        <v>35.350499999999997</v>
      </c>
      <c r="F489" s="45">
        <f>37.6097 * CHOOSE(CONTROL!$C$15, $E$9, 100%, $G$9) + CHOOSE(CONTROL!$C$38, 0.034, 0)</f>
        <v>37.643699999999995</v>
      </c>
      <c r="G489" s="17">
        <f>35.3225 * CHOOSE(CONTROL!$C$15, $E$9, 100%, $G$9) + CHOOSE(CONTROL!$C$38, 0.0342, 0)</f>
        <v>35.356699999999996</v>
      </c>
      <c r="H489" s="17">
        <f>35.3225 * CHOOSE(CONTROL!$C$15, $E$9, 100%, $G$9) + CHOOSE(CONTROL!$C$38, 0.0342, 0)</f>
        <v>35.356699999999996</v>
      </c>
      <c r="I489" s="17">
        <f>35.3241 * CHOOSE(CONTROL!$C$15, $E$9, 100%, $G$9) + CHOOSE(CONTROL!$C$38, 0.0342, 0)</f>
        <v>35.3583</v>
      </c>
      <c r="J489" s="44">
        <f>277.3055</f>
        <v>277.30549999999999</v>
      </c>
    </row>
    <row r="490" spans="1:10" ht="15.75" x14ac:dyDescent="0.25">
      <c r="A490" s="14">
        <v>55853</v>
      </c>
      <c r="B490" s="17">
        <f>37.9114 * CHOOSE(CONTROL!$C$15, $E$9, 100%, $G$9) + CHOOSE(CONTROL!$C$38, 0.034, 0)</f>
        <v>37.945399999999999</v>
      </c>
      <c r="C490" s="17">
        <f>35.6258 * CHOOSE(CONTROL!$C$15, $E$9, 100%, $G$9) + CHOOSE(CONTROL!$C$38, 0.0342, 0)</f>
        <v>35.659999999999997</v>
      </c>
      <c r="D490" s="17">
        <f>35.618 * CHOOSE(CONTROL!$C$15, $E$9, 100%, $G$9) + CHOOSE(CONTROL!$C$38, 0.0342, 0)</f>
        <v>35.652200000000001</v>
      </c>
      <c r="E490" s="17">
        <f>35.618 * CHOOSE(CONTROL!$C$15, $E$9, 100%, $G$9) + CHOOSE(CONTROL!$C$38, 0.0342, 0)</f>
        <v>35.652200000000001</v>
      </c>
      <c r="F490" s="45">
        <f>37.9114 * CHOOSE(CONTROL!$C$15, $E$9, 100%, $G$9) + CHOOSE(CONTROL!$C$38, 0.034, 0)</f>
        <v>37.945399999999999</v>
      </c>
      <c r="G490" s="17">
        <f>35.6243 * CHOOSE(CONTROL!$C$15, $E$9, 100%, $G$9) + CHOOSE(CONTROL!$C$38, 0.0342, 0)</f>
        <v>35.658499999999997</v>
      </c>
      <c r="H490" s="17">
        <f>35.6243 * CHOOSE(CONTROL!$C$15, $E$9, 100%, $G$9) + CHOOSE(CONTROL!$C$38, 0.0342, 0)</f>
        <v>35.658499999999997</v>
      </c>
      <c r="I490" s="17">
        <f>35.6258 * CHOOSE(CONTROL!$C$15, $E$9, 100%, $G$9) + CHOOSE(CONTROL!$C$38, 0.0342, 0)</f>
        <v>35.659999999999997</v>
      </c>
      <c r="J490" s="44">
        <f>275.3296</f>
        <v>275.32960000000003</v>
      </c>
    </row>
    <row r="491" spans="1:10" ht="15.75" x14ac:dyDescent="0.25">
      <c r="A491" s="14">
        <v>55884</v>
      </c>
      <c r="B491" s="17">
        <f>38.8411 * CHOOSE(CONTROL!$C$15, $E$9, 100%, $G$9) + CHOOSE(CONTROL!$C$38, 0.034, 0)</f>
        <v>38.875099999999996</v>
      </c>
      <c r="C491" s="17">
        <f>36.5555 * CHOOSE(CONTROL!$C$15, $E$9, 100%, $G$9) + CHOOSE(CONTROL!$C$38, 0.0342, 0)</f>
        <v>36.589700000000001</v>
      </c>
      <c r="D491" s="17">
        <f>36.5477 * CHOOSE(CONTROL!$C$15, $E$9, 100%, $G$9) + CHOOSE(CONTROL!$C$38, 0.0342, 0)</f>
        <v>36.581899999999997</v>
      </c>
      <c r="E491" s="17">
        <f>36.5477 * CHOOSE(CONTROL!$C$15, $E$9, 100%, $G$9) + CHOOSE(CONTROL!$C$38, 0.0342, 0)</f>
        <v>36.581899999999997</v>
      </c>
      <c r="F491" s="45">
        <f>38.8411 * CHOOSE(CONTROL!$C$15, $E$9, 100%, $G$9) + CHOOSE(CONTROL!$C$38, 0.034, 0)</f>
        <v>38.875099999999996</v>
      </c>
      <c r="G491" s="17">
        <f>36.5539 * CHOOSE(CONTROL!$C$15, $E$9, 100%, $G$9) + CHOOSE(CONTROL!$C$38, 0.0342, 0)</f>
        <v>36.588099999999997</v>
      </c>
      <c r="H491" s="17">
        <f>36.5539 * CHOOSE(CONTROL!$C$15, $E$9, 100%, $G$9) + CHOOSE(CONTROL!$C$38, 0.0342, 0)</f>
        <v>36.588099999999997</v>
      </c>
      <c r="I491" s="17">
        <f>36.5555 * CHOOSE(CONTROL!$C$15, $E$9, 100%, $G$9) + CHOOSE(CONTROL!$C$38, 0.0342, 0)</f>
        <v>36.589700000000001</v>
      </c>
      <c r="J491" s="44">
        <f>267.1592</f>
        <v>267.1592</v>
      </c>
    </row>
    <row r="492" spans="1:10" ht="15.75" x14ac:dyDescent="0.25">
      <c r="A492" s="14">
        <v>55915</v>
      </c>
      <c r="B492" s="17">
        <f>40.2027 * CHOOSE(CONTROL!$C$15, $E$9, 100%, $G$9) + CHOOSE(CONTROL!$C$38, 0.034, 0)</f>
        <v>40.236699999999999</v>
      </c>
      <c r="C492" s="17">
        <f>37.8813 * CHOOSE(CONTROL!$C$15, $E$9, 100%, $G$9) + CHOOSE(CONTROL!$C$38, 0.0342, 0)</f>
        <v>37.915500000000002</v>
      </c>
      <c r="D492" s="17">
        <f>37.8735 * CHOOSE(CONTROL!$C$15, $E$9, 100%, $G$9) + CHOOSE(CONTROL!$C$38, 0.0342, 0)</f>
        <v>37.907699999999998</v>
      </c>
      <c r="E492" s="17">
        <f>37.8735 * CHOOSE(CONTROL!$C$15, $E$9, 100%, $G$9) + CHOOSE(CONTROL!$C$38, 0.0342, 0)</f>
        <v>37.907699999999998</v>
      </c>
      <c r="F492" s="45">
        <f>40.2027 * CHOOSE(CONTROL!$C$15, $E$9, 100%, $G$9) + CHOOSE(CONTROL!$C$38, 0.034, 0)</f>
        <v>40.236699999999999</v>
      </c>
      <c r="G492" s="17">
        <f>37.8798 * CHOOSE(CONTROL!$C$15, $E$9, 100%, $G$9) + CHOOSE(CONTROL!$C$38, 0.0342, 0)</f>
        <v>37.914000000000001</v>
      </c>
      <c r="H492" s="17">
        <f>37.8798 * CHOOSE(CONTROL!$C$15, $E$9, 100%, $G$9) + CHOOSE(CONTROL!$C$38, 0.0342, 0)</f>
        <v>37.914000000000001</v>
      </c>
      <c r="I492" s="17">
        <f>37.8813 * CHOOSE(CONTROL!$C$15, $E$9, 100%, $G$9) + CHOOSE(CONTROL!$C$38, 0.0342, 0)</f>
        <v>37.915500000000002</v>
      </c>
      <c r="J492" s="44">
        <f>266.9663</f>
        <v>266.96629999999999</v>
      </c>
    </row>
    <row r="493" spans="1:10" ht="15.75" x14ac:dyDescent="0.25">
      <c r="A493" s="14">
        <v>55943</v>
      </c>
      <c r="B493" s="17">
        <f>40.547 * CHOOSE(CONTROL!$C$15, $E$9, 100%, $G$9) + CHOOSE(CONTROL!$C$38, 0.034, 0)</f>
        <v>40.580999999999996</v>
      </c>
      <c r="C493" s="17">
        <f>38.2256 * CHOOSE(CONTROL!$C$15, $E$9, 100%, $G$9) + CHOOSE(CONTROL!$C$38, 0.0342, 0)</f>
        <v>38.259799999999998</v>
      </c>
      <c r="D493" s="17">
        <f>38.2178 * CHOOSE(CONTROL!$C$15, $E$9, 100%, $G$9) + CHOOSE(CONTROL!$C$38, 0.0342, 0)</f>
        <v>38.251999999999995</v>
      </c>
      <c r="E493" s="17">
        <f>38.2178 * CHOOSE(CONTROL!$C$15, $E$9, 100%, $G$9) + CHOOSE(CONTROL!$C$38, 0.0342, 0)</f>
        <v>38.251999999999995</v>
      </c>
      <c r="F493" s="45">
        <f>40.547 * CHOOSE(CONTROL!$C$15, $E$9, 100%, $G$9) + CHOOSE(CONTROL!$C$38, 0.034, 0)</f>
        <v>40.580999999999996</v>
      </c>
      <c r="G493" s="17">
        <f>38.2241 * CHOOSE(CONTROL!$C$15, $E$9, 100%, $G$9) + CHOOSE(CONTROL!$C$38, 0.0342, 0)</f>
        <v>38.258299999999998</v>
      </c>
      <c r="H493" s="17">
        <f>38.2241 * CHOOSE(CONTROL!$C$15, $E$9, 100%, $G$9) + CHOOSE(CONTROL!$C$38, 0.0342, 0)</f>
        <v>38.258299999999998</v>
      </c>
      <c r="I493" s="17">
        <f>38.2256 * CHOOSE(CONTROL!$C$15, $E$9, 100%, $G$9) + CHOOSE(CONTROL!$C$38, 0.0342, 0)</f>
        <v>38.259799999999998</v>
      </c>
      <c r="J493" s="44">
        <f>266.2242</f>
        <v>266.2242</v>
      </c>
    </row>
    <row r="494" spans="1:10" ht="15.75" x14ac:dyDescent="0.25">
      <c r="A494" s="14">
        <v>55974</v>
      </c>
      <c r="B494" s="17">
        <f>39.75 * CHOOSE(CONTROL!$C$15, $E$9, 100%, $G$9) + CHOOSE(CONTROL!$C$38, 0.034, 0)</f>
        <v>39.783999999999999</v>
      </c>
      <c r="C494" s="17">
        <f>37.4286 * CHOOSE(CONTROL!$C$15, $E$9, 100%, $G$9) + CHOOSE(CONTROL!$C$38, 0.0342, 0)</f>
        <v>37.462800000000001</v>
      </c>
      <c r="D494" s="17">
        <f>37.4208 * CHOOSE(CONTROL!$C$15, $E$9, 100%, $G$9) + CHOOSE(CONTROL!$C$38, 0.0342, 0)</f>
        <v>37.454999999999998</v>
      </c>
      <c r="E494" s="17">
        <f>37.4208 * CHOOSE(CONTROL!$C$15, $E$9, 100%, $G$9) + CHOOSE(CONTROL!$C$38, 0.0342, 0)</f>
        <v>37.454999999999998</v>
      </c>
      <c r="F494" s="45">
        <f>39.75 * CHOOSE(CONTROL!$C$15, $E$9, 100%, $G$9) + CHOOSE(CONTROL!$C$38, 0.034, 0)</f>
        <v>39.783999999999999</v>
      </c>
      <c r="G494" s="17">
        <f>37.427 * CHOOSE(CONTROL!$C$15, $E$9, 100%, $G$9) + CHOOSE(CONTROL!$C$38, 0.0342, 0)</f>
        <v>37.461199999999998</v>
      </c>
      <c r="H494" s="17">
        <f>37.427 * CHOOSE(CONTROL!$C$15, $E$9, 100%, $G$9) + CHOOSE(CONTROL!$C$38, 0.0342, 0)</f>
        <v>37.461199999999998</v>
      </c>
      <c r="I494" s="17">
        <f>37.4286 * CHOOSE(CONTROL!$C$15, $E$9, 100%, $G$9) + CHOOSE(CONTROL!$C$38, 0.0342, 0)</f>
        <v>37.462800000000001</v>
      </c>
      <c r="J494" s="44">
        <f>280.2558</f>
        <v>280.25580000000002</v>
      </c>
    </row>
    <row r="495" spans="1:10" ht="15.75" x14ac:dyDescent="0.25">
      <c r="A495" s="14">
        <v>56004</v>
      </c>
      <c r="B495" s="17">
        <f>38.9777 * CHOOSE(CONTROL!$C$15, $E$9, 100%, $G$9) + CHOOSE(CONTROL!$C$38, 0.034, 0)</f>
        <v>39.011699999999998</v>
      </c>
      <c r="C495" s="17">
        <f>36.6563 * CHOOSE(CONTROL!$C$15, $E$9, 100%, $G$9) + CHOOSE(CONTROL!$C$38, 0.0342, 0)</f>
        <v>36.6905</v>
      </c>
      <c r="D495" s="17">
        <f>36.6485 * CHOOSE(CONTROL!$C$15, $E$9, 100%, $G$9) + CHOOSE(CONTROL!$C$38, 0.0342, 0)</f>
        <v>36.682699999999997</v>
      </c>
      <c r="E495" s="17">
        <f>36.6485 * CHOOSE(CONTROL!$C$15, $E$9, 100%, $G$9) + CHOOSE(CONTROL!$C$38, 0.0342, 0)</f>
        <v>36.682699999999997</v>
      </c>
      <c r="F495" s="45">
        <f>38.9777 * CHOOSE(CONTROL!$C$15, $E$9, 100%, $G$9) + CHOOSE(CONTROL!$C$38, 0.034, 0)</f>
        <v>39.011699999999998</v>
      </c>
      <c r="G495" s="17">
        <f>36.6547 * CHOOSE(CONTROL!$C$15, $E$9, 100%, $G$9) + CHOOSE(CONTROL!$C$38, 0.0342, 0)</f>
        <v>36.688899999999997</v>
      </c>
      <c r="H495" s="17">
        <f>36.6547 * CHOOSE(CONTROL!$C$15, $E$9, 100%, $G$9) + CHOOSE(CONTROL!$C$38, 0.0342, 0)</f>
        <v>36.688899999999997</v>
      </c>
      <c r="I495" s="17">
        <f>36.6563 * CHOOSE(CONTROL!$C$15, $E$9, 100%, $G$9) + CHOOSE(CONTROL!$C$38, 0.0342, 0)</f>
        <v>36.6905</v>
      </c>
      <c r="J495" s="44">
        <f>298.4514</f>
        <v>298.45139999999998</v>
      </c>
    </row>
    <row r="496" spans="1:10" ht="15.75" x14ac:dyDescent="0.25">
      <c r="A496" s="14">
        <v>56035</v>
      </c>
      <c r="B496" s="17">
        <f>38.1727 * CHOOSE(CONTROL!$C$15, $E$9, 100%, $G$9) + CHOOSE(CONTROL!$C$38, 0.0353, 0)</f>
        <v>38.207999999999998</v>
      </c>
      <c r="C496" s="17">
        <f>35.8513 * CHOOSE(CONTROL!$C$15, $E$9, 100%, $G$9) + CHOOSE(CONTROL!$C$38, 0.0354, 0)</f>
        <v>35.886700000000005</v>
      </c>
      <c r="D496" s="17">
        <f>35.8435 * CHOOSE(CONTROL!$C$15, $E$9, 100%, $G$9) + CHOOSE(CONTROL!$C$38, 0.0354, 0)</f>
        <v>35.878900000000002</v>
      </c>
      <c r="E496" s="17">
        <f>35.8435 * CHOOSE(CONTROL!$C$15, $E$9, 100%, $G$9) + CHOOSE(CONTROL!$C$38, 0.0354, 0)</f>
        <v>35.878900000000002</v>
      </c>
      <c r="F496" s="45">
        <f>38.1727 * CHOOSE(CONTROL!$C$15, $E$9, 100%, $G$9) + CHOOSE(CONTROL!$C$38, 0.0353, 0)</f>
        <v>38.207999999999998</v>
      </c>
      <c r="G496" s="17">
        <f>35.8498 * CHOOSE(CONTROL!$C$15, $E$9, 100%, $G$9) + CHOOSE(CONTROL!$C$38, 0.0354, 0)</f>
        <v>35.885200000000005</v>
      </c>
      <c r="H496" s="17">
        <f>35.8498 * CHOOSE(CONTROL!$C$15, $E$9, 100%, $G$9) + CHOOSE(CONTROL!$C$38, 0.0354, 0)</f>
        <v>35.885200000000005</v>
      </c>
      <c r="I496" s="17">
        <f>35.8513 * CHOOSE(CONTROL!$C$15, $E$9, 100%, $G$9) + CHOOSE(CONTROL!$C$38, 0.0354, 0)</f>
        <v>35.886700000000005</v>
      </c>
      <c r="J496" s="44">
        <f>308.4668</f>
        <v>308.46679999999998</v>
      </c>
    </row>
    <row r="497" spans="1:10" ht="15.75" x14ac:dyDescent="0.25">
      <c r="A497" s="14">
        <v>56065</v>
      </c>
      <c r="B497" s="17">
        <f>37.6084 * CHOOSE(CONTROL!$C$15, $E$9, 100%, $G$9) + CHOOSE(CONTROL!$C$38, 0.0353, 0)</f>
        <v>37.643700000000003</v>
      </c>
      <c r="C497" s="17">
        <f>35.287 * CHOOSE(CONTROL!$C$15, $E$9, 100%, $G$9) + CHOOSE(CONTROL!$C$38, 0.0354, 0)</f>
        <v>35.322400000000002</v>
      </c>
      <c r="D497" s="17">
        <f>35.2792 * CHOOSE(CONTROL!$C$15, $E$9, 100%, $G$9) + CHOOSE(CONTROL!$C$38, 0.0354, 0)</f>
        <v>35.314600000000006</v>
      </c>
      <c r="E497" s="17">
        <f>35.2792 * CHOOSE(CONTROL!$C$15, $E$9, 100%, $G$9) + CHOOSE(CONTROL!$C$38, 0.0354, 0)</f>
        <v>35.314600000000006</v>
      </c>
      <c r="F497" s="45">
        <f>37.6084 * CHOOSE(CONTROL!$C$15, $E$9, 100%, $G$9) + CHOOSE(CONTROL!$C$38, 0.0353, 0)</f>
        <v>37.643700000000003</v>
      </c>
      <c r="G497" s="17">
        <f>35.2854 * CHOOSE(CONTROL!$C$15, $E$9, 100%, $G$9) + CHOOSE(CONTROL!$C$38, 0.0354, 0)</f>
        <v>35.320800000000006</v>
      </c>
      <c r="H497" s="17">
        <f>35.2854 * CHOOSE(CONTROL!$C$15, $E$9, 100%, $G$9) + CHOOSE(CONTROL!$C$38, 0.0354, 0)</f>
        <v>35.320800000000006</v>
      </c>
      <c r="I497" s="17">
        <f>35.287 * CHOOSE(CONTROL!$C$15, $E$9, 100%, $G$9) + CHOOSE(CONTROL!$C$38, 0.0354, 0)</f>
        <v>35.322400000000002</v>
      </c>
      <c r="J497" s="44">
        <f>312.9115</f>
        <v>312.91149999999999</v>
      </c>
    </row>
    <row r="498" spans="1:10" ht="15.75" x14ac:dyDescent="0.25">
      <c r="A498" s="14">
        <v>56096</v>
      </c>
      <c r="B498" s="17">
        <f>37.2864 * CHOOSE(CONTROL!$C$15, $E$9, 100%, $G$9) + CHOOSE(CONTROL!$C$38, 0.0353, 0)</f>
        <v>37.3217</v>
      </c>
      <c r="C498" s="17">
        <f>34.9649 * CHOOSE(CONTROL!$C$15, $E$9, 100%, $G$9) + CHOOSE(CONTROL!$C$38, 0.0354, 0)</f>
        <v>35.000300000000003</v>
      </c>
      <c r="D498" s="17">
        <f>34.9571 * CHOOSE(CONTROL!$C$15, $E$9, 100%, $G$9) + CHOOSE(CONTROL!$C$38, 0.0354, 0)</f>
        <v>34.9925</v>
      </c>
      <c r="E498" s="17">
        <f>34.9571 * CHOOSE(CONTROL!$C$15, $E$9, 100%, $G$9) + CHOOSE(CONTROL!$C$38, 0.0354, 0)</f>
        <v>34.9925</v>
      </c>
      <c r="F498" s="45">
        <f>37.2864 * CHOOSE(CONTROL!$C$15, $E$9, 100%, $G$9) + CHOOSE(CONTROL!$C$38, 0.0353, 0)</f>
        <v>37.3217</v>
      </c>
      <c r="G498" s="17">
        <f>34.9634 * CHOOSE(CONTROL!$C$15, $E$9, 100%, $G$9) + CHOOSE(CONTROL!$C$38, 0.0354, 0)</f>
        <v>34.998800000000003</v>
      </c>
      <c r="H498" s="17">
        <f>34.9634 * CHOOSE(CONTROL!$C$15, $E$9, 100%, $G$9) + CHOOSE(CONTROL!$C$38, 0.0354, 0)</f>
        <v>34.998800000000003</v>
      </c>
      <c r="I498" s="17">
        <f>34.9649 * CHOOSE(CONTROL!$C$15, $E$9, 100%, $G$9) + CHOOSE(CONTROL!$C$38, 0.0354, 0)</f>
        <v>35.000300000000003</v>
      </c>
      <c r="J498" s="44">
        <f>311.4481</f>
        <v>311.44810000000001</v>
      </c>
    </row>
    <row r="499" spans="1:10" ht="15.75" x14ac:dyDescent="0.25">
      <c r="A499" s="14">
        <v>56127</v>
      </c>
      <c r="B499" s="17">
        <f>37.4453 * CHOOSE(CONTROL!$C$15, $E$9, 100%, $G$9) + CHOOSE(CONTROL!$C$38, 0.0353, 0)</f>
        <v>37.480600000000003</v>
      </c>
      <c r="C499" s="17">
        <f>35.1239 * CHOOSE(CONTROL!$C$15, $E$9, 100%, $G$9) + CHOOSE(CONTROL!$C$38, 0.0354, 0)</f>
        <v>35.159300000000002</v>
      </c>
      <c r="D499" s="17">
        <f>35.1161 * CHOOSE(CONTROL!$C$15, $E$9, 100%, $G$9) + CHOOSE(CONTROL!$C$38, 0.0354, 0)</f>
        <v>35.151500000000006</v>
      </c>
      <c r="E499" s="17">
        <f>35.1161 * CHOOSE(CONTROL!$C$15, $E$9, 100%, $G$9) + CHOOSE(CONTROL!$C$38, 0.0354, 0)</f>
        <v>35.151500000000006</v>
      </c>
      <c r="F499" s="45">
        <f>37.4453 * CHOOSE(CONTROL!$C$15, $E$9, 100%, $G$9) + CHOOSE(CONTROL!$C$38, 0.0353, 0)</f>
        <v>37.480600000000003</v>
      </c>
      <c r="G499" s="17">
        <f>35.1223 * CHOOSE(CONTROL!$C$15, $E$9, 100%, $G$9) + CHOOSE(CONTROL!$C$38, 0.0354, 0)</f>
        <v>35.157700000000006</v>
      </c>
      <c r="H499" s="17">
        <f>35.1223 * CHOOSE(CONTROL!$C$15, $E$9, 100%, $G$9) + CHOOSE(CONTROL!$C$38, 0.0354, 0)</f>
        <v>35.157700000000006</v>
      </c>
      <c r="I499" s="17">
        <f>35.1239 * CHOOSE(CONTROL!$C$15, $E$9, 100%, $G$9) + CHOOSE(CONTROL!$C$38, 0.0354, 0)</f>
        <v>35.159300000000002</v>
      </c>
      <c r="J499" s="44">
        <f>304.1977</f>
        <v>304.1977</v>
      </c>
    </row>
    <row r="500" spans="1:10" ht="15.75" x14ac:dyDescent="0.25">
      <c r="A500" s="14">
        <v>56157</v>
      </c>
      <c r="B500" s="17">
        <f>37.877 * CHOOSE(CONTROL!$C$15, $E$9, 100%, $G$9) + CHOOSE(CONTROL!$C$38, 0.0353, 0)</f>
        <v>37.912300000000002</v>
      </c>
      <c r="C500" s="17">
        <f>35.5556 * CHOOSE(CONTROL!$C$15, $E$9, 100%, $G$9) + CHOOSE(CONTROL!$C$38, 0.0354, 0)</f>
        <v>35.591000000000001</v>
      </c>
      <c r="D500" s="17">
        <f>35.5478 * CHOOSE(CONTROL!$C$15, $E$9, 100%, $G$9) + CHOOSE(CONTROL!$C$38, 0.0354, 0)</f>
        <v>35.583200000000005</v>
      </c>
      <c r="E500" s="17">
        <f>35.5478 * CHOOSE(CONTROL!$C$15, $E$9, 100%, $G$9) + CHOOSE(CONTROL!$C$38, 0.0354, 0)</f>
        <v>35.583200000000005</v>
      </c>
      <c r="F500" s="45">
        <f>37.877 * CHOOSE(CONTROL!$C$15, $E$9, 100%, $G$9) + CHOOSE(CONTROL!$C$38, 0.0353, 0)</f>
        <v>37.912300000000002</v>
      </c>
      <c r="G500" s="17">
        <f>35.554 * CHOOSE(CONTROL!$C$15, $E$9, 100%, $G$9) + CHOOSE(CONTROL!$C$38, 0.0354, 0)</f>
        <v>35.589400000000005</v>
      </c>
      <c r="H500" s="17">
        <f>35.554 * CHOOSE(CONTROL!$C$15, $E$9, 100%, $G$9) + CHOOSE(CONTROL!$C$38, 0.0354, 0)</f>
        <v>35.589400000000005</v>
      </c>
      <c r="I500" s="17">
        <f>35.5556 * CHOOSE(CONTROL!$C$15, $E$9, 100%, $G$9) + CHOOSE(CONTROL!$C$38, 0.0354, 0)</f>
        <v>35.591000000000001</v>
      </c>
      <c r="J500" s="44">
        <f>294.0867</f>
        <v>294.08670000000001</v>
      </c>
    </row>
    <row r="501" spans="1:10" ht="15.75" x14ac:dyDescent="0.25">
      <c r="A501" s="14">
        <v>56188</v>
      </c>
      <c r="B501" s="17">
        <f>38.2386 * CHOOSE(CONTROL!$C$15, $E$9, 100%, $G$9) + CHOOSE(CONTROL!$C$38, 0.034, 0)</f>
        <v>38.272599999999997</v>
      </c>
      <c r="C501" s="17">
        <f>35.9172 * CHOOSE(CONTROL!$C$15, $E$9, 100%, $G$9) + CHOOSE(CONTROL!$C$38, 0.0342, 0)</f>
        <v>35.9514</v>
      </c>
      <c r="D501" s="17">
        <f>35.9093 * CHOOSE(CONTROL!$C$15, $E$9, 100%, $G$9) + CHOOSE(CONTROL!$C$38, 0.0342, 0)</f>
        <v>35.9435</v>
      </c>
      <c r="E501" s="17">
        <f>35.9093 * CHOOSE(CONTROL!$C$15, $E$9, 100%, $G$9) + CHOOSE(CONTROL!$C$38, 0.0342, 0)</f>
        <v>35.9435</v>
      </c>
      <c r="F501" s="45">
        <f>38.2386 * CHOOSE(CONTROL!$C$15, $E$9, 100%, $G$9) + CHOOSE(CONTROL!$C$38, 0.034, 0)</f>
        <v>38.272599999999997</v>
      </c>
      <c r="G501" s="17">
        <f>35.9156 * CHOOSE(CONTROL!$C$15, $E$9, 100%, $G$9) + CHOOSE(CONTROL!$C$38, 0.0342, 0)</f>
        <v>35.949799999999996</v>
      </c>
      <c r="H501" s="17">
        <f>35.9156 * CHOOSE(CONTROL!$C$15, $E$9, 100%, $G$9) + CHOOSE(CONTROL!$C$38, 0.0342, 0)</f>
        <v>35.949799999999996</v>
      </c>
      <c r="I501" s="17">
        <f>35.9172 * CHOOSE(CONTROL!$C$15, $E$9, 100%, $G$9) + CHOOSE(CONTROL!$C$38, 0.0342, 0)</f>
        <v>35.9514</v>
      </c>
      <c r="J501" s="44">
        <f>283.9169</f>
        <v>283.9169</v>
      </c>
    </row>
    <row r="502" spans="1:10" ht="15.75" x14ac:dyDescent="0.25">
      <c r="A502" s="14">
        <v>56218</v>
      </c>
      <c r="B502" s="17">
        <f>38.5403 * CHOOSE(CONTROL!$C$15, $E$9, 100%, $G$9) + CHOOSE(CONTROL!$C$38, 0.034, 0)</f>
        <v>38.574300000000001</v>
      </c>
      <c r="C502" s="17">
        <f>36.2189 * CHOOSE(CONTROL!$C$15, $E$9, 100%, $G$9) + CHOOSE(CONTROL!$C$38, 0.0342, 0)</f>
        <v>36.253099999999996</v>
      </c>
      <c r="D502" s="17">
        <f>36.211 * CHOOSE(CONTROL!$C$15, $E$9, 100%, $G$9) + CHOOSE(CONTROL!$C$38, 0.0342, 0)</f>
        <v>36.245199999999997</v>
      </c>
      <c r="E502" s="17">
        <f>36.211 * CHOOSE(CONTROL!$C$15, $E$9, 100%, $G$9) + CHOOSE(CONTROL!$C$38, 0.0342, 0)</f>
        <v>36.245199999999997</v>
      </c>
      <c r="F502" s="45">
        <f>38.5403 * CHOOSE(CONTROL!$C$15, $E$9, 100%, $G$9) + CHOOSE(CONTROL!$C$38, 0.034, 0)</f>
        <v>38.574300000000001</v>
      </c>
      <c r="G502" s="17">
        <f>36.2173 * CHOOSE(CONTROL!$C$15, $E$9, 100%, $G$9) + CHOOSE(CONTROL!$C$38, 0.0342, 0)</f>
        <v>36.2515</v>
      </c>
      <c r="H502" s="17">
        <f>36.2173 * CHOOSE(CONTROL!$C$15, $E$9, 100%, $G$9) + CHOOSE(CONTROL!$C$38, 0.0342, 0)</f>
        <v>36.2515</v>
      </c>
      <c r="I502" s="17">
        <f>36.2189 * CHOOSE(CONTROL!$C$15, $E$9, 100%, $G$9) + CHOOSE(CONTROL!$C$38, 0.0342, 0)</f>
        <v>36.253099999999996</v>
      </c>
      <c r="J502" s="44">
        <f>281.8939</f>
        <v>281.89389999999997</v>
      </c>
    </row>
    <row r="503" spans="1:10" ht="15.75" x14ac:dyDescent="0.25">
      <c r="A503" s="14">
        <v>56249</v>
      </c>
      <c r="B503" s="17">
        <f>39.4699 * CHOOSE(CONTROL!$C$15, $E$9, 100%, $G$9) + CHOOSE(CONTROL!$C$38, 0.034, 0)</f>
        <v>39.503900000000002</v>
      </c>
      <c r="C503" s="17">
        <f>37.1485 * CHOOSE(CONTROL!$C$15, $E$9, 100%, $G$9) + CHOOSE(CONTROL!$C$38, 0.0342, 0)</f>
        <v>37.182699999999997</v>
      </c>
      <c r="D503" s="17">
        <f>37.1407 * CHOOSE(CONTROL!$C$15, $E$9, 100%, $G$9) + CHOOSE(CONTROL!$C$38, 0.0342, 0)</f>
        <v>37.174900000000001</v>
      </c>
      <c r="E503" s="17">
        <f>37.1407 * CHOOSE(CONTROL!$C$15, $E$9, 100%, $G$9) + CHOOSE(CONTROL!$C$38, 0.0342, 0)</f>
        <v>37.174900000000001</v>
      </c>
      <c r="F503" s="45">
        <f>39.4699 * CHOOSE(CONTROL!$C$15, $E$9, 100%, $G$9) + CHOOSE(CONTROL!$C$38, 0.034, 0)</f>
        <v>39.503900000000002</v>
      </c>
      <c r="G503" s="17">
        <f>37.147 * CHOOSE(CONTROL!$C$15, $E$9, 100%, $G$9) + CHOOSE(CONTROL!$C$38, 0.0342, 0)</f>
        <v>37.181199999999997</v>
      </c>
      <c r="H503" s="17">
        <f>37.147 * CHOOSE(CONTROL!$C$15, $E$9, 100%, $G$9) + CHOOSE(CONTROL!$C$38, 0.0342, 0)</f>
        <v>37.181199999999997</v>
      </c>
      <c r="I503" s="17">
        <f>37.1485 * CHOOSE(CONTROL!$C$15, $E$9, 100%, $G$9) + CHOOSE(CONTROL!$C$38, 0.0342, 0)</f>
        <v>37.182699999999997</v>
      </c>
      <c r="J503" s="44">
        <f>273.5287</f>
        <v>273.52870000000001</v>
      </c>
    </row>
    <row r="504" spans="1:10" ht="15.75" x14ac:dyDescent="0.25">
      <c r="A504" s="14">
        <v>56280</v>
      </c>
      <c r="B504" s="17">
        <f>40.8421 * CHOOSE(CONTROL!$C$15, $E$9, 100%, $G$9) + CHOOSE(CONTROL!$C$38, 0.034, 0)</f>
        <v>40.876100000000001</v>
      </c>
      <c r="C504" s="17">
        <f>38.4843 * CHOOSE(CONTROL!$C$15, $E$9, 100%, $G$9) + CHOOSE(CONTROL!$C$38, 0.0342, 0)</f>
        <v>38.518499999999996</v>
      </c>
      <c r="D504" s="17">
        <f>38.4765 * CHOOSE(CONTROL!$C$15, $E$9, 100%, $G$9) + CHOOSE(CONTROL!$C$38, 0.0342, 0)</f>
        <v>38.5107</v>
      </c>
      <c r="E504" s="17">
        <f>38.4765 * CHOOSE(CONTROL!$C$15, $E$9, 100%, $G$9) + CHOOSE(CONTROL!$C$38, 0.0342, 0)</f>
        <v>38.5107</v>
      </c>
      <c r="F504" s="45">
        <f>40.8421 * CHOOSE(CONTROL!$C$15, $E$9, 100%, $G$9) + CHOOSE(CONTROL!$C$38, 0.034, 0)</f>
        <v>40.876100000000001</v>
      </c>
      <c r="G504" s="17">
        <f>38.4828 * CHOOSE(CONTROL!$C$15, $E$9, 100%, $G$9) + CHOOSE(CONTROL!$C$38, 0.0342, 0)</f>
        <v>38.516999999999996</v>
      </c>
      <c r="H504" s="17">
        <f>38.4828 * CHOOSE(CONTROL!$C$15, $E$9, 100%, $G$9) + CHOOSE(CONTROL!$C$38, 0.0342, 0)</f>
        <v>38.516999999999996</v>
      </c>
      <c r="I504" s="17">
        <f>38.4843 * CHOOSE(CONTROL!$C$15, $E$9, 100%, $G$9) + CHOOSE(CONTROL!$C$38, 0.0342, 0)</f>
        <v>38.518499999999996</v>
      </c>
      <c r="J504" s="44">
        <f>273.3312</f>
        <v>273.33120000000002</v>
      </c>
    </row>
    <row r="505" spans="1:10" ht="15.75" x14ac:dyDescent="0.25">
      <c r="A505" s="14">
        <v>56308</v>
      </c>
      <c r="B505" s="17">
        <f>41.1864 * CHOOSE(CONTROL!$C$15, $E$9, 100%, $G$9) + CHOOSE(CONTROL!$C$38, 0.034, 0)</f>
        <v>41.220399999999998</v>
      </c>
      <c r="C505" s="17">
        <f>38.8287 * CHOOSE(CONTROL!$C$15, $E$9, 100%, $G$9) + CHOOSE(CONTROL!$C$38, 0.0342, 0)</f>
        <v>38.862899999999996</v>
      </c>
      <c r="D505" s="17">
        <f>38.8208 * CHOOSE(CONTROL!$C$15, $E$9, 100%, $G$9) + CHOOSE(CONTROL!$C$38, 0.0342, 0)</f>
        <v>38.854999999999997</v>
      </c>
      <c r="E505" s="17">
        <f>38.8208 * CHOOSE(CONTROL!$C$15, $E$9, 100%, $G$9) + CHOOSE(CONTROL!$C$38, 0.0342, 0)</f>
        <v>38.854999999999997</v>
      </c>
      <c r="F505" s="45">
        <f>41.1864 * CHOOSE(CONTROL!$C$15, $E$9, 100%, $G$9) + CHOOSE(CONTROL!$C$38, 0.034, 0)</f>
        <v>41.220399999999998</v>
      </c>
      <c r="G505" s="17">
        <f>38.8271 * CHOOSE(CONTROL!$C$15, $E$9, 100%, $G$9) + CHOOSE(CONTROL!$C$38, 0.0342, 0)</f>
        <v>38.8613</v>
      </c>
      <c r="H505" s="17">
        <f>38.8271 * CHOOSE(CONTROL!$C$15, $E$9, 100%, $G$9) + CHOOSE(CONTROL!$C$38, 0.0342, 0)</f>
        <v>38.8613</v>
      </c>
      <c r="I505" s="17">
        <f>38.8287 * CHOOSE(CONTROL!$C$15, $E$9, 100%, $G$9) + CHOOSE(CONTROL!$C$38, 0.0342, 0)</f>
        <v>38.862899999999996</v>
      </c>
      <c r="J505" s="44">
        <f>272.5714</f>
        <v>272.57139999999998</v>
      </c>
    </row>
    <row r="506" spans="1:10" ht="15.75" x14ac:dyDescent="0.25">
      <c r="A506" s="14">
        <v>56339</v>
      </c>
      <c r="B506" s="17">
        <f>40.3894 * CHOOSE(CONTROL!$C$15, $E$9, 100%, $G$9) + CHOOSE(CONTROL!$C$38, 0.034, 0)</f>
        <v>40.423400000000001</v>
      </c>
      <c r="C506" s="17">
        <f>38.0316 * CHOOSE(CONTROL!$C$15, $E$9, 100%, $G$9) + CHOOSE(CONTROL!$C$38, 0.0342, 0)</f>
        <v>38.065799999999996</v>
      </c>
      <c r="D506" s="17">
        <f>38.0238 * CHOOSE(CONTROL!$C$15, $E$9, 100%, $G$9) + CHOOSE(CONTROL!$C$38, 0.0342, 0)</f>
        <v>38.058</v>
      </c>
      <c r="E506" s="17">
        <f>38.0238 * CHOOSE(CONTROL!$C$15, $E$9, 100%, $G$9) + CHOOSE(CONTROL!$C$38, 0.0342, 0)</f>
        <v>38.058</v>
      </c>
      <c r="F506" s="45">
        <f>40.3894 * CHOOSE(CONTROL!$C$15, $E$9, 100%, $G$9) + CHOOSE(CONTROL!$C$38, 0.034, 0)</f>
        <v>40.423400000000001</v>
      </c>
      <c r="G506" s="17">
        <f>38.0301 * CHOOSE(CONTROL!$C$15, $E$9, 100%, $G$9) + CHOOSE(CONTROL!$C$38, 0.0342, 0)</f>
        <v>38.064299999999996</v>
      </c>
      <c r="H506" s="17">
        <f>38.0301 * CHOOSE(CONTROL!$C$15, $E$9, 100%, $G$9) + CHOOSE(CONTROL!$C$38, 0.0342, 0)</f>
        <v>38.064299999999996</v>
      </c>
      <c r="I506" s="17">
        <f>38.0316 * CHOOSE(CONTROL!$C$15, $E$9, 100%, $G$9) + CHOOSE(CONTROL!$C$38, 0.0342, 0)</f>
        <v>38.065799999999996</v>
      </c>
      <c r="J506" s="44">
        <f>286.9375</f>
        <v>286.9375</v>
      </c>
    </row>
    <row r="507" spans="1:10" ht="15.75" x14ac:dyDescent="0.25">
      <c r="A507" s="14">
        <v>56369</v>
      </c>
      <c r="B507" s="17">
        <f>39.6171 * CHOOSE(CONTROL!$C$15, $E$9, 100%, $G$9) + CHOOSE(CONTROL!$C$38, 0.034, 0)</f>
        <v>39.6511</v>
      </c>
      <c r="C507" s="17">
        <f>37.2593 * CHOOSE(CONTROL!$C$15, $E$9, 100%, $G$9) + CHOOSE(CONTROL!$C$38, 0.0342, 0)</f>
        <v>37.293500000000002</v>
      </c>
      <c r="D507" s="17">
        <f>37.2515 * CHOOSE(CONTROL!$C$15, $E$9, 100%, $G$9) + CHOOSE(CONTROL!$C$38, 0.0342, 0)</f>
        <v>37.285699999999999</v>
      </c>
      <c r="E507" s="17">
        <f>37.2515 * CHOOSE(CONTROL!$C$15, $E$9, 100%, $G$9) + CHOOSE(CONTROL!$C$38, 0.0342, 0)</f>
        <v>37.285699999999999</v>
      </c>
      <c r="F507" s="45">
        <f>39.6171 * CHOOSE(CONTROL!$C$15, $E$9, 100%, $G$9) + CHOOSE(CONTROL!$C$38, 0.034, 0)</f>
        <v>39.6511</v>
      </c>
      <c r="G507" s="17">
        <f>37.2577 * CHOOSE(CONTROL!$C$15, $E$9, 100%, $G$9) + CHOOSE(CONTROL!$C$38, 0.0342, 0)</f>
        <v>37.291899999999998</v>
      </c>
      <c r="H507" s="17">
        <f>37.2577 * CHOOSE(CONTROL!$C$15, $E$9, 100%, $G$9) + CHOOSE(CONTROL!$C$38, 0.0342, 0)</f>
        <v>37.291899999999998</v>
      </c>
      <c r="I507" s="17">
        <f>37.2593 * CHOOSE(CONTROL!$C$15, $E$9, 100%, $G$9) + CHOOSE(CONTROL!$C$38, 0.0342, 0)</f>
        <v>37.293500000000002</v>
      </c>
      <c r="J507" s="44">
        <f>305.5669</f>
        <v>305.56689999999998</v>
      </c>
    </row>
    <row r="508" spans="1:10" ht="15.75" x14ac:dyDescent="0.25">
      <c r="A508" s="14">
        <v>56400</v>
      </c>
      <c r="B508" s="17">
        <f>38.8121 * CHOOSE(CONTROL!$C$15, $E$9, 100%, $G$9) + CHOOSE(CONTROL!$C$38, 0.0353, 0)</f>
        <v>38.8474</v>
      </c>
      <c r="C508" s="17">
        <f>36.4543 * CHOOSE(CONTROL!$C$15, $E$9, 100%, $G$9) + CHOOSE(CONTROL!$C$38, 0.0354, 0)</f>
        <v>36.489700000000006</v>
      </c>
      <c r="D508" s="17">
        <f>36.4465 * CHOOSE(CONTROL!$C$15, $E$9, 100%, $G$9) + CHOOSE(CONTROL!$C$38, 0.0354, 0)</f>
        <v>36.481900000000003</v>
      </c>
      <c r="E508" s="17">
        <f>36.4465 * CHOOSE(CONTROL!$C$15, $E$9, 100%, $G$9) + CHOOSE(CONTROL!$C$38, 0.0354, 0)</f>
        <v>36.481900000000003</v>
      </c>
      <c r="F508" s="45">
        <f>38.8121 * CHOOSE(CONTROL!$C$15, $E$9, 100%, $G$9) + CHOOSE(CONTROL!$C$38, 0.0353, 0)</f>
        <v>38.8474</v>
      </c>
      <c r="G508" s="17">
        <f>36.4528 * CHOOSE(CONTROL!$C$15, $E$9, 100%, $G$9) + CHOOSE(CONTROL!$C$38, 0.0354, 0)</f>
        <v>36.488200000000006</v>
      </c>
      <c r="H508" s="17">
        <f>36.4528 * CHOOSE(CONTROL!$C$15, $E$9, 100%, $G$9) + CHOOSE(CONTROL!$C$38, 0.0354, 0)</f>
        <v>36.488200000000006</v>
      </c>
      <c r="I508" s="17">
        <f>36.4543 * CHOOSE(CONTROL!$C$15, $E$9, 100%, $G$9) + CHOOSE(CONTROL!$C$38, 0.0354, 0)</f>
        <v>36.489700000000006</v>
      </c>
      <c r="J508" s="44">
        <f>315.8211</f>
        <v>315.8211</v>
      </c>
    </row>
    <row r="509" spans="1:10" ht="15.75" x14ac:dyDescent="0.25">
      <c r="A509" s="14">
        <v>56430</v>
      </c>
      <c r="B509" s="17">
        <f>38.2478 * CHOOSE(CONTROL!$C$15, $E$9, 100%, $G$9) + CHOOSE(CONTROL!$C$38, 0.0353, 0)</f>
        <v>38.283099999999997</v>
      </c>
      <c r="C509" s="17">
        <f>35.89 * CHOOSE(CONTROL!$C$15, $E$9, 100%, $G$9) + CHOOSE(CONTROL!$C$38, 0.0354, 0)</f>
        <v>35.925400000000003</v>
      </c>
      <c r="D509" s="17">
        <f>35.8822 * CHOOSE(CONTROL!$C$15, $E$9, 100%, $G$9) + CHOOSE(CONTROL!$C$38, 0.0354, 0)</f>
        <v>35.9176</v>
      </c>
      <c r="E509" s="17">
        <f>35.8822 * CHOOSE(CONTROL!$C$15, $E$9, 100%, $G$9) + CHOOSE(CONTROL!$C$38, 0.0354, 0)</f>
        <v>35.9176</v>
      </c>
      <c r="F509" s="45">
        <f>38.2478 * CHOOSE(CONTROL!$C$15, $E$9, 100%, $G$9) + CHOOSE(CONTROL!$C$38, 0.0353, 0)</f>
        <v>38.283099999999997</v>
      </c>
      <c r="G509" s="17">
        <f>35.8884 * CHOOSE(CONTROL!$C$15, $E$9, 100%, $G$9) + CHOOSE(CONTROL!$C$38, 0.0354, 0)</f>
        <v>35.9238</v>
      </c>
      <c r="H509" s="17">
        <f>35.8884 * CHOOSE(CONTROL!$C$15, $E$9, 100%, $G$9) + CHOOSE(CONTROL!$C$38, 0.0354, 0)</f>
        <v>35.9238</v>
      </c>
      <c r="I509" s="17">
        <f>35.89 * CHOOSE(CONTROL!$C$15, $E$9, 100%, $G$9) + CHOOSE(CONTROL!$C$38, 0.0354, 0)</f>
        <v>35.925400000000003</v>
      </c>
      <c r="J509" s="44">
        <f>320.3717</f>
        <v>320.37169999999998</v>
      </c>
    </row>
    <row r="510" spans="1:10" ht="15.75" x14ac:dyDescent="0.25">
      <c r="A510" s="14">
        <v>56461</v>
      </c>
      <c r="B510" s="17">
        <f>37.9257 * CHOOSE(CONTROL!$C$15, $E$9, 100%, $G$9) + CHOOSE(CONTROL!$C$38, 0.0353, 0)</f>
        <v>37.960999999999999</v>
      </c>
      <c r="C510" s="17">
        <f>35.568 * CHOOSE(CONTROL!$C$15, $E$9, 100%, $G$9) + CHOOSE(CONTROL!$C$38, 0.0354, 0)</f>
        <v>35.603400000000001</v>
      </c>
      <c r="D510" s="17">
        <f>35.5601 * CHOOSE(CONTROL!$C$15, $E$9, 100%, $G$9) + CHOOSE(CONTROL!$C$38, 0.0354, 0)</f>
        <v>35.595500000000001</v>
      </c>
      <c r="E510" s="17">
        <f>35.5601 * CHOOSE(CONTROL!$C$15, $E$9, 100%, $G$9) + CHOOSE(CONTROL!$C$38, 0.0354, 0)</f>
        <v>35.595500000000001</v>
      </c>
      <c r="F510" s="45">
        <f>37.9257 * CHOOSE(CONTROL!$C$15, $E$9, 100%, $G$9) + CHOOSE(CONTROL!$C$38, 0.0353, 0)</f>
        <v>37.960999999999999</v>
      </c>
      <c r="G510" s="17">
        <f>35.5664 * CHOOSE(CONTROL!$C$15, $E$9, 100%, $G$9) + CHOOSE(CONTROL!$C$38, 0.0354, 0)</f>
        <v>35.601800000000004</v>
      </c>
      <c r="H510" s="17">
        <f>35.5664 * CHOOSE(CONTROL!$C$15, $E$9, 100%, $G$9) + CHOOSE(CONTROL!$C$38, 0.0354, 0)</f>
        <v>35.601800000000004</v>
      </c>
      <c r="I510" s="17">
        <f>35.568 * CHOOSE(CONTROL!$C$15, $E$9, 100%, $G$9) + CHOOSE(CONTROL!$C$38, 0.0354, 0)</f>
        <v>35.603400000000001</v>
      </c>
      <c r="J510" s="44">
        <f>318.8735</f>
        <v>318.87349999999998</v>
      </c>
    </row>
    <row r="511" spans="1:10" ht="15.75" x14ac:dyDescent="0.25">
      <c r="A511" s="14">
        <v>56492</v>
      </c>
      <c r="B511" s="17">
        <f>38.0847 * CHOOSE(CONTROL!$C$15, $E$9, 100%, $G$9) + CHOOSE(CONTROL!$C$38, 0.0353, 0)</f>
        <v>38.119999999999997</v>
      </c>
      <c r="C511" s="17">
        <f>35.7269 * CHOOSE(CONTROL!$C$15, $E$9, 100%, $G$9) + CHOOSE(CONTROL!$C$38, 0.0354, 0)</f>
        <v>35.762300000000003</v>
      </c>
      <c r="D511" s="17">
        <f>35.7191 * CHOOSE(CONTROL!$C$15, $E$9, 100%, $G$9) + CHOOSE(CONTROL!$C$38, 0.0354, 0)</f>
        <v>35.7545</v>
      </c>
      <c r="E511" s="17">
        <f>35.7191 * CHOOSE(CONTROL!$C$15, $E$9, 100%, $G$9) + CHOOSE(CONTROL!$C$38, 0.0354, 0)</f>
        <v>35.7545</v>
      </c>
      <c r="F511" s="45">
        <f>38.0847 * CHOOSE(CONTROL!$C$15, $E$9, 100%, $G$9) + CHOOSE(CONTROL!$C$38, 0.0353, 0)</f>
        <v>38.119999999999997</v>
      </c>
      <c r="G511" s="17">
        <f>35.7253 * CHOOSE(CONTROL!$C$15, $E$9, 100%, $G$9) + CHOOSE(CONTROL!$C$38, 0.0354, 0)</f>
        <v>35.7607</v>
      </c>
      <c r="H511" s="17">
        <f>35.7253 * CHOOSE(CONTROL!$C$15, $E$9, 100%, $G$9) + CHOOSE(CONTROL!$C$38, 0.0354, 0)</f>
        <v>35.7607</v>
      </c>
      <c r="I511" s="17">
        <f>35.7269 * CHOOSE(CONTROL!$C$15, $E$9, 100%, $G$9) + CHOOSE(CONTROL!$C$38, 0.0354, 0)</f>
        <v>35.762300000000003</v>
      </c>
      <c r="J511" s="44">
        <f>311.4502</f>
        <v>311.4502</v>
      </c>
    </row>
    <row r="512" spans="1:10" ht="15.75" x14ac:dyDescent="0.25">
      <c r="A512" s="14">
        <v>56522</v>
      </c>
      <c r="B512" s="17">
        <f>38.5164 * CHOOSE(CONTROL!$C$15, $E$9, 100%, $G$9) + CHOOSE(CONTROL!$C$38, 0.0353, 0)</f>
        <v>38.551699999999997</v>
      </c>
      <c r="C512" s="17">
        <f>36.1586 * CHOOSE(CONTROL!$C$15, $E$9, 100%, $G$9) + CHOOSE(CONTROL!$C$38, 0.0354, 0)</f>
        <v>36.194000000000003</v>
      </c>
      <c r="D512" s="17">
        <f>36.1508 * CHOOSE(CONTROL!$C$15, $E$9, 100%, $G$9) + CHOOSE(CONTROL!$C$38, 0.0354, 0)</f>
        <v>36.186199999999999</v>
      </c>
      <c r="E512" s="17">
        <f>36.1508 * CHOOSE(CONTROL!$C$15, $E$9, 100%, $G$9) + CHOOSE(CONTROL!$C$38, 0.0354, 0)</f>
        <v>36.186199999999999</v>
      </c>
      <c r="F512" s="45">
        <f>38.5164 * CHOOSE(CONTROL!$C$15, $E$9, 100%, $G$9) + CHOOSE(CONTROL!$C$38, 0.0353, 0)</f>
        <v>38.551699999999997</v>
      </c>
      <c r="G512" s="17">
        <f>36.157 * CHOOSE(CONTROL!$C$15, $E$9, 100%, $G$9) + CHOOSE(CONTROL!$C$38, 0.0354, 0)</f>
        <v>36.192399999999999</v>
      </c>
      <c r="H512" s="17">
        <f>36.157 * CHOOSE(CONTROL!$C$15, $E$9, 100%, $G$9) + CHOOSE(CONTROL!$C$38, 0.0354, 0)</f>
        <v>36.192399999999999</v>
      </c>
      <c r="I512" s="17">
        <f>36.1586 * CHOOSE(CONTROL!$C$15, $E$9, 100%, $G$9) + CHOOSE(CONTROL!$C$38, 0.0354, 0)</f>
        <v>36.194000000000003</v>
      </c>
      <c r="J512" s="44">
        <f>301.0981</f>
        <v>301.09809999999999</v>
      </c>
    </row>
    <row r="513" spans="1:10" ht="15.75" x14ac:dyDescent="0.25">
      <c r="A513" s="14">
        <v>56553</v>
      </c>
      <c r="B513" s="17">
        <f>38.878 * CHOOSE(CONTROL!$C$15, $E$9, 100%, $G$9) + CHOOSE(CONTROL!$C$38, 0.034, 0)</f>
        <v>38.911999999999999</v>
      </c>
      <c r="C513" s="17">
        <f>36.5202 * CHOOSE(CONTROL!$C$15, $E$9, 100%, $G$9) + CHOOSE(CONTROL!$C$38, 0.0342, 0)</f>
        <v>36.554400000000001</v>
      </c>
      <c r="D513" s="17">
        <f>36.5124 * CHOOSE(CONTROL!$C$15, $E$9, 100%, $G$9) + CHOOSE(CONTROL!$C$38, 0.0342, 0)</f>
        <v>36.546599999999998</v>
      </c>
      <c r="E513" s="17">
        <f>36.5124 * CHOOSE(CONTROL!$C$15, $E$9, 100%, $G$9) + CHOOSE(CONTROL!$C$38, 0.0342, 0)</f>
        <v>36.546599999999998</v>
      </c>
      <c r="F513" s="45">
        <f>38.878 * CHOOSE(CONTROL!$C$15, $E$9, 100%, $G$9) + CHOOSE(CONTROL!$C$38, 0.034, 0)</f>
        <v>38.911999999999999</v>
      </c>
      <c r="G513" s="17">
        <f>36.5186 * CHOOSE(CONTROL!$C$15, $E$9, 100%, $G$9) + CHOOSE(CONTROL!$C$38, 0.0342, 0)</f>
        <v>36.552799999999998</v>
      </c>
      <c r="H513" s="17">
        <f>36.5186 * CHOOSE(CONTROL!$C$15, $E$9, 100%, $G$9) + CHOOSE(CONTROL!$C$38, 0.0342, 0)</f>
        <v>36.552799999999998</v>
      </c>
      <c r="I513" s="17">
        <f>36.5202 * CHOOSE(CONTROL!$C$15, $E$9, 100%, $G$9) + CHOOSE(CONTROL!$C$38, 0.0342, 0)</f>
        <v>36.554400000000001</v>
      </c>
      <c r="J513" s="44">
        <f>290.6859</f>
        <v>290.6859</v>
      </c>
    </row>
    <row r="514" spans="1:10" ht="15.75" x14ac:dyDescent="0.25">
      <c r="A514" s="14">
        <v>56583</v>
      </c>
      <c r="B514" s="17">
        <f>39.1797 * CHOOSE(CONTROL!$C$15, $E$9, 100%, $G$9) + CHOOSE(CONTROL!$C$38, 0.034, 0)</f>
        <v>39.213699999999996</v>
      </c>
      <c r="C514" s="17">
        <f>36.8219 * CHOOSE(CONTROL!$C$15, $E$9, 100%, $G$9) + CHOOSE(CONTROL!$C$38, 0.0342, 0)</f>
        <v>36.856099999999998</v>
      </c>
      <c r="D514" s="17">
        <f>36.8141 * CHOOSE(CONTROL!$C$15, $E$9, 100%, $G$9) + CHOOSE(CONTROL!$C$38, 0.0342, 0)</f>
        <v>36.848300000000002</v>
      </c>
      <c r="E514" s="17">
        <f>36.8141 * CHOOSE(CONTROL!$C$15, $E$9, 100%, $G$9) + CHOOSE(CONTROL!$C$38, 0.0342, 0)</f>
        <v>36.848300000000002</v>
      </c>
      <c r="F514" s="45">
        <f>39.1797 * CHOOSE(CONTROL!$C$15, $E$9, 100%, $G$9) + CHOOSE(CONTROL!$C$38, 0.034, 0)</f>
        <v>39.213699999999996</v>
      </c>
      <c r="G514" s="17">
        <f>36.8203 * CHOOSE(CONTROL!$C$15, $E$9, 100%, $G$9) + CHOOSE(CONTROL!$C$38, 0.0342, 0)</f>
        <v>36.854500000000002</v>
      </c>
      <c r="H514" s="17">
        <f>36.8203 * CHOOSE(CONTROL!$C$15, $E$9, 100%, $G$9) + CHOOSE(CONTROL!$C$38, 0.0342, 0)</f>
        <v>36.854500000000002</v>
      </c>
      <c r="I514" s="17">
        <f>36.8219 * CHOOSE(CONTROL!$C$15, $E$9, 100%, $G$9) + CHOOSE(CONTROL!$C$38, 0.0342, 0)</f>
        <v>36.856099999999998</v>
      </c>
      <c r="J514" s="44">
        <f>288.6147</f>
        <v>288.61470000000003</v>
      </c>
    </row>
    <row r="515" spans="1:10" ht="15.75" x14ac:dyDescent="0.25">
      <c r="A515" s="14">
        <v>56614</v>
      </c>
      <c r="B515" s="17">
        <f>40.1093 * CHOOSE(CONTROL!$C$15, $E$9, 100%, $G$9) + CHOOSE(CONTROL!$C$38, 0.034, 0)</f>
        <v>40.143299999999996</v>
      </c>
      <c r="C515" s="17">
        <f>37.7515 * CHOOSE(CONTROL!$C$15, $E$9, 100%, $G$9) + CHOOSE(CONTROL!$C$38, 0.0342, 0)</f>
        <v>37.785699999999999</v>
      </c>
      <c r="D515" s="17">
        <f>37.7437 * CHOOSE(CONTROL!$C$15, $E$9, 100%, $G$9) + CHOOSE(CONTROL!$C$38, 0.0342, 0)</f>
        <v>37.777899999999995</v>
      </c>
      <c r="E515" s="17">
        <f>37.7437 * CHOOSE(CONTROL!$C$15, $E$9, 100%, $G$9) + CHOOSE(CONTROL!$C$38, 0.0342, 0)</f>
        <v>37.777899999999995</v>
      </c>
      <c r="F515" s="45">
        <f>40.1093 * CHOOSE(CONTROL!$C$15, $E$9, 100%, $G$9) + CHOOSE(CONTROL!$C$38, 0.034, 0)</f>
        <v>40.143299999999996</v>
      </c>
      <c r="G515" s="17">
        <f>37.75 * CHOOSE(CONTROL!$C$15, $E$9, 100%, $G$9) + CHOOSE(CONTROL!$C$38, 0.0342, 0)</f>
        <v>37.784199999999998</v>
      </c>
      <c r="H515" s="17">
        <f>37.75 * CHOOSE(CONTROL!$C$15, $E$9, 100%, $G$9) + CHOOSE(CONTROL!$C$38, 0.0342, 0)</f>
        <v>37.784199999999998</v>
      </c>
      <c r="I515" s="17">
        <f>37.7515 * CHOOSE(CONTROL!$C$15, $E$9, 100%, $G$9) + CHOOSE(CONTROL!$C$38, 0.0342, 0)</f>
        <v>37.785699999999999</v>
      </c>
      <c r="J515" s="44">
        <f>280.05</f>
        <v>280.05</v>
      </c>
    </row>
    <row r="516" spans="1:10" ht="15.75" x14ac:dyDescent="0.25">
      <c r="A516" s="13">
        <v>56645</v>
      </c>
      <c r="B516" s="17">
        <f>41.4922 * CHOOSE(CONTROL!$C$15, $E$9, 100%, $G$9) + CHOOSE(CONTROL!$C$38, 0.034, 0)</f>
        <v>41.526199999999996</v>
      </c>
      <c r="C516" s="17">
        <f>39.0975 * CHOOSE(CONTROL!$C$15, $E$9, 100%, $G$9) + CHOOSE(CONTROL!$C$38, 0.0342, 0)</f>
        <v>39.131699999999995</v>
      </c>
      <c r="D516" s="17">
        <f>39.0897 * CHOOSE(CONTROL!$C$15, $E$9, 100%, $G$9) + CHOOSE(CONTROL!$C$38, 0.0342, 0)</f>
        <v>39.123899999999999</v>
      </c>
      <c r="E516" s="17">
        <f>39.0897 * CHOOSE(CONTROL!$C$15, $E$9, 100%, $G$9) + CHOOSE(CONTROL!$C$38, 0.0342, 0)</f>
        <v>39.123899999999999</v>
      </c>
      <c r="F516" s="45">
        <f>41.4922 * CHOOSE(CONTROL!$C$15, $E$9, 100%, $G$9) + CHOOSE(CONTROL!$C$38, 0.034, 0)</f>
        <v>41.526199999999996</v>
      </c>
      <c r="G516" s="17">
        <f>39.0959 * CHOOSE(CONTROL!$C$15, $E$9, 100%, $G$9) + CHOOSE(CONTROL!$C$38, 0.0342, 0)</f>
        <v>39.130099999999999</v>
      </c>
      <c r="H516" s="17">
        <f>39.0959 * CHOOSE(CONTROL!$C$15, $E$9, 100%, $G$9) + CHOOSE(CONTROL!$C$38, 0.0342, 0)</f>
        <v>39.130099999999999</v>
      </c>
      <c r="I516" s="17">
        <f>39.0975 * CHOOSE(CONTROL!$C$15, $E$9, 100%, $G$9) + CHOOSE(CONTROL!$C$38, 0.0342, 0)</f>
        <v>39.131699999999995</v>
      </c>
      <c r="J516" s="44">
        <f>279.8478</f>
        <v>279.84780000000001</v>
      </c>
    </row>
    <row r="517" spans="1:10" ht="15.75" x14ac:dyDescent="0.25">
      <c r="A517" s="13">
        <v>56673</v>
      </c>
      <c r="B517" s="17">
        <f>41.8366 * CHOOSE(CONTROL!$C$15, $E$9, 100%, $G$9) + CHOOSE(CONTROL!$C$38, 0.034, 0)</f>
        <v>41.870599999999996</v>
      </c>
      <c r="C517" s="17">
        <f>39.4418 * CHOOSE(CONTROL!$C$15, $E$9, 100%, $G$9) + CHOOSE(CONTROL!$C$38, 0.0342, 0)</f>
        <v>39.475999999999999</v>
      </c>
      <c r="D517" s="17">
        <f>39.434 * CHOOSE(CONTROL!$C$15, $E$9, 100%, $G$9) + CHOOSE(CONTROL!$C$38, 0.0342, 0)</f>
        <v>39.468199999999996</v>
      </c>
      <c r="E517" s="17">
        <f>39.434 * CHOOSE(CONTROL!$C$15, $E$9, 100%, $G$9) + CHOOSE(CONTROL!$C$38, 0.0342, 0)</f>
        <v>39.468199999999996</v>
      </c>
      <c r="F517" s="45">
        <f>41.8366 * CHOOSE(CONTROL!$C$15, $E$9, 100%, $G$9) + CHOOSE(CONTROL!$C$38, 0.034, 0)</f>
        <v>41.870599999999996</v>
      </c>
      <c r="G517" s="17">
        <f>39.4402 * CHOOSE(CONTROL!$C$15, $E$9, 100%, $G$9) + CHOOSE(CONTROL!$C$38, 0.0342, 0)</f>
        <v>39.474399999999996</v>
      </c>
      <c r="H517" s="17">
        <f>39.4402 * CHOOSE(CONTROL!$C$15, $E$9, 100%, $G$9) + CHOOSE(CONTROL!$C$38, 0.0342, 0)</f>
        <v>39.474399999999996</v>
      </c>
      <c r="I517" s="17">
        <f>39.4418 * CHOOSE(CONTROL!$C$15, $E$9, 100%, $G$9) + CHOOSE(CONTROL!$C$38, 0.0342, 0)</f>
        <v>39.475999999999999</v>
      </c>
      <c r="J517" s="44">
        <f>279.0699</f>
        <v>279.06990000000002</v>
      </c>
    </row>
    <row r="518" spans="1:10" ht="15.75" x14ac:dyDescent="0.25">
      <c r="A518" s="13">
        <v>56704</v>
      </c>
      <c r="B518" s="17">
        <f>41.0395 * CHOOSE(CONTROL!$C$15, $E$9, 100%, $G$9) + CHOOSE(CONTROL!$C$38, 0.034, 0)</f>
        <v>41.073499999999996</v>
      </c>
      <c r="C518" s="17">
        <f>38.6448 * CHOOSE(CONTROL!$C$15, $E$9, 100%, $G$9) + CHOOSE(CONTROL!$C$38, 0.0342, 0)</f>
        <v>38.678999999999995</v>
      </c>
      <c r="D518" s="17">
        <f>38.6369 * CHOOSE(CONTROL!$C$15, $E$9, 100%, $G$9) + CHOOSE(CONTROL!$C$38, 0.0342, 0)</f>
        <v>38.671099999999996</v>
      </c>
      <c r="E518" s="17">
        <f>38.6369 * CHOOSE(CONTROL!$C$15, $E$9, 100%, $G$9) + CHOOSE(CONTROL!$C$38, 0.0342, 0)</f>
        <v>38.671099999999996</v>
      </c>
      <c r="F518" s="45">
        <f>41.0395 * CHOOSE(CONTROL!$C$15, $E$9, 100%, $G$9) + CHOOSE(CONTROL!$C$38, 0.034, 0)</f>
        <v>41.073499999999996</v>
      </c>
      <c r="G518" s="17">
        <f>38.6432 * CHOOSE(CONTROL!$C$15, $E$9, 100%, $G$9) + CHOOSE(CONTROL!$C$38, 0.0342, 0)</f>
        <v>38.677399999999999</v>
      </c>
      <c r="H518" s="17">
        <f>38.6432 * CHOOSE(CONTROL!$C$15, $E$9, 100%, $G$9) + CHOOSE(CONTROL!$C$38, 0.0342, 0)</f>
        <v>38.677399999999999</v>
      </c>
      <c r="I518" s="17">
        <f>38.6448 * CHOOSE(CONTROL!$C$15, $E$9, 100%, $G$9) + CHOOSE(CONTROL!$C$38, 0.0342, 0)</f>
        <v>38.678999999999995</v>
      </c>
      <c r="J518" s="44">
        <f>293.7785</f>
        <v>293.77850000000001</v>
      </c>
    </row>
    <row r="519" spans="1:10" ht="15.75" x14ac:dyDescent="0.25">
      <c r="A519" s="13">
        <v>56734</v>
      </c>
      <c r="B519" s="17">
        <f>40.2672 * CHOOSE(CONTROL!$C$15, $E$9, 100%, $G$9) + CHOOSE(CONTROL!$C$38, 0.034, 0)</f>
        <v>40.301200000000001</v>
      </c>
      <c r="C519" s="17">
        <f>37.8724 * CHOOSE(CONTROL!$C$15, $E$9, 100%, $G$9) + CHOOSE(CONTROL!$C$38, 0.0342, 0)</f>
        <v>37.906599999999997</v>
      </c>
      <c r="D519" s="17">
        <f>37.8646 * CHOOSE(CONTROL!$C$15, $E$9, 100%, $G$9) + CHOOSE(CONTROL!$C$38, 0.0342, 0)</f>
        <v>37.898800000000001</v>
      </c>
      <c r="E519" s="17">
        <f>37.8646 * CHOOSE(CONTROL!$C$15, $E$9, 100%, $G$9) + CHOOSE(CONTROL!$C$38, 0.0342, 0)</f>
        <v>37.898800000000001</v>
      </c>
      <c r="F519" s="45">
        <f>40.2672 * CHOOSE(CONTROL!$C$15, $E$9, 100%, $G$9) + CHOOSE(CONTROL!$C$38, 0.034, 0)</f>
        <v>40.301200000000001</v>
      </c>
      <c r="G519" s="17">
        <f>37.8709 * CHOOSE(CONTROL!$C$15, $E$9, 100%, $G$9) + CHOOSE(CONTROL!$C$38, 0.0342, 0)</f>
        <v>37.905099999999997</v>
      </c>
      <c r="H519" s="17">
        <f>37.8709 * CHOOSE(CONTROL!$C$15, $E$9, 100%, $G$9) + CHOOSE(CONTROL!$C$38, 0.0342, 0)</f>
        <v>37.905099999999997</v>
      </c>
      <c r="I519" s="17">
        <f>37.8724 * CHOOSE(CONTROL!$C$15, $E$9, 100%, $G$9) + CHOOSE(CONTROL!$C$38, 0.0342, 0)</f>
        <v>37.906599999999997</v>
      </c>
      <c r="J519" s="44">
        <f>312.8521</f>
        <v>312.85210000000001</v>
      </c>
    </row>
    <row r="520" spans="1:10" ht="15.75" x14ac:dyDescent="0.25">
      <c r="A520" s="13">
        <v>56765</v>
      </c>
      <c r="B520" s="17">
        <f>39.4623 * CHOOSE(CONTROL!$C$15, $E$9, 100%, $G$9) + CHOOSE(CONTROL!$C$38, 0.0353, 0)</f>
        <v>39.497599999999998</v>
      </c>
      <c r="C520" s="17">
        <f>37.0675 * CHOOSE(CONTROL!$C$15, $E$9, 100%, $G$9) + CHOOSE(CONTROL!$C$38, 0.0354, 0)</f>
        <v>37.102900000000005</v>
      </c>
      <c r="D520" s="17">
        <f>37.0597 * CHOOSE(CONTROL!$C$15, $E$9, 100%, $G$9) + CHOOSE(CONTROL!$C$38, 0.0354, 0)</f>
        <v>37.095100000000002</v>
      </c>
      <c r="E520" s="17">
        <f>37.0597 * CHOOSE(CONTROL!$C$15, $E$9, 100%, $G$9) + CHOOSE(CONTROL!$C$38, 0.0354, 0)</f>
        <v>37.095100000000002</v>
      </c>
      <c r="F520" s="45">
        <f>39.4623 * CHOOSE(CONTROL!$C$15, $E$9, 100%, $G$9) + CHOOSE(CONTROL!$C$38, 0.0353, 0)</f>
        <v>39.497599999999998</v>
      </c>
      <c r="G520" s="17">
        <f>37.0659 * CHOOSE(CONTROL!$C$15, $E$9, 100%, $G$9) + CHOOSE(CONTROL!$C$38, 0.0354, 0)</f>
        <v>37.101300000000002</v>
      </c>
      <c r="H520" s="17">
        <f>37.0659 * CHOOSE(CONTROL!$C$15, $E$9, 100%, $G$9) + CHOOSE(CONTROL!$C$38, 0.0354, 0)</f>
        <v>37.101300000000002</v>
      </c>
      <c r="I520" s="17">
        <f>37.0675 * CHOOSE(CONTROL!$C$15, $E$9, 100%, $G$9) + CHOOSE(CONTROL!$C$38, 0.0354, 0)</f>
        <v>37.102900000000005</v>
      </c>
      <c r="J520" s="44">
        <f>323.3507</f>
        <v>323.35070000000002</v>
      </c>
    </row>
    <row r="521" spans="1:10" ht="15.75" x14ac:dyDescent="0.25">
      <c r="A521" s="13">
        <v>56795</v>
      </c>
      <c r="B521" s="17">
        <f>38.8979 * CHOOSE(CONTROL!$C$15, $E$9, 100%, $G$9) + CHOOSE(CONTROL!$C$38, 0.0353, 0)</f>
        <v>38.933199999999999</v>
      </c>
      <c r="C521" s="17">
        <f>36.5031 * CHOOSE(CONTROL!$C$15, $E$9, 100%, $G$9) + CHOOSE(CONTROL!$C$38, 0.0354, 0)</f>
        <v>36.538500000000006</v>
      </c>
      <c r="D521" s="17">
        <f>36.4953 * CHOOSE(CONTROL!$C$15, $E$9, 100%, $G$9) + CHOOSE(CONTROL!$C$38, 0.0354, 0)</f>
        <v>36.530700000000003</v>
      </c>
      <c r="E521" s="17">
        <f>36.4953 * CHOOSE(CONTROL!$C$15, $E$9, 100%, $G$9) + CHOOSE(CONTROL!$C$38, 0.0354, 0)</f>
        <v>36.530700000000003</v>
      </c>
      <c r="F521" s="45">
        <f>38.8979 * CHOOSE(CONTROL!$C$15, $E$9, 100%, $G$9) + CHOOSE(CONTROL!$C$38, 0.0353, 0)</f>
        <v>38.933199999999999</v>
      </c>
      <c r="G521" s="17">
        <f>36.5016 * CHOOSE(CONTROL!$C$15, $E$9, 100%, $G$9) + CHOOSE(CONTROL!$C$38, 0.0354, 0)</f>
        <v>36.537000000000006</v>
      </c>
      <c r="H521" s="17">
        <f>36.5016 * CHOOSE(CONTROL!$C$15, $E$9, 100%, $G$9) + CHOOSE(CONTROL!$C$38, 0.0354, 0)</f>
        <v>36.537000000000006</v>
      </c>
      <c r="I521" s="17">
        <f>36.5031 * CHOOSE(CONTROL!$C$15, $E$9, 100%, $G$9) + CHOOSE(CONTROL!$C$38, 0.0354, 0)</f>
        <v>36.538500000000006</v>
      </c>
      <c r="J521" s="44">
        <f>328.0099</f>
        <v>328.00990000000002</v>
      </c>
    </row>
    <row r="522" spans="1:10" ht="15.75" x14ac:dyDescent="0.25">
      <c r="A522" s="13">
        <v>56826</v>
      </c>
      <c r="B522" s="17">
        <f>38.5759 * CHOOSE(CONTROL!$C$15, $E$9, 100%, $G$9) + CHOOSE(CONTROL!$C$38, 0.0353, 0)</f>
        <v>38.611199999999997</v>
      </c>
      <c r="C522" s="17">
        <f>36.1811 * CHOOSE(CONTROL!$C$15, $E$9, 100%, $G$9) + CHOOSE(CONTROL!$C$38, 0.0354, 0)</f>
        <v>36.216500000000003</v>
      </c>
      <c r="D522" s="17">
        <f>36.1733 * CHOOSE(CONTROL!$C$15, $E$9, 100%, $G$9) + CHOOSE(CONTROL!$C$38, 0.0354, 0)</f>
        <v>36.2087</v>
      </c>
      <c r="E522" s="17">
        <f>36.1733 * CHOOSE(CONTROL!$C$15, $E$9, 100%, $G$9) + CHOOSE(CONTROL!$C$38, 0.0354, 0)</f>
        <v>36.2087</v>
      </c>
      <c r="F522" s="45">
        <f>38.5759 * CHOOSE(CONTROL!$C$15, $E$9, 100%, $G$9) + CHOOSE(CONTROL!$C$38, 0.0353, 0)</f>
        <v>38.611199999999997</v>
      </c>
      <c r="G522" s="17">
        <f>36.1795 * CHOOSE(CONTROL!$C$15, $E$9, 100%, $G$9) + CHOOSE(CONTROL!$C$38, 0.0354, 0)</f>
        <v>36.2149</v>
      </c>
      <c r="H522" s="17">
        <f>36.1795 * CHOOSE(CONTROL!$C$15, $E$9, 100%, $G$9) + CHOOSE(CONTROL!$C$38, 0.0354, 0)</f>
        <v>36.2149</v>
      </c>
      <c r="I522" s="17">
        <f>36.1811 * CHOOSE(CONTROL!$C$15, $E$9, 100%, $G$9) + CHOOSE(CONTROL!$C$38, 0.0354, 0)</f>
        <v>36.216500000000003</v>
      </c>
      <c r="J522" s="44">
        <f>326.4759</f>
        <v>326.47590000000002</v>
      </c>
    </row>
    <row r="523" spans="1:10" ht="15.75" x14ac:dyDescent="0.25">
      <c r="A523" s="13">
        <v>56857</v>
      </c>
      <c r="B523" s="17">
        <f>38.7348 * CHOOSE(CONTROL!$C$15, $E$9, 100%, $G$9) + CHOOSE(CONTROL!$C$38, 0.0353, 0)</f>
        <v>38.770099999999999</v>
      </c>
      <c r="C523" s="17">
        <f>36.34 * CHOOSE(CONTROL!$C$15, $E$9, 100%, $G$9) + CHOOSE(CONTROL!$C$38, 0.0354, 0)</f>
        <v>36.375400000000006</v>
      </c>
      <c r="D523" s="17">
        <f>36.3322 * CHOOSE(CONTROL!$C$15, $E$9, 100%, $G$9) + CHOOSE(CONTROL!$C$38, 0.0354, 0)</f>
        <v>36.367600000000003</v>
      </c>
      <c r="E523" s="17">
        <f>36.3322 * CHOOSE(CONTROL!$C$15, $E$9, 100%, $G$9) + CHOOSE(CONTROL!$C$38, 0.0354, 0)</f>
        <v>36.367600000000003</v>
      </c>
      <c r="F523" s="45">
        <f>38.7348 * CHOOSE(CONTROL!$C$15, $E$9, 100%, $G$9) + CHOOSE(CONTROL!$C$38, 0.0353, 0)</f>
        <v>38.770099999999999</v>
      </c>
      <c r="G523" s="17">
        <f>36.3385 * CHOOSE(CONTROL!$C$15, $E$9, 100%, $G$9) + CHOOSE(CONTROL!$C$38, 0.0354, 0)</f>
        <v>36.373900000000006</v>
      </c>
      <c r="H523" s="17">
        <f>36.3385 * CHOOSE(CONTROL!$C$15, $E$9, 100%, $G$9) + CHOOSE(CONTROL!$C$38, 0.0354, 0)</f>
        <v>36.373900000000006</v>
      </c>
      <c r="I523" s="17">
        <f>36.34 * CHOOSE(CONTROL!$C$15, $E$9, 100%, $G$9) + CHOOSE(CONTROL!$C$38, 0.0354, 0)</f>
        <v>36.375400000000006</v>
      </c>
      <c r="J523" s="44">
        <f>318.8757</f>
        <v>318.87569999999999</v>
      </c>
    </row>
    <row r="524" spans="1:10" ht="15.75" x14ac:dyDescent="0.25">
      <c r="A524" s="13">
        <v>56887</v>
      </c>
      <c r="B524" s="17">
        <f>39.1665 * CHOOSE(CONTROL!$C$15, $E$9, 100%, $G$9) + CHOOSE(CONTROL!$C$38, 0.0353, 0)</f>
        <v>39.201799999999999</v>
      </c>
      <c r="C524" s="17">
        <f>36.7717 * CHOOSE(CONTROL!$C$15, $E$9, 100%, $G$9) + CHOOSE(CONTROL!$C$38, 0.0354, 0)</f>
        <v>36.807100000000005</v>
      </c>
      <c r="D524" s="17">
        <f>36.7639 * CHOOSE(CONTROL!$C$15, $E$9, 100%, $G$9) + CHOOSE(CONTROL!$C$38, 0.0354, 0)</f>
        <v>36.799300000000002</v>
      </c>
      <c r="E524" s="17">
        <f>36.7639 * CHOOSE(CONTROL!$C$15, $E$9, 100%, $G$9) + CHOOSE(CONTROL!$C$38, 0.0354, 0)</f>
        <v>36.799300000000002</v>
      </c>
      <c r="F524" s="45">
        <f>39.1665 * CHOOSE(CONTROL!$C$15, $E$9, 100%, $G$9) + CHOOSE(CONTROL!$C$38, 0.0353, 0)</f>
        <v>39.201799999999999</v>
      </c>
      <c r="G524" s="17">
        <f>36.7702 * CHOOSE(CONTROL!$C$15, $E$9, 100%, $G$9) + CHOOSE(CONTROL!$C$38, 0.0354, 0)</f>
        <v>36.805600000000005</v>
      </c>
      <c r="H524" s="17">
        <f>36.7702 * CHOOSE(CONTROL!$C$15, $E$9, 100%, $G$9) + CHOOSE(CONTROL!$C$38, 0.0354, 0)</f>
        <v>36.805600000000005</v>
      </c>
      <c r="I524" s="17">
        <f>36.7717 * CHOOSE(CONTROL!$C$15, $E$9, 100%, $G$9) + CHOOSE(CONTROL!$C$38, 0.0354, 0)</f>
        <v>36.807100000000005</v>
      </c>
      <c r="J524" s="44">
        <f>308.2768</f>
        <v>308.27679999999998</v>
      </c>
    </row>
    <row r="525" spans="1:10" ht="15.75" x14ac:dyDescent="0.25">
      <c r="A525" s="13">
        <v>56918</v>
      </c>
      <c r="B525" s="17">
        <f>39.5281 * CHOOSE(CONTROL!$C$15, $E$9, 100%, $G$9) + CHOOSE(CONTROL!$C$38, 0.034, 0)</f>
        <v>39.562100000000001</v>
      </c>
      <c r="C525" s="17">
        <f>37.1333 * CHOOSE(CONTROL!$C$15, $E$9, 100%, $G$9) + CHOOSE(CONTROL!$C$38, 0.0342, 0)</f>
        <v>37.167499999999997</v>
      </c>
      <c r="D525" s="17">
        <f>37.1255 * CHOOSE(CONTROL!$C$15, $E$9, 100%, $G$9) + CHOOSE(CONTROL!$C$38, 0.0342, 0)</f>
        <v>37.159700000000001</v>
      </c>
      <c r="E525" s="17">
        <f>37.1255 * CHOOSE(CONTROL!$C$15, $E$9, 100%, $G$9) + CHOOSE(CONTROL!$C$38, 0.0342, 0)</f>
        <v>37.159700000000001</v>
      </c>
      <c r="F525" s="45">
        <f>39.5281 * CHOOSE(CONTROL!$C$15, $E$9, 100%, $G$9) + CHOOSE(CONTROL!$C$38, 0.034, 0)</f>
        <v>39.562100000000001</v>
      </c>
      <c r="G525" s="17">
        <f>37.1317 * CHOOSE(CONTROL!$C$15, $E$9, 100%, $G$9) + CHOOSE(CONTROL!$C$38, 0.0342, 0)</f>
        <v>37.165900000000001</v>
      </c>
      <c r="H525" s="17">
        <f>37.1317 * CHOOSE(CONTROL!$C$15, $E$9, 100%, $G$9) + CHOOSE(CONTROL!$C$38, 0.0342, 0)</f>
        <v>37.165900000000001</v>
      </c>
      <c r="I525" s="17">
        <f>37.1333 * CHOOSE(CONTROL!$C$15, $E$9, 100%, $G$9) + CHOOSE(CONTROL!$C$38, 0.0342, 0)</f>
        <v>37.167499999999997</v>
      </c>
      <c r="J525" s="44">
        <f>297.6163</f>
        <v>297.61630000000002</v>
      </c>
    </row>
    <row r="526" spans="1:10" ht="15.75" x14ac:dyDescent="0.25">
      <c r="A526" s="13">
        <v>56948</v>
      </c>
      <c r="B526" s="17">
        <f>39.8298 * CHOOSE(CONTROL!$C$15, $E$9, 100%, $G$9) + CHOOSE(CONTROL!$C$38, 0.034, 0)</f>
        <v>39.863799999999998</v>
      </c>
      <c r="C526" s="17">
        <f>37.435 * CHOOSE(CONTROL!$C$15, $E$9, 100%, $G$9) + CHOOSE(CONTROL!$C$38, 0.0342, 0)</f>
        <v>37.469200000000001</v>
      </c>
      <c r="D526" s="17">
        <f>37.4272 * CHOOSE(CONTROL!$C$15, $E$9, 100%, $G$9) + CHOOSE(CONTROL!$C$38, 0.0342, 0)</f>
        <v>37.461399999999998</v>
      </c>
      <c r="E526" s="17">
        <f>37.4272 * CHOOSE(CONTROL!$C$15, $E$9, 100%, $G$9) + CHOOSE(CONTROL!$C$38, 0.0342, 0)</f>
        <v>37.461399999999998</v>
      </c>
      <c r="F526" s="45">
        <f>39.8298 * CHOOSE(CONTROL!$C$15, $E$9, 100%, $G$9) + CHOOSE(CONTROL!$C$38, 0.034, 0)</f>
        <v>39.863799999999998</v>
      </c>
      <c r="G526" s="17">
        <f>37.4334 * CHOOSE(CONTROL!$C$15, $E$9, 100%, $G$9) + CHOOSE(CONTROL!$C$38, 0.0342, 0)</f>
        <v>37.467599999999997</v>
      </c>
      <c r="H526" s="17">
        <f>37.4334 * CHOOSE(CONTROL!$C$15, $E$9, 100%, $G$9) + CHOOSE(CONTROL!$C$38, 0.0342, 0)</f>
        <v>37.467599999999997</v>
      </c>
      <c r="I526" s="17">
        <f>37.435 * CHOOSE(CONTROL!$C$15, $E$9, 100%, $G$9) + CHOOSE(CONTROL!$C$38, 0.0342, 0)</f>
        <v>37.469200000000001</v>
      </c>
      <c r="J526" s="44">
        <f>295.4957</f>
        <v>295.4957</v>
      </c>
    </row>
    <row r="527" spans="1:10" ht="15.75" x14ac:dyDescent="0.25">
      <c r="A527" s="13">
        <v>56979</v>
      </c>
      <c r="B527" s="17">
        <f>40.7594 * CHOOSE(CONTROL!$C$15, $E$9, 100%, $G$9) + CHOOSE(CONTROL!$C$38, 0.034, 0)</f>
        <v>40.793399999999998</v>
      </c>
      <c r="C527" s="17">
        <f>38.3647 * CHOOSE(CONTROL!$C$15, $E$9, 100%, $G$9) + CHOOSE(CONTROL!$C$38, 0.0342, 0)</f>
        <v>38.398899999999998</v>
      </c>
      <c r="D527" s="17">
        <f>38.3569 * CHOOSE(CONTROL!$C$15, $E$9, 100%, $G$9) + CHOOSE(CONTROL!$C$38, 0.0342, 0)</f>
        <v>38.391100000000002</v>
      </c>
      <c r="E527" s="17">
        <f>38.3569 * CHOOSE(CONTROL!$C$15, $E$9, 100%, $G$9) + CHOOSE(CONTROL!$C$38, 0.0342, 0)</f>
        <v>38.391100000000002</v>
      </c>
      <c r="F527" s="45">
        <f>40.7594 * CHOOSE(CONTROL!$C$15, $E$9, 100%, $G$9) + CHOOSE(CONTROL!$C$38, 0.034, 0)</f>
        <v>40.793399999999998</v>
      </c>
      <c r="G527" s="17">
        <f>38.3631 * CHOOSE(CONTROL!$C$15, $E$9, 100%, $G$9) + CHOOSE(CONTROL!$C$38, 0.0342, 0)</f>
        <v>38.397300000000001</v>
      </c>
      <c r="H527" s="17">
        <f>38.3631 * CHOOSE(CONTROL!$C$15, $E$9, 100%, $G$9) + CHOOSE(CONTROL!$C$38, 0.0342, 0)</f>
        <v>38.397300000000001</v>
      </c>
      <c r="I527" s="17">
        <f>38.3647 * CHOOSE(CONTROL!$C$15, $E$9, 100%, $G$9) + CHOOSE(CONTROL!$C$38, 0.0342, 0)</f>
        <v>38.398899999999998</v>
      </c>
      <c r="J527" s="44">
        <f>286.7268</f>
        <v>286.72680000000003</v>
      </c>
    </row>
    <row r="528" spans="1:10" ht="15.75" x14ac:dyDescent="0.25">
      <c r="A528" s="13">
        <v>57010</v>
      </c>
      <c r="B528" s="17">
        <f>42.1533 * CHOOSE(CONTROL!$C$15, $E$9, 100%, $G$9) + CHOOSE(CONTROL!$C$38, 0.034, 0)</f>
        <v>42.1873</v>
      </c>
      <c r="C528" s="17">
        <f>39.7209 * CHOOSE(CONTROL!$C$15, $E$9, 100%, $G$9) + CHOOSE(CONTROL!$C$38, 0.0342, 0)</f>
        <v>39.755099999999999</v>
      </c>
      <c r="D528" s="17">
        <f>39.7131 * CHOOSE(CONTROL!$C$15, $E$9, 100%, $G$9) + CHOOSE(CONTROL!$C$38, 0.0342, 0)</f>
        <v>39.747299999999996</v>
      </c>
      <c r="E528" s="17">
        <f>39.7131 * CHOOSE(CONTROL!$C$15, $E$9, 100%, $G$9) + CHOOSE(CONTROL!$C$38, 0.0342, 0)</f>
        <v>39.747299999999996</v>
      </c>
      <c r="F528" s="45">
        <f>42.1533 * CHOOSE(CONTROL!$C$15, $E$9, 100%, $G$9) + CHOOSE(CONTROL!$C$38, 0.034, 0)</f>
        <v>42.1873</v>
      </c>
      <c r="G528" s="17">
        <f>39.7194 * CHOOSE(CONTROL!$C$15, $E$9, 100%, $G$9) + CHOOSE(CONTROL!$C$38, 0.0342, 0)</f>
        <v>39.753599999999999</v>
      </c>
      <c r="H528" s="17">
        <f>39.7194 * CHOOSE(CONTROL!$C$15, $E$9, 100%, $G$9) + CHOOSE(CONTROL!$C$38, 0.0342, 0)</f>
        <v>39.753599999999999</v>
      </c>
      <c r="I528" s="17">
        <f>39.7209 * CHOOSE(CONTROL!$C$15, $E$9, 100%, $G$9) + CHOOSE(CONTROL!$C$38, 0.0342, 0)</f>
        <v>39.755099999999999</v>
      </c>
      <c r="J528" s="44">
        <f>286.5198</f>
        <v>286.51979999999998</v>
      </c>
    </row>
    <row r="529" spans="1:10" ht="15.75" x14ac:dyDescent="0.25">
      <c r="A529" s="13">
        <v>57038</v>
      </c>
      <c r="B529" s="17">
        <f>42.4976 * CHOOSE(CONTROL!$C$15, $E$9, 100%, $G$9) + CHOOSE(CONTROL!$C$38, 0.034, 0)</f>
        <v>42.531599999999997</v>
      </c>
      <c r="C529" s="17">
        <f>40.0652 * CHOOSE(CONTROL!$C$15, $E$9, 100%, $G$9) + CHOOSE(CONTROL!$C$38, 0.0342, 0)</f>
        <v>40.099399999999996</v>
      </c>
      <c r="D529" s="17">
        <f>40.0574 * CHOOSE(CONTROL!$C$15, $E$9, 100%, $G$9) + CHOOSE(CONTROL!$C$38, 0.0342, 0)</f>
        <v>40.0916</v>
      </c>
      <c r="E529" s="17">
        <f>40.0574 * CHOOSE(CONTROL!$C$15, $E$9, 100%, $G$9) + CHOOSE(CONTROL!$C$38, 0.0342, 0)</f>
        <v>40.0916</v>
      </c>
      <c r="F529" s="45">
        <f>42.4976 * CHOOSE(CONTROL!$C$15, $E$9, 100%, $G$9) + CHOOSE(CONTROL!$C$38, 0.034, 0)</f>
        <v>42.531599999999997</v>
      </c>
      <c r="G529" s="17">
        <f>40.0637 * CHOOSE(CONTROL!$C$15, $E$9, 100%, $G$9) + CHOOSE(CONTROL!$C$38, 0.0342, 0)</f>
        <v>40.097899999999996</v>
      </c>
      <c r="H529" s="17">
        <f>40.0637 * CHOOSE(CONTROL!$C$15, $E$9, 100%, $G$9) + CHOOSE(CONTROL!$C$38, 0.0342, 0)</f>
        <v>40.097899999999996</v>
      </c>
      <c r="I529" s="17">
        <f>40.0652 * CHOOSE(CONTROL!$C$15, $E$9, 100%, $G$9) + CHOOSE(CONTROL!$C$38, 0.0342, 0)</f>
        <v>40.099399999999996</v>
      </c>
      <c r="J529" s="44">
        <f>285.7234</f>
        <v>285.72340000000003</v>
      </c>
    </row>
    <row r="530" spans="1:10" ht="15.75" x14ac:dyDescent="0.25">
      <c r="A530" s="13">
        <v>57070</v>
      </c>
      <c r="B530" s="17">
        <f>41.7006 * CHOOSE(CONTROL!$C$15, $E$9, 100%, $G$9) + CHOOSE(CONTROL!$C$38, 0.034, 0)</f>
        <v>41.7346</v>
      </c>
      <c r="C530" s="17">
        <f>39.2682 * CHOOSE(CONTROL!$C$15, $E$9, 100%, $G$9) + CHOOSE(CONTROL!$C$38, 0.0342, 0)</f>
        <v>39.302399999999999</v>
      </c>
      <c r="D530" s="17">
        <f>39.2604 * CHOOSE(CONTROL!$C$15, $E$9, 100%, $G$9) + CHOOSE(CONTROL!$C$38, 0.0342, 0)</f>
        <v>39.294599999999996</v>
      </c>
      <c r="E530" s="17">
        <f>39.2604 * CHOOSE(CONTROL!$C$15, $E$9, 100%, $G$9) + CHOOSE(CONTROL!$C$38, 0.0342, 0)</f>
        <v>39.294599999999996</v>
      </c>
      <c r="F530" s="45">
        <f>41.7006 * CHOOSE(CONTROL!$C$15, $E$9, 100%, $G$9) + CHOOSE(CONTROL!$C$38, 0.034, 0)</f>
        <v>41.7346</v>
      </c>
      <c r="G530" s="17">
        <f>39.2666 * CHOOSE(CONTROL!$C$15, $E$9, 100%, $G$9) + CHOOSE(CONTROL!$C$38, 0.0342, 0)</f>
        <v>39.300799999999995</v>
      </c>
      <c r="H530" s="17">
        <f>39.2666 * CHOOSE(CONTROL!$C$15, $E$9, 100%, $G$9) + CHOOSE(CONTROL!$C$38, 0.0342, 0)</f>
        <v>39.300799999999995</v>
      </c>
      <c r="I530" s="17">
        <f>39.2682 * CHOOSE(CONTROL!$C$15, $E$9, 100%, $G$9) + CHOOSE(CONTROL!$C$38, 0.0342, 0)</f>
        <v>39.302399999999999</v>
      </c>
      <c r="J530" s="44">
        <f>300.7826</f>
        <v>300.7826</v>
      </c>
    </row>
    <row r="531" spans="1:10" ht="15.75" x14ac:dyDescent="0.25">
      <c r="A531" s="13">
        <v>57100</v>
      </c>
      <c r="B531" s="17">
        <f>40.9283 * CHOOSE(CONTROL!$C$15, $E$9, 100%, $G$9) + CHOOSE(CONTROL!$C$38, 0.034, 0)</f>
        <v>40.962299999999999</v>
      </c>
      <c r="C531" s="17">
        <f>38.4959 * CHOOSE(CONTROL!$C$15, $E$9, 100%, $G$9) + CHOOSE(CONTROL!$C$38, 0.0342, 0)</f>
        <v>38.530099999999997</v>
      </c>
      <c r="D531" s="17">
        <f>38.4881 * CHOOSE(CONTROL!$C$15, $E$9, 100%, $G$9) + CHOOSE(CONTROL!$C$38, 0.0342, 0)</f>
        <v>38.522300000000001</v>
      </c>
      <c r="E531" s="17">
        <f>38.4881 * CHOOSE(CONTROL!$C$15, $E$9, 100%, $G$9) + CHOOSE(CONTROL!$C$38, 0.0342, 0)</f>
        <v>38.522300000000001</v>
      </c>
      <c r="F531" s="45">
        <f>40.9283 * CHOOSE(CONTROL!$C$15, $E$9, 100%, $G$9) + CHOOSE(CONTROL!$C$38, 0.034, 0)</f>
        <v>40.962299999999999</v>
      </c>
      <c r="G531" s="17">
        <f>38.4943 * CHOOSE(CONTROL!$C$15, $E$9, 100%, $G$9) + CHOOSE(CONTROL!$C$38, 0.0342, 0)</f>
        <v>38.528500000000001</v>
      </c>
      <c r="H531" s="17">
        <f>38.4943 * CHOOSE(CONTROL!$C$15, $E$9, 100%, $G$9) + CHOOSE(CONTROL!$C$38, 0.0342, 0)</f>
        <v>38.528500000000001</v>
      </c>
      <c r="I531" s="17">
        <f>38.4959 * CHOOSE(CONTROL!$C$15, $E$9, 100%, $G$9) + CHOOSE(CONTROL!$C$38, 0.0342, 0)</f>
        <v>38.530099999999997</v>
      </c>
      <c r="J531" s="44">
        <f>320.3109</f>
        <v>320.3109</v>
      </c>
    </row>
    <row r="532" spans="1:10" ht="15.75" x14ac:dyDescent="0.25">
      <c r="A532" s="13">
        <v>57131</v>
      </c>
      <c r="B532" s="17">
        <f>40.1233 * CHOOSE(CONTROL!$C$15, $E$9, 100%, $G$9) + CHOOSE(CONTROL!$C$38, 0.0353, 0)</f>
        <v>40.1586</v>
      </c>
      <c r="C532" s="17">
        <f>37.6909 * CHOOSE(CONTROL!$C$15, $E$9, 100%, $G$9) + CHOOSE(CONTROL!$C$38, 0.0354, 0)</f>
        <v>37.726300000000002</v>
      </c>
      <c r="D532" s="17">
        <f>37.6831 * CHOOSE(CONTROL!$C$15, $E$9, 100%, $G$9) + CHOOSE(CONTROL!$C$38, 0.0354, 0)</f>
        <v>37.718500000000006</v>
      </c>
      <c r="E532" s="17">
        <f>37.6831 * CHOOSE(CONTROL!$C$15, $E$9, 100%, $G$9) + CHOOSE(CONTROL!$C$38, 0.0354, 0)</f>
        <v>37.718500000000006</v>
      </c>
      <c r="F532" s="45">
        <f>40.1233 * CHOOSE(CONTROL!$C$15, $E$9, 100%, $G$9) + CHOOSE(CONTROL!$C$38, 0.0353, 0)</f>
        <v>40.1586</v>
      </c>
      <c r="G532" s="17">
        <f>37.6894 * CHOOSE(CONTROL!$C$15, $E$9, 100%, $G$9) + CHOOSE(CONTROL!$C$38, 0.0354, 0)</f>
        <v>37.724800000000002</v>
      </c>
      <c r="H532" s="17">
        <f>37.6894 * CHOOSE(CONTROL!$C$15, $E$9, 100%, $G$9) + CHOOSE(CONTROL!$C$38, 0.0354, 0)</f>
        <v>37.724800000000002</v>
      </c>
      <c r="I532" s="17">
        <f>37.6909 * CHOOSE(CONTROL!$C$15, $E$9, 100%, $G$9) + CHOOSE(CONTROL!$C$38, 0.0354, 0)</f>
        <v>37.726300000000002</v>
      </c>
      <c r="J532" s="44">
        <f>331.0599</f>
        <v>331.05990000000003</v>
      </c>
    </row>
    <row r="533" spans="1:10" ht="15.75" x14ac:dyDescent="0.25">
      <c r="A533" s="13">
        <v>57161</v>
      </c>
      <c r="B533" s="17">
        <f>39.559 * CHOOSE(CONTROL!$C$15, $E$9, 100%, $G$9) + CHOOSE(CONTROL!$C$38, 0.0353, 0)</f>
        <v>39.594299999999997</v>
      </c>
      <c r="C533" s="17">
        <f>37.1266 * CHOOSE(CONTROL!$C$15, $E$9, 100%, $G$9) + CHOOSE(CONTROL!$C$38, 0.0354, 0)</f>
        <v>37.162000000000006</v>
      </c>
      <c r="D533" s="17">
        <f>37.1188 * CHOOSE(CONTROL!$C$15, $E$9, 100%, $G$9) + CHOOSE(CONTROL!$C$38, 0.0354, 0)</f>
        <v>37.154200000000003</v>
      </c>
      <c r="E533" s="17">
        <f>37.1188 * CHOOSE(CONTROL!$C$15, $E$9, 100%, $G$9) + CHOOSE(CONTROL!$C$38, 0.0354, 0)</f>
        <v>37.154200000000003</v>
      </c>
      <c r="F533" s="45">
        <f>39.559 * CHOOSE(CONTROL!$C$15, $E$9, 100%, $G$9) + CHOOSE(CONTROL!$C$38, 0.0353, 0)</f>
        <v>39.594299999999997</v>
      </c>
      <c r="G533" s="17">
        <f>37.125 * CHOOSE(CONTROL!$C$15, $E$9, 100%, $G$9) + CHOOSE(CONTROL!$C$38, 0.0354, 0)</f>
        <v>37.160400000000003</v>
      </c>
      <c r="H533" s="17">
        <f>37.125 * CHOOSE(CONTROL!$C$15, $E$9, 100%, $G$9) + CHOOSE(CONTROL!$C$38, 0.0354, 0)</f>
        <v>37.160400000000003</v>
      </c>
      <c r="I533" s="17">
        <f>37.1266 * CHOOSE(CONTROL!$C$15, $E$9, 100%, $G$9) + CHOOSE(CONTROL!$C$38, 0.0354, 0)</f>
        <v>37.162000000000006</v>
      </c>
      <c r="J533" s="44">
        <f>335.8301</f>
        <v>335.83010000000002</v>
      </c>
    </row>
    <row r="534" spans="1:10" ht="15.75" x14ac:dyDescent="0.25">
      <c r="A534" s="13">
        <v>57192</v>
      </c>
      <c r="B534" s="17">
        <f>39.2369 * CHOOSE(CONTROL!$C$15, $E$9, 100%, $G$9) + CHOOSE(CONTROL!$C$38, 0.0353, 0)</f>
        <v>39.272199999999998</v>
      </c>
      <c r="C534" s="17">
        <f>36.8045 * CHOOSE(CONTROL!$C$15, $E$9, 100%, $G$9) + CHOOSE(CONTROL!$C$38, 0.0354, 0)</f>
        <v>36.8399</v>
      </c>
      <c r="D534" s="17">
        <f>36.7967 * CHOOSE(CONTROL!$C$15, $E$9, 100%, $G$9) + CHOOSE(CONTROL!$C$38, 0.0354, 0)</f>
        <v>36.832100000000004</v>
      </c>
      <c r="E534" s="17">
        <f>36.7967 * CHOOSE(CONTROL!$C$15, $E$9, 100%, $G$9) + CHOOSE(CONTROL!$C$38, 0.0354, 0)</f>
        <v>36.832100000000004</v>
      </c>
      <c r="F534" s="45">
        <f>39.2369 * CHOOSE(CONTROL!$C$15, $E$9, 100%, $G$9) + CHOOSE(CONTROL!$C$38, 0.0353, 0)</f>
        <v>39.272199999999998</v>
      </c>
      <c r="G534" s="17">
        <f>36.803 * CHOOSE(CONTROL!$C$15, $E$9, 100%, $G$9) + CHOOSE(CONTROL!$C$38, 0.0354, 0)</f>
        <v>36.8384</v>
      </c>
      <c r="H534" s="17">
        <f>36.803 * CHOOSE(CONTROL!$C$15, $E$9, 100%, $G$9) + CHOOSE(CONTROL!$C$38, 0.0354, 0)</f>
        <v>36.8384</v>
      </c>
      <c r="I534" s="17">
        <f>36.8045 * CHOOSE(CONTROL!$C$15, $E$9, 100%, $G$9) + CHOOSE(CONTROL!$C$38, 0.0354, 0)</f>
        <v>36.8399</v>
      </c>
      <c r="J534" s="44">
        <f>334.2596</f>
        <v>334.25959999999998</v>
      </c>
    </row>
    <row r="535" spans="1:10" ht="15.75" x14ac:dyDescent="0.25">
      <c r="A535" s="13">
        <v>57223</v>
      </c>
      <c r="B535" s="17">
        <f>39.3959 * CHOOSE(CONTROL!$C$15, $E$9, 100%, $G$9) + CHOOSE(CONTROL!$C$38, 0.0353, 0)</f>
        <v>39.431199999999997</v>
      </c>
      <c r="C535" s="17">
        <f>36.9635 * CHOOSE(CONTROL!$C$15, $E$9, 100%, $G$9) + CHOOSE(CONTROL!$C$38, 0.0354, 0)</f>
        <v>36.998900000000006</v>
      </c>
      <c r="D535" s="17">
        <f>36.9557 * CHOOSE(CONTROL!$C$15, $E$9, 100%, $G$9) + CHOOSE(CONTROL!$C$38, 0.0354, 0)</f>
        <v>36.991100000000003</v>
      </c>
      <c r="E535" s="17">
        <f>36.9557 * CHOOSE(CONTROL!$C$15, $E$9, 100%, $G$9) + CHOOSE(CONTROL!$C$38, 0.0354, 0)</f>
        <v>36.991100000000003</v>
      </c>
      <c r="F535" s="45">
        <f>39.3959 * CHOOSE(CONTROL!$C$15, $E$9, 100%, $G$9) + CHOOSE(CONTROL!$C$38, 0.0353, 0)</f>
        <v>39.431199999999997</v>
      </c>
      <c r="G535" s="17">
        <f>36.9619 * CHOOSE(CONTROL!$C$15, $E$9, 100%, $G$9) + CHOOSE(CONTROL!$C$38, 0.0354, 0)</f>
        <v>36.997300000000003</v>
      </c>
      <c r="H535" s="17">
        <f>36.9619 * CHOOSE(CONTROL!$C$15, $E$9, 100%, $G$9) + CHOOSE(CONTROL!$C$38, 0.0354, 0)</f>
        <v>36.997300000000003</v>
      </c>
      <c r="I535" s="17">
        <f>36.9635 * CHOOSE(CONTROL!$C$15, $E$9, 100%, $G$9) + CHOOSE(CONTROL!$C$38, 0.0354, 0)</f>
        <v>36.998900000000006</v>
      </c>
      <c r="J535" s="44">
        <f>326.4781</f>
        <v>326.47809999999998</v>
      </c>
    </row>
    <row r="536" spans="1:10" ht="15.75" x14ac:dyDescent="0.25">
      <c r="A536" s="13">
        <v>57253</v>
      </c>
      <c r="B536" s="17">
        <f>39.8276 * CHOOSE(CONTROL!$C$15, $E$9, 100%, $G$9) + CHOOSE(CONTROL!$C$38, 0.0353, 0)</f>
        <v>39.862899999999996</v>
      </c>
      <c r="C536" s="17">
        <f>37.3952 * CHOOSE(CONTROL!$C$15, $E$9, 100%, $G$9) + CHOOSE(CONTROL!$C$38, 0.0354, 0)</f>
        <v>37.430600000000005</v>
      </c>
      <c r="D536" s="17">
        <f>37.3874 * CHOOSE(CONTROL!$C$15, $E$9, 100%, $G$9) + CHOOSE(CONTROL!$C$38, 0.0354, 0)</f>
        <v>37.422800000000002</v>
      </c>
      <c r="E536" s="17">
        <f>37.3874 * CHOOSE(CONTROL!$C$15, $E$9, 100%, $G$9) + CHOOSE(CONTROL!$C$38, 0.0354, 0)</f>
        <v>37.422800000000002</v>
      </c>
      <c r="F536" s="45">
        <f>39.8276 * CHOOSE(CONTROL!$C$15, $E$9, 100%, $G$9) + CHOOSE(CONTROL!$C$38, 0.0353, 0)</f>
        <v>39.862899999999996</v>
      </c>
      <c r="G536" s="17">
        <f>37.3936 * CHOOSE(CONTROL!$C$15, $E$9, 100%, $G$9) + CHOOSE(CONTROL!$C$38, 0.0354, 0)</f>
        <v>37.429000000000002</v>
      </c>
      <c r="H536" s="17">
        <f>37.3936 * CHOOSE(CONTROL!$C$15, $E$9, 100%, $G$9) + CHOOSE(CONTROL!$C$38, 0.0354, 0)</f>
        <v>37.429000000000002</v>
      </c>
      <c r="I536" s="17">
        <f>37.3952 * CHOOSE(CONTROL!$C$15, $E$9, 100%, $G$9) + CHOOSE(CONTROL!$C$38, 0.0354, 0)</f>
        <v>37.430600000000005</v>
      </c>
      <c r="J536" s="44">
        <f>315.6266</f>
        <v>315.6266</v>
      </c>
    </row>
    <row r="537" spans="1:10" ht="15.75" x14ac:dyDescent="0.25">
      <c r="A537" s="13">
        <v>57284</v>
      </c>
      <c r="B537" s="17">
        <f>40.1891 * CHOOSE(CONTROL!$C$15, $E$9, 100%, $G$9) + CHOOSE(CONTROL!$C$38, 0.034, 0)</f>
        <v>40.223100000000002</v>
      </c>
      <c r="C537" s="17">
        <f>37.7567 * CHOOSE(CONTROL!$C$15, $E$9, 100%, $G$9) + CHOOSE(CONTROL!$C$38, 0.0342, 0)</f>
        <v>37.790900000000001</v>
      </c>
      <c r="D537" s="17">
        <f>37.7489 * CHOOSE(CONTROL!$C$15, $E$9, 100%, $G$9) + CHOOSE(CONTROL!$C$38, 0.0342, 0)</f>
        <v>37.783099999999997</v>
      </c>
      <c r="E537" s="17">
        <f>37.7489 * CHOOSE(CONTROL!$C$15, $E$9, 100%, $G$9) + CHOOSE(CONTROL!$C$38, 0.0342, 0)</f>
        <v>37.783099999999997</v>
      </c>
      <c r="F537" s="45">
        <f>40.1891 * CHOOSE(CONTROL!$C$15, $E$9, 100%, $G$9) + CHOOSE(CONTROL!$C$38, 0.034, 0)</f>
        <v>40.223100000000002</v>
      </c>
      <c r="G537" s="17">
        <f>37.7552 * CHOOSE(CONTROL!$C$15, $E$9, 100%, $G$9) + CHOOSE(CONTROL!$C$38, 0.0342, 0)</f>
        <v>37.789400000000001</v>
      </c>
      <c r="H537" s="17">
        <f>37.7552 * CHOOSE(CONTROL!$C$15, $E$9, 100%, $G$9) + CHOOSE(CONTROL!$C$38, 0.0342, 0)</f>
        <v>37.789400000000001</v>
      </c>
      <c r="I537" s="17">
        <f>37.7567 * CHOOSE(CONTROL!$C$15, $E$9, 100%, $G$9) + CHOOSE(CONTROL!$C$38, 0.0342, 0)</f>
        <v>37.790900000000001</v>
      </c>
      <c r="J537" s="44">
        <f>304.7119</f>
        <v>304.71190000000001</v>
      </c>
    </row>
    <row r="538" spans="1:10" ht="15.75" x14ac:dyDescent="0.25">
      <c r="A538" s="13">
        <v>57314</v>
      </c>
      <c r="B538" s="17">
        <f>40.4908 * CHOOSE(CONTROL!$C$15, $E$9, 100%, $G$9) + CHOOSE(CONTROL!$C$38, 0.034, 0)</f>
        <v>40.524799999999999</v>
      </c>
      <c r="C538" s="17">
        <f>38.0585 * CHOOSE(CONTROL!$C$15, $E$9, 100%, $G$9) + CHOOSE(CONTROL!$C$38, 0.0342, 0)</f>
        <v>38.092700000000001</v>
      </c>
      <c r="D538" s="17">
        <f>38.0506 * CHOOSE(CONTROL!$C$15, $E$9, 100%, $G$9) + CHOOSE(CONTROL!$C$38, 0.0342, 0)</f>
        <v>38.084800000000001</v>
      </c>
      <c r="E538" s="17">
        <f>38.0506 * CHOOSE(CONTROL!$C$15, $E$9, 100%, $G$9) + CHOOSE(CONTROL!$C$38, 0.0342, 0)</f>
        <v>38.084800000000001</v>
      </c>
      <c r="F538" s="45">
        <f>40.4908 * CHOOSE(CONTROL!$C$15, $E$9, 100%, $G$9) + CHOOSE(CONTROL!$C$38, 0.034, 0)</f>
        <v>40.524799999999999</v>
      </c>
      <c r="G538" s="17">
        <f>38.0569 * CHOOSE(CONTROL!$C$15, $E$9, 100%, $G$9) + CHOOSE(CONTROL!$C$38, 0.0342, 0)</f>
        <v>38.091099999999997</v>
      </c>
      <c r="H538" s="17">
        <f>38.0569 * CHOOSE(CONTROL!$C$15, $E$9, 100%, $G$9) + CHOOSE(CONTROL!$C$38, 0.0342, 0)</f>
        <v>38.091099999999997</v>
      </c>
      <c r="I538" s="17">
        <f>38.0585 * CHOOSE(CONTROL!$C$15, $E$9, 100%, $G$9) + CHOOSE(CONTROL!$C$38, 0.0342, 0)</f>
        <v>38.092700000000001</v>
      </c>
      <c r="J538" s="44">
        <f>302.5407</f>
        <v>302.54070000000002</v>
      </c>
    </row>
    <row r="539" spans="1:10" ht="15.75" x14ac:dyDescent="0.25">
      <c r="A539" s="13">
        <v>57345</v>
      </c>
      <c r="B539" s="17">
        <f>41.4205 * CHOOSE(CONTROL!$C$15, $E$9, 100%, $G$9) + CHOOSE(CONTROL!$C$38, 0.034, 0)</f>
        <v>41.454499999999996</v>
      </c>
      <c r="C539" s="17">
        <f>38.9881 * CHOOSE(CONTROL!$C$15, $E$9, 100%, $G$9) + CHOOSE(CONTROL!$C$38, 0.0342, 0)</f>
        <v>39.022300000000001</v>
      </c>
      <c r="D539" s="17">
        <f>38.9803 * CHOOSE(CONTROL!$C$15, $E$9, 100%, $G$9) + CHOOSE(CONTROL!$C$38, 0.0342, 0)</f>
        <v>39.014499999999998</v>
      </c>
      <c r="E539" s="17">
        <f>38.9803 * CHOOSE(CONTROL!$C$15, $E$9, 100%, $G$9) + CHOOSE(CONTROL!$C$38, 0.0342, 0)</f>
        <v>39.014499999999998</v>
      </c>
      <c r="F539" s="45">
        <f>41.4205 * CHOOSE(CONTROL!$C$15, $E$9, 100%, $G$9) + CHOOSE(CONTROL!$C$38, 0.034, 0)</f>
        <v>41.454499999999996</v>
      </c>
      <c r="G539" s="17">
        <f>38.9866 * CHOOSE(CONTROL!$C$15, $E$9, 100%, $G$9) + CHOOSE(CONTROL!$C$38, 0.0342, 0)</f>
        <v>39.020800000000001</v>
      </c>
      <c r="H539" s="17">
        <f>38.9866 * CHOOSE(CONTROL!$C$15, $E$9, 100%, $G$9) + CHOOSE(CONTROL!$C$38, 0.0342, 0)</f>
        <v>39.020800000000001</v>
      </c>
      <c r="I539" s="17">
        <f>38.9881 * CHOOSE(CONTROL!$C$15, $E$9, 100%, $G$9) + CHOOSE(CONTROL!$C$38, 0.0342, 0)</f>
        <v>39.022300000000001</v>
      </c>
      <c r="J539" s="44">
        <f>293.5628</f>
        <v>293.56279999999998</v>
      </c>
    </row>
    <row r="540" spans="1:10" ht="15.75" x14ac:dyDescent="0.25">
      <c r="A540" s="13">
        <v>57376</v>
      </c>
      <c r="B540" s="17">
        <f>42.8254 * CHOOSE(CONTROL!$C$15, $E$9, 100%, $G$9) + CHOOSE(CONTROL!$C$38, 0.034, 0)</f>
        <v>42.859400000000001</v>
      </c>
      <c r="C540" s="17">
        <f>40.3548 * CHOOSE(CONTROL!$C$15, $E$9, 100%, $G$9) + CHOOSE(CONTROL!$C$38, 0.0342, 0)</f>
        <v>40.388999999999996</v>
      </c>
      <c r="D540" s="17">
        <f>40.347 * CHOOSE(CONTROL!$C$15, $E$9, 100%, $G$9) + CHOOSE(CONTROL!$C$38, 0.0342, 0)</f>
        <v>40.3812</v>
      </c>
      <c r="E540" s="17">
        <f>40.347 * CHOOSE(CONTROL!$C$15, $E$9, 100%, $G$9) + CHOOSE(CONTROL!$C$38, 0.0342, 0)</f>
        <v>40.3812</v>
      </c>
      <c r="F540" s="45">
        <f>42.8254 * CHOOSE(CONTROL!$C$15, $E$9, 100%, $G$9) + CHOOSE(CONTROL!$C$38, 0.034, 0)</f>
        <v>42.859400000000001</v>
      </c>
      <c r="G540" s="17">
        <f>40.3533 * CHOOSE(CONTROL!$C$15, $E$9, 100%, $G$9) + CHOOSE(CONTROL!$C$38, 0.0342, 0)</f>
        <v>40.387499999999996</v>
      </c>
      <c r="H540" s="17">
        <f>40.3533 * CHOOSE(CONTROL!$C$15, $E$9, 100%, $G$9) + CHOOSE(CONTROL!$C$38, 0.0342, 0)</f>
        <v>40.387499999999996</v>
      </c>
      <c r="I540" s="17">
        <f>40.3548 * CHOOSE(CONTROL!$C$15, $E$9, 100%, $G$9) + CHOOSE(CONTROL!$C$38, 0.0342, 0)</f>
        <v>40.388999999999996</v>
      </c>
      <c r="J540" s="44">
        <f>293.3509</f>
        <v>293.35090000000002</v>
      </c>
    </row>
    <row r="541" spans="1:10" ht="15.75" x14ac:dyDescent="0.25">
      <c r="A541" s="13">
        <v>57404</v>
      </c>
      <c r="B541" s="17">
        <f>43.1698 * CHOOSE(CONTROL!$C$15, $E$9, 100%, $G$9) + CHOOSE(CONTROL!$C$38, 0.034, 0)</f>
        <v>43.203800000000001</v>
      </c>
      <c r="C541" s="17">
        <f>40.6991 * CHOOSE(CONTROL!$C$15, $E$9, 100%, $G$9) + CHOOSE(CONTROL!$C$38, 0.0342, 0)</f>
        <v>40.7333</v>
      </c>
      <c r="D541" s="17">
        <f>40.6913 * CHOOSE(CONTROL!$C$15, $E$9, 100%, $G$9) + CHOOSE(CONTROL!$C$38, 0.0342, 0)</f>
        <v>40.725499999999997</v>
      </c>
      <c r="E541" s="17">
        <f>40.6913 * CHOOSE(CONTROL!$C$15, $E$9, 100%, $G$9) + CHOOSE(CONTROL!$C$38, 0.0342, 0)</f>
        <v>40.725499999999997</v>
      </c>
      <c r="F541" s="45">
        <f>43.1698 * CHOOSE(CONTROL!$C$15, $E$9, 100%, $G$9) + CHOOSE(CONTROL!$C$38, 0.034, 0)</f>
        <v>43.203800000000001</v>
      </c>
      <c r="G541" s="17">
        <f>40.6976 * CHOOSE(CONTROL!$C$15, $E$9, 100%, $G$9) + CHOOSE(CONTROL!$C$38, 0.0342, 0)</f>
        <v>40.7318</v>
      </c>
      <c r="H541" s="17">
        <f>40.6976 * CHOOSE(CONTROL!$C$15, $E$9, 100%, $G$9) + CHOOSE(CONTROL!$C$38, 0.0342, 0)</f>
        <v>40.7318</v>
      </c>
      <c r="I541" s="17">
        <f>40.6991 * CHOOSE(CONTROL!$C$15, $E$9, 100%, $G$9) + CHOOSE(CONTROL!$C$38, 0.0342, 0)</f>
        <v>40.7333</v>
      </c>
      <c r="J541" s="44">
        <f>292.5354</f>
        <v>292.53539999999998</v>
      </c>
    </row>
    <row r="542" spans="1:10" ht="15.75" x14ac:dyDescent="0.25">
      <c r="A542" s="13">
        <v>57435</v>
      </c>
      <c r="B542" s="17">
        <f>42.3727 * CHOOSE(CONTROL!$C$15, $E$9, 100%, $G$9) + CHOOSE(CONTROL!$C$38, 0.034, 0)</f>
        <v>42.406700000000001</v>
      </c>
      <c r="C542" s="17">
        <f>39.9021 * CHOOSE(CONTROL!$C$15, $E$9, 100%, $G$9) + CHOOSE(CONTROL!$C$38, 0.0342, 0)</f>
        <v>39.936299999999996</v>
      </c>
      <c r="D542" s="17">
        <f>39.8943 * CHOOSE(CONTROL!$C$15, $E$9, 100%, $G$9) + CHOOSE(CONTROL!$C$38, 0.0342, 0)</f>
        <v>39.9285</v>
      </c>
      <c r="E542" s="17">
        <f>39.8943 * CHOOSE(CONTROL!$C$15, $E$9, 100%, $G$9) + CHOOSE(CONTROL!$C$38, 0.0342, 0)</f>
        <v>39.9285</v>
      </c>
      <c r="F542" s="45">
        <f>42.3727 * CHOOSE(CONTROL!$C$15, $E$9, 100%, $G$9) + CHOOSE(CONTROL!$C$38, 0.034, 0)</f>
        <v>42.406700000000001</v>
      </c>
      <c r="G542" s="17">
        <f>39.9005 * CHOOSE(CONTROL!$C$15, $E$9, 100%, $G$9) + CHOOSE(CONTROL!$C$38, 0.0342, 0)</f>
        <v>39.934699999999999</v>
      </c>
      <c r="H542" s="17">
        <f>39.9005 * CHOOSE(CONTROL!$C$15, $E$9, 100%, $G$9) + CHOOSE(CONTROL!$C$38, 0.0342, 0)</f>
        <v>39.934699999999999</v>
      </c>
      <c r="I542" s="17">
        <f>39.9021 * CHOOSE(CONTROL!$C$15, $E$9, 100%, $G$9) + CHOOSE(CONTROL!$C$38, 0.0342, 0)</f>
        <v>39.936299999999996</v>
      </c>
      <c r="J542" s="44">
        <f>307.9537</f>
        <v>307.95370000000003</v>
      </c>
    </row>
    <row r="543" spans="1:10" ht="15.75" x14ac:dyDescent="0.25">
      <c r="A543" s="13">
        <v>57465</v>
      </c>
      <c r="B543" s="17">
        <f>41.6004 * CHOOSE(CONTROL!$C$15, $E$9, 100%, $G$9) + CHOOSE(CONTROL!$C$38, 0.034, 0)</f>
        <v>41.634399999999999</v>
      </c>
      <c r="C543" s="17">
        <f>39.1298 * CHOOSE(CONTROL!$C$15, $E$9, 100%, $G$9) + CHOOSE(CONTROL!$C$38, 0.0342, 0)</f>
        <v>39.164000000000001</v>
      </c>
      <c r="D543" s="17">
        <f>39.122 * CHOOSE(CONTROL!$C$15, $E$9, 100%, $G$9) + CHOOSE(CONTROL!$C$38, 0.0342, 0)</f>
        <v>39.156199999999998</v>
      </c>
      <c r="E543" s="17">
        <f>39.122 * CHOOSE(CONTROL!$C$15, $E$9, 100%, $G$9) + CHOOSE(CONTROL!$C$38, 0.0342, 0)</f>
        <v>39.156199999999998</v>
      </c>
      <c r="F543" s="45">
        <f>41.6004 * CHOOSE(CONTROL!$C$15, $E$9, 100%, $G$9) + CHOOSE(CONTROL!$C$38, 0.034, 0)</f>
        <v>41.634399999999999</v>
      </c>
      <c r="G543" s="17">
        <f>39.1282 * CHOOSE(CONTROL!$C$15, $E$9, 100%, $G$9) + CHOOSE(CONTROL!$C$38, 0.0342, 0)</f>
        <v>39.162399999999998</v>
      </c>
      <c r="H543" s="17">
        <f>39.1282 * CHOOSE(CONTROL!$C$15, $E$9, 100%, $G$9) + CHOOSE(CONTROL!$C$38, 0.0342, 0)</f>
        <v>39.162399999999998</v>
      </c>
      <c r="I543" s="17">
        <f>39.1298 * CHOOSE(CONTROL!$C$15, $E$9, 100%, $G$9) + CHOOSE(CONTROL!$C$38, 0.0342, 0)</f>
        <v>39.164000000000001</v>
      </c>
      <c r="J543" s="44">
        <f>327.9476</f>
        <v>327.94760000000002</v>
      </c>
    </row>
    <row r="544" spans="1:10" ht="15.75" x14ac:dyDescent="0.25">
      <c r="A544" s="13">
        <v>57496</v>
      </c>
      <c r="B544" s="17">
        <f>40.7955 * CHOOSE(CONTROL!$C$15, $E$9, 100%, $G$9) + CHOOSE(CONTROL!$C$38, 0.0353, 0)</f>
        <v>40.830799999999996</v>
      </c>
      <c r="C544" s="17">
        <f>38.3248 * CHOOSE(CONTROL!$C$15, $E$9, 100%, $G$9) + CHOOSE(CONTROL!$C$38, 0.0354, 0)</f>
        <v>38.360200000000006</v>
      </c>
      <c r="D544" s="17">
        <f>38.317 * CHOOSE(CONTROL!$C$15, $E$9, 100%, $G$9) + CHOOSE(CONTROL!$C$38, 0.0354, 0)</f>
        <v>38.352400000000003</v>
      </c>
      <c r="E544" s="17">
        <f>38.317 * CHOOSE(CONTROL!$C$15, $E$9, 100%, $G$9) + CHOOSE(CONTROL!$C$38, 0.0354, 0)</f>
        <v>38.352400000000003</v>
      </c>
      <c r="F544" s="45">
        <f>40.7955 * CHOOSE(CONTROL!$C$15, $E$9, 100%, $G$9) + CHOOSE(CONTROL!$C$38, 0.0353, 0)</f>
        <v>40.830799999999996</v>
      </c>
      <c r="G544" s="17">
        <f>38.3233 * CHOOSE(CONTROL!$C$15, $E$9, 100%, $G$9) + CHOOSE(CONTROL!$C$38, 0.0354, 0)</f>
        <v>38.358700000000006</v>
      </c>
      <c r="H544" s="17">
        <f>38.3233 * CHOOSE(CONTROL!$C$15, $E$9, 100%, $G$9) + CHOOSE(CONTROL!$C$38, 0.0354, 0)</f>
        <v>38.358700000000006</v>
      </c>
      <c r="I544" s="17">
        <f>38.3248 * CHOOSE(CONTROL!$C$15, $E$9, 100%, $G$9) + CHOOSE(CONTROL!$C$38, 0.0354, 0)</f>
        <v>38.360200000000006</v>
      </c>
      <c r="J544" s="44">
        <f>338.9529</f>
        <v>338.9529</v>
      </c>
    </row>
    <row r="545" spans="1:10" ht="15.75" x14ac:dyDescent="0.25">
      <c r="A545" s="13">
        <v>57526</v>
      </c>
      <c r="B545" s="17">
        <f>40.2311 * CHOOSE(CONTROL!$C$15, $E$9, 100%, $G$9) + CHOOSE(CONTROL!$C$38, 0.0353, 0)</f>
        <v>40.266399999999997</v>
      </c>
      <c r="C545" s="17">
        <f>37.7605 * CHOOSE(CONTROL!$C$15, $E$9, 100%, $G$9) + CHOOSE(CONTROL!$C$38, 0.0354, 0)</f>
        <v>37.795900000000003</v>
      </c>
      <c r="D545" s="17">
        <f>37.7527 * CHOOSE(CONTROL!$C$15, $E$9, 100%, $G$9) + CHOOSE(CONTROL!$C$38, 0.0354, 0)</f>
        <v>37.7881</v>
      </c>
      <c r="E545" s="17">
        <f>37.7527 * CHOOSE(CONTROL!$C$15, $E$9, 100%, $G$9) + CHOOSE(CONTROL!$C$38, 0.0354, 0)</f>
        <v>37.7881</v>
      </c>
      <c r="F545" s="45">
        <f>40.2311 * CHOOSE(CONTROL!$C$15, $E$9, 100%, $G$9) + CHOOSE(CONTROL!$C$38, 0.0353, 0)</f>
        <v>40.266399999999997</v>
      </c>
      <c r="G545" s="17">
        <f>37.7589 * CHOOSE(CONTROL!$C$15, $E$9, 100%, $G$9) + CHOOSE(CONTROL!$C$38, 0.0354, 0)</f>
        <v>37.7943</v>
      </c>
      <c r="H545" s="17">
        <f>37.7589 * CHOOSE(CONTROL!$C$15, $E$9, 100%, $G$9) + CHOOSE(CONTROL!$C$38, 0.0354, 0)</f>
        <v>37.7943</v>
      </c>
      <c r="I545" s="17">
        <f>37.7605 * CHOOSE(CONTROL!$C$15, $E$9, 100%, $G$9) + CHOOSE(CONTROL!$C$38, 0.0354, 0)</f>
        <v>37.795900000000003</v>
      </c>
      <c r="J545" s="44">
        <f>343.8368</f>
        <v>343.83679999999998</v>
      </c>
    </row>
    <row r="546" spans="1:10" ht="15.75" x14ac:dyDescent="0.25">
      <c r="A546" s="13">
        <v>57557</v>
      </c>
      <c r="B546" s="17">
        <f>39.9091 * CHOOSE(CONTROL!$C$15, $E$9, 100%, $G$9) + CHOOSE(CONTROL!$C$38, 0.0353, 0)</f>
        <v>39.944400000000002</v>
      </c>
      <c r="C546" s="17">
        <f>37.4384 * CHOOSE(CONTROL!$C$15, $E$9, 100%, $G$9) + CHOOSE(CONTROL!$C$38, 0.0354, 0)</f>
        <v>37.473800000000004</v>
      </c>
      <c r="D546" s="17">
        <f>37.4306 * CHOOSE(CONTROL!$C$15, $E$9, 100%, $G$9) + CHOOSE(CONTROL!$C$38, 0.0354, 0)</f>
        <v>37.466000000000001</v>
      </c>
      <c r="E546" s="17">
        <f>37.4306 * CHOOSE(CONTROL!$C$15, $E$9, 100%, $G$9) + CHOOSE(CONTROL!$C$38, 0.0354, 0)</f>
        <v>37.466000000000001</v>
      </c>
      <c r="F546" s="45">
        <f>39.9091 * CHOOSE(CONTROL!$C$15, $E$9, 100%, $G$9) + CHOOSE(CONTROL!$C$38, 0.0353, 0)</f>
        <v>39.944400000000002</v>
      </c>
      <c r="G546" s="17">
        <f>37.4369 * CHOOSE(CONTROL!$C$15, $E$9, 100%, $G$9) + CHOOSE(CONTROL!$C$38, 0.0354, 0)</f>
        <v>37.472300000000004</v>
      </c>
      <c r="H546" s="17">
        <f>37.4369 * CHOOSE(CONTROL!$C$15, $E$9, 100%, $G$9) + CHOOSE(CONTROL!$C$38, 0.0354, 0)</f>
        <v>37.472300000000004</v>
      </c>
      <c r="I546" s="17">
        <f>37.4384 * CHOOSE(CONTROL!$C$15, $E$9, 100%, $G$9) + CHOOSE(CONTROL!$C$38, 0.0354, 0)</f>
        <v>37.473800000000004</v>
      </c>
      <c r="J546" s="44">
        <f>342.2288</f>
        <v>342.22879999999998</v>
      </c>
    </row>
    <row r="547" spans="1:10" ht="15.75" x14ac:dyDescent="0.25">
      <c r="A547" s="13">
        <v>57588</v>
      </c>
      <c r="B547" s="17">
        <f>40.068 * CHOOSE(CONTROL!$C$15, $E$9, 100%, $G$9) + CHOOSE(CONTROL!$C$38, 0.0353, 0)</f>
        <v>40.103299999999997</v>
      </c>
      <c r="C547" s="17">
        <f>37.5974 * CHOOSE(CONTROL!$C$15, $E$9, 100%, $G$9) + CHOOSE(CONTROL!$C$38, 0.0354, 0)</f>
        <v>37.632800000000003</v>
      </c>
      <c r="D547" s="17">
        <f>37.5896 * CHOOSE(CONTROL!$C$15, $E$9, 100%, $G$9) + CHOOSE(CONTROL!$C$38, 0.0354, 0)</f>
        <v>37.625</v>
      </c>
      <c r="E547" s="17">
        <f>37.5896 * CHOOSE(CONTROL!$C$15, $E$9, 100%, $G$9) + CHOOSE(CONTROL!$C$38, 0.0354, 0)</f>
        <v>37.625</v>
      </c>
      <c r="F547" s="45">
        <f>40.068 * CHOOSE(CONTROL!$C$15, $E$9, 100%, $G$9) + CHOOSE(CONTROL!$C$38, 0.0353, 0)</f>
        <v>40.103299999999997</v>
      </c>
      <c r="G547" s="17">
        <f>37.5958 * CHOOSE(CONTROL!$C$15, $E$9, 100%, $G$9) + CHOOSE(CONTROL!$C$38, 0.0354, 0)</f>
        <v>37.6312</v>
      </c>
      <c r="H547" s="17">
        <f>37.5958 * CHOOSE(CONTROL!$C$15, $E$9, 100%, $G$9) + CHOOSE(CONTROL!$C$38, 0.0354, 0)</f>
        <v>37.6312</v>
      </c>
      <c r="I547" s="17">
        <f>37.5974 * CHOOSE(CONTROL!$C$15, $E$9, 100%, $G$9) + CHOOSE(CONTROL!$C$38, 0.0354, 0)</f>
        <v>37.632800000000003</v>
      </c>
      <c r="J547" s="44">
        <f>334.2619</f>
        <v>334.26190000000003</v>
      </c>
    </row>
    <row r="548" spans="1:10" ht="15.75" x14ac:dyDescent="0.25">
      <c r="A548" s="13">
        <v>57618</v>
      </c>
      <c r="B548" s="17">
        <f>40.4997 * CHOOSE(CONTROL!$C$15, $E$9, 100%, $G$9) + CHOOSE(CONTROL!$C$38, 0.0353, 0)</f>
        <v>40.534999999999997</v>
      </c>
      <c r="C548" s="17">
        <f>38.0291 * CHOOSE(CONTROL!$C$15, $E$9, 100%, $G$9) + CHOOSE(CONTROL!$C$38, 0.0354, 0)</f>
        <v>38.064500000000002</v>
      </c>
      <c r="D548" s="17">
        <f>38.0213 * CHOOSE(CONTROL!$C$15, $E$9, 100%, $G$9) + CHOOSE(CONTROL!$C$38, 0.0354, 0)</f>
        <v>38.056699999999999</v>
      </c>
      <c r="E548" s="17">
        <f>38.0213 * CHOOSE(CONTROL!$C$15, $E$9, 100%, $G$9) + CHOOSE(CONTROL!$C$38, 0.0354, 0)</f>
        <v>38.056699999999999</v>
      </c>
      <c r="F548" s="45">
        <f>40.4997 * CHOOSE(CONTROL!$C$15, $E$9, 100%, $G$9) + CHOOSE(CONTROL!$C$38, 0.0353, 0)</f>
        <v>40.534999999999997</v>
      </c>
      <c r="G548" s="17">
        <f>38.0275 * CHOOSE(CONTROL!$C$15, $E$9, 100%, $G$9) + CHOOSE(CONTROL!$C$38, 0.0354, 0)</f>
        <v>38.062900000000006</v>
      </c>
      <c r="H548" s="17">
        <f>38.0275 * CHOOSE(CONTROL!$C$15, $E$9, 100%, $G$9) + CHOOSE(CONTROL!$C$38, 0.0354, 0)</f>
        <v>38.062900000000006</v>
      </c>
      <c r="I548" s="17">
        <f>38.0291 * CHOOSE(CONTROL!$C$15, $E$9, 100%, $G$9) + CHOOSE(CONTROL!$C$38, 0.0354, 0)</f>
        <v>38.064500000000002</v>
      </c>
      <c r="J548" s="44">
        <f>323.1516</f>
        <v>323.15159999999997</v>
      </c>
    </row>
    <row r="549" spans="1:10" ht="15.75" x14ac:dyDescent="0.25">
      <c r="A549" s="13">
        <v>57649</v>
      </c>
      <c r="B549" s="17">
        <f>40.8613 * CHOOSE(CONTROL!$C$15, $E$9, 100%, $G$9) + CHOOSE(CONTROL!$C$38, 0.034, 0)</f>
        <v>40.895299999999999</v>
      </c>
      <c r="C549" s="17">
        <f>38.3907 * CHOOSE(CONTROL!$C$15, $E$9, 100%, $G$9) + CHOOSE(CONTROL!$C$38, 0.0342, 0)</f>
        <v>38.424900000000001</v>
      </c>
      <c r="D549" s="17">
        <f>38.3829 * CHOOSE(CONTROL!$C$15, $E$9, 100%, $G$9) + CHOOSE(CONTROL!$C$38, 0.0342, 0)</f>
        <v>38.417099999999998</v>
      </c>
      <c r="E549" s="17">
        <f>38.3829 * CHOOSE(CONTROL!$C$15, $E$9, 100%, $G$9) + CHOOSE(CONTROL!$C$38, 0.0342, 0)</f>
        <v>38.417099999999998</v>
      </c>
      <c r="F549" s="45">
        <f>40.8613 * CHOOSE(CONTROL!$C$15, $E$9, 100%, $G$9) + CHOOSE(CONTROL!$C$38, 0.034, 0)</f>
        <v>40.895299999999999</v>
      </c>
      <c r="G549" s="17">
        <f>38.3891 * CHOOSE(CONTROL!$C$15, $E$9, 100%, $G$9) + CHOOSE(CONTROL!$C$38, 0.0342, 0)</f>
        <v>38.423299999999998</v>
      </c>
      <c r="H549" s="17">
        <f>38.3891 * CHOOSE(CONTROL!$C$15, $E$9, 100%, $G$9) + CHOOSE(CONTROL!$C$38, 0.0342, 0)</f>
        <v>38.423299999999998</v>
      </c>
      <c r="I549" s="17">
        <f>38.3907 * CHOOSE(CONTROL!$C$15, $E$9, 100%, $G$9) + CHOOSE(CONTROL!$C$38, 0.0342, 0)</f>
        <v>38.424900000000001</v>
      </c>
      <c r="J549" s="44">
        <f>311.9767</f>
        <v>311.97669999999999</v>
      </c>
    </row>
    <row r="550" spans="1:10" ht="15.75" x14ac:dyDescent="0.25">
      <c r="A550" s="13">
        <v>57679</v>
      </c>
      <c r="B550" s="17">
        <f>41.163 * CHOOSE(CONTROL!$C$15, $E$9, 100%, $G$9) + CHOOSE(CONTROL!$C$38, 0.034, 0)</f>
        <v>41.196999999999996</v>
      </c>
      <c r="C550" s="17">
        <f>38.6924 * CHOOSE(CONTROL!$C$15, $E$9, 100%, $G$9) + CHOOSE(CONTROL!$C$38, 0.0342, 0)</f>
        <v>38.726599999999998</v>
      </c>
      <c r="D550" s="17">
        <f>38.6846 * CHOOSE(CONTROL!$C$15, $E$9, 100%, $G$9) + CHOOSE(CONTROL!$C$38, 0.0342, 0)</f>
        <v>38.718800000000002</v>
      </c>
      <c r="E550" s="17">
        <f>38.6846 * CHOOSE(CONTROL!$C$15, $E$9, 100%, $G$9) + CHOOSE(CONTROL!$C$38, 0.0342, 0)</f>
        <v>38.718800000000002</v>
      </c>
      <c r="F550" s="45">
        <f>41.163 * CHOOSE(CONTROL!$C$15, $E$9, 100%, $G$9) + CHOOSE(CONTROL!$C$38, 0.034, 0)</f>
        <v>41.196999999999996</v>
      </c>
      <c r="G550" s="17">
        <f>38.6908 * CHOOSE(CONTROL!$C$15, $E$9, 100%, $G$9) + CHOOSE(CONTROL!$C$38, 0.0342, 0)</f>
        <v>38.725000000000001</v>
      </c>
      <c r="H550" s="17">
        <f>38.6908 * CHOOSE(CONTROL!$C$15, $E$9, 100%, $G$9) + CHOOSE(CONTROL!$C$38, 0.0342, 0)</f>
        <v>38.725000000000001</v>
      </c>
      <c r="I550" s="17">
        <f>38.6924 * CHOOSE(CONTROL!$C$15, $E$9, 100%, $G$9) + CHOOSE(CONTROL!$C$38, 0.0342, 0)</f>
        <v>38.726599999999998</v>
      </c>
      <c r="J550" s="44">
        <f>309.7537</f>
        <v>309.75369999999998</v>
      </c>
    </row>
    <row r="551" spans="1:10" ht="15.75" x14ac:dyDescent="0.25">
      <c r="A551" s="13">
        <v>57710</v>
      </c>
      <c r="B551" s="17">
        <f>42.0926 * CHOOSE(CONTROL!$C$15, $E$9, 100%, $G$9) + CHOOSE(CONTROL!$C$38, 0.034, 0)</f>
        <v>42.126599999999996</v>
      </c>
      <c r="C551" s="17">
        <f>39.622 * CHOOSE(CONTROL!$C$15, $E$9, 100%, $G$9) + CHOOSE(CONTROL!$C$38, 0.0342, 0)</f>
        <v>39.656199999999998</v>
      </c>
      <c r="D551" s="17">
        <f>39.6142 * CHOOSE(CONTROL!$C$15, $E$9, 100%, $G$9) + CHOOSE(CONTROL!$C$38, 0.0342, 0)</f>
        <v>39.648399999999995</v>
      </c>
      <c r="E551" s="17">
        <f>39.6142 * CHOOSE(CONTROL!$C$15, $E$9, 100%, $G$9) + CHOOSE(CONTROL!$C$38, 0.0342, 0)</f>
        <v>39.648399999999995</v>
      </c>
      <c r="F551" s="45">
        <f>42.0926 * CHOOSE(CONTROL!$C$15, $E$9, 100%, $G$9) + CHOOSE(CONTROL!$C$38, 0.034, 0)</f>
        <v>42.126599999999996</v>
      </c>
      <c r="G551" s="17">
        <f>39.6205 * CHOOSE(CONTROL!$C$15, $E$9, 100%, $G$9) + CHOOSE(CONTROL!$C$38, 0.0342, 0)</f>
        <v>39.654699999999998</v>
      </c>
      <c r="H551" s="17">
        <f>39.6205 * CHOOSE(CONTROL!$C$15, $E$9, 100%, $G$9) + CHOOSE(CONTROL!$C$38, 0.0342, 0)</f>
        <v>39.654699999999998</v>
      </c>
      <c r="I551" s="17">
        <f>39.622 * CHOOSE(CONTROL!$C$15, $E$9, 100%, $G$9) + CHOOSE(CONTROL!$C$38, 0.0342, 0)</f>
        <v>39.656199999999998</v>
      </c>
      <c r="J551" s="44">
        <f>300.5618</f>
        <v>300.56180000000001</v>
      </c>
    </row>
    <row r="552" spans="1:10" ht="15.75" x14ac:dyDescent="0.25">
      <c r="A552" s="13">
        <v>57741</v>
      </c>
      <c r="B552" s="17">
        <f>43.5089 * CHOOSE(CONTROL!$C$15, $E$9, 100%, $G$9) + CHOOSE(CONTROL!$C$38, 0.034, 0)</f>
        <v>43.542899999999996</v>
      </c>
      <c r="C552" s="17">
        <f>40.9994 * CHOOSE(CONTROL!$C$15, $E$9, 100%, $G$9) + CHOOSE(CONTROL!$C$38, 0.0342, 0)</f>
        <v>41.0336</v>
      </c>
      <c r="D552" s="17">
        <f>40.9916 * CHOOSE(CONTROL!$C$15, $E$9, 100%, $G$9) + CHOOSE(CONTROL!$C$38, 0.0342, 0)</f>
        <v>41.025799999999997</v>
      </c>
      <c r="E552" s="17">
        <f>40.9916 * CHOOSE(CONTROL!$C$15, $E$9, 100%, $G$9) + CHOOSE(CONTROL!$C$38, 0.0342, 0)</f>
        <v>41.025799999999997</v>
      </c>
      <c r="F552" s="45">
        <f>43.5089 * CHOOSE(CONTROL!$C$15, $E$9, 100%, $G$9) + CHOOSE(CONTROL!$C$38, 0.034, 0)</f>
        <v>43.542899999999996</v>
      </c>
      <c r="G552" s="17">
        <f>40.9978 * CHOOSE(CONTROL!$C$15, $E$9, 100%, $G$9) + CHOOSE(CONTROL!$C$38, 0.0342, 0)</f>
        <v>41.031999999999996</v>
      </c>
      <c r="H552" s="17">
        <f>40.9978 * CHOOSE(CONTROL!$C$15, $E$9, 100%, $G$9) + CHOOSE(CONTROL!$C$38, 0.0342, 0)</f>
        <v>41.031999999999996</v>
      </c>
      <c r="I552" s="17">
        <f>40.9994 * CHOOSE(CONTROL!$C$15, $E$9, 100%, $G$9) + CHOOSE(CONTROL!$C$38, 0.0342, 0)</f>
        <v>41.0336</v>
      </c>
      <c r="J552" s="44">
        <f>300.3448</f>
        <v>300.34480000000002</v>
      </c>
    </row>
    <row r="553" spans="1:10" ht="15.75" x14ac:dyDescent="0.25">
      <c r="A553" s="13">
        <v>57769</v>
      </c>
      <c r="B553" s="17">
        <f>43.8532 * CHOOSE(CONTROL!$C$15, $E$9, 100%, $G$9) + CHOOSE(CONTROL!$C$38, 0.034, 0)</f>
        <v>43.8872</v>
      </c>
      <c r="C553" s="17">
        <f>41.3437 * CHOOSE(CONTROL!$C$15, $E$9, 100%, $G$9) + CHOOSE(CONTROL!$C$38, 0.0342, 0)</f>
        <v>41.377899999999997</v>
      </c>
      <c r="D553" s="17">
        <f>41.3359 * CHOOSE(CONTROL!$C$15, $E$9, 100%, $G$9) + CHOOSE(CONTROL!$C$38, 0.0342, 0)</f>
        <v>41.370100000000001</v>
      </c>
      <c r="E553" s="17">
        <f>41.3359 * CHOOSE(CONTROL!$C$15, $E$9, 100%, $G$9) + CHOOSE(CONTROL!$C$38, 0.0342, 0)</f>
        <v>41.370100000000001</v>
      </c>
      <c r="F553" s="45">
        <f>43.8532 * CHOOSE(CONTROL!$C$15, $E$9, 100%, $G$9) + CHOOSE(CONTROL!$C$38, 0.034, 0)</f>
        <v>43.8872</v>
      </c>
      <c r="G553" s="17">
        <f>41.3421 * CHOOSE(CONTROL!$C$15, $E$9, 100%, $G$9) + CHOOSE(CONTROL!$C$38, 0.0342, 0)</f>
        <v>41.376300000000001</v>
      </c>
      <c r="H553" s="17">
        <f>41.3421 * CHOOSE(CONTROL!$C$15, $E$9, 100%, $G$9) + CHOOSE(CONTROL!$C$38, 0.0342, 0)</f>
        <v>41.376300000000001</v>
      </c>
      <c r="I553" s="17">
        <f>41.3437 * CHOOSE(CONTROL!$C$15, $E$9, 100%, $G$9) + CHOOSE(CONTROL!$C$38, 0.0342, 0)</f>
        <v>41.377899999999997</v>
      </c>
      <c r="J553" s="44">
        <f>299.5099</f>
        <v>299.50990000000002</v>
      </c>
    </row>
    <row r="554" spans="1:10" ht="15.75" x14ac:dyDescent="0.25">
      <c r="A554" s="13">
        <v>57800</v>
      </c>
      <c r="B554" s="17">
        <f>43.0562 * CHOOSE(CONTROL!$C$15, $E$9, 100%, $G$9) + CHOOSE(CONTROL!$C$38, 0.034, 0)</f>
        <v>43.090199999999996</v>
      </c>
      <c r="C554" s="17">
        <f>40.5467 * CHOOSE(CONTROL!$C$15, $E$9, 100%, $G$9) + CHOOSE(CONTROL!$C$38, 0.0342, 0)</f>
        <v>40.5809</v>
      </c>
      <c r="D554" s="17">
        <f>40.5389 * CHOOSE(CONTROL!$C$15, $E$9, 100%, $G$9) + CHOOSE(CONTROL!$C$38, 0.0342, 0)</f>
        <v>40.573099999999997</v>
      </c>
      <c r="E554" s="17">
        <f>40.5389 * CHOOSE(CONTROL!$C$15, $E$9, 100%, $G$9) + CHOOSE(CONTROL!$C$38, 0.0342, 0)</f>
        <v>40.573099999999997</v>
      </c>
      <c r="F554" s="45">
        <f>43.0562 * CHOOSE(CONTROL!$C$15, $E$9, 100%, $G$9) + CHOOSE(CONTROL!$C$38, 0.034, 0)</f>
        <v>43.090199999999996</v>
      </c>
      <c r="G554" s="17">
        <f>40.5451 * CHOOSE(CONTROL!$C$15, $E$9, 100%, $G$9) + CHOOSE(CONTROL!$C$38, 0.0342, 0)</f>
        <v>40.579299999999996</v>
      </c>
      <c r="H554" s="17">
        <f>40.5451 * CHOOSE(CONTROL!$C$15, $E$9, 100%, $G$9) + CHOOSE(CONTROL!$C$38, 0.0342, 0)</f>
        <v>40.579299999999996</v>
      </c>
      <c r="I554" s="17">
        <f>40.5467 * CHOOSE(CONTROL!$C$15, $E$9, 100%, $G$9) + CHOOSE(CONTROL!$C$38, 0.0342, 0)</f>
        <v>40.5809</v>
      </c>
      <c r="J554" s="44">
        <f>315.2958</f>
        <v>315.29579999999999</v>
      </c>
    </row>
    <row r="555" spans="1:10" ht="15.75" x14ac:dyDescent="0.25">
      <c r="A555" s="13">
        <v>57830</v>
      </c>
      <c r="B555" s="17">
        <f>42.2839 * CHOOSE(CONTROL!$C$15, $E$9, 100%, $G$9) + CHOOSE(CONTROL!$C$38, 0.034, 0)</f>
        <v>42.317900000000002</v>
      </c>
      <c r="C555" s="17">
        <f>39.7744 * CHOOSE(CONTROL!$C$15, $E$9, 100%, $G$9) + CHOOSE(CONTROL!$C$38, 0.0342, 0)</f>
        <v>39.808599999999998</v>
      </c>
      <c r="D555" s="17">
        <f>39.7666 * CHOOSE(CONTROL!$C$15, $E$9, 100%, $G$9) + CHOOSE(CONTROL!$C$38, 0.0342, 0)</f>
        <v>39.800799999999995</v>
      </c>
      <c r="E555" s="17">
        <f>39.7666 * CHOOSE(CONTROL!$C$15, $E$9, 100%, $G$9) + CHOOSE(CONTROL!$C$38, 0.0342, 0)</f>
        <v>39.800799999999995</v>
      </c>
      <c r="F555" s="45">
        <f>42.2839 * CHOOSE(CONTROL!$C$15, $E$9, 100%, $G$9) + CHOOSE(CONTROL!$C$38, 0.034, 0)</f>
        <v>42.317900000000002</v>
      </c>
      <c r="G555" s="17">
        <f>39.7728 * CHOOSE(CONTROL!$C$15, $E$9, 100%, $G$9) + CHOOSE(CONTROL!$C$38, 0.0342, 0)</f>
        <v>39.806999999999995</v>
      </c>
      <c r="H555" s="17">
        <f>39.7728 * CHOOSE(CONTROL!$C$15, $E$9, 100%, $G$9) + CHOOSE(CONTROL!$C$38, 0.0342, 0)</f>
        <v>39.806999999999995</v>
      </c>
      <c r="I555" s="17">
        <f>39.7744 * CHOOSE(CONTROL!$C$15, $E$9, 100%, $G$9) + CHOOSE(CONTROL!$C$38, 0.0342, 0)</f>
        <v>39.808599999999998</v>
      </c>
      <c r="J555" s="44">
        <f>335.7664</f>
        <v>335.76639999999998</v>
      </c>
    </row>
    <row r="556" spans="1:10" ht="15.75" x14ac:dyDescent="0.25">
      <c r="A556" s="13">
        <v>57861</v>
      </c>
      <c r="B556" s="17">
        <f>41.4789 * CHOOSE(CONTROL!$C$15, $E$9, 100%, $G$9) + CHOOSE(CONTROL!$C$38, 0.0353, 0)</f>
        <v>41.514200000000002</v>
      </c>
      <c r="C556" s="17">
        <f>38.9694 * CHOOSE(CONTROL!$C$15, $E$9, 100%, $G$9) + CHOOSE(CONTROL!$C$38, 0.0354, 0)</f>
        <v>39.004800000000003</v>
      </c>
      <c r="D556" s="17">
        <f>38.9616 * CHOOSE(CONTROL!$C$15, $E$9, 100%, $G$9) + CHOOSE(CONTROL!$C$38, 0.0354, 0)</f>
        <v>38.997</v>
      </c>
      <c r="E556" s="17">
        <f>38.9616 * CHOOSE(CONTROL!$C$15, $E$9, 100%, $G$9) + CHOOSE(CONTROL!$C$38, 0.0354, 0)</f>
        <v>38.997</v>
      </c>
      <c r="F556" s="45">
        <f>41.4789 * CHOOSE(CONTROL!$C$15, $E$9, 100%, $G$9) + CHOOSE(CONTROL!$C$38, 0.0353, 0)</f>
        <v>41.514200000000002</v>
      </c>
      <c r="G556" s="17">
        <f>38.9678 * CHOOSE(CONTROL!$C$15, $E$9, 100%, $G$9) + CHOOSE(CONTROL!$C$38, 0.0354, 0)</f>
        <v>39.0032</v>
      </c>
      <c r="H556" s="17">
        <f>38.9678 * CHOOSE(CONTROL!$C$15, $E$9, 100%, $G$9) + CHOOSE(CONTROL!$C$38, 0.0354, 0)</f>
        <v>39.0032</v>
      </c>
      <c r="I556" s="17">
        <f>38.9694 * CHOOSE(CONTROL!$C$15, $E$9, 100%, $G$9) + CHOOSE(CONTROL!$C$38, 0.0354, 0)</f>
        <v>39.004800000000003</v>
      </c>
      <c r="J556" s="44">
        <f>347.034</f>
        <v>347.03399999999999</v>
      </c>
    </row>
    <row r="557" spans="1:10" ht="15.75" x14ac:dyDescent="0.25">
      <c r="A557" s="13">
        <v>57891</v>
      </c>
      <c r="B557" s="17">
        <f>40.9146 * CHOOSE(CONTROL!$C$15, $E$9, 100%, $G$9) + CHOOSE(CONTROL!$C$38, 0.0353, 0)</f>
        <v>40.9499</v>
      </c>
      <c r="C557" s="17">
        <f>38.4051 * CHOOSE(CONTROL!$C$15, $E$9, 100%, $G$9) + CHOOSE(CONTROL!$C$38, 0.0354, 0)</f>
        <v>38.4405</v>
      </c>
      <c r="D557" s="17">
        <f>38.3973 * CHOOSE(CONTROL!$C$15, $E$9, 100%, $G$9) + CHOOSE(CONTROL!$C$38, 0.0354, 0)</f>
        <v>38.432700000000004</v>
      </c>
      <c r="E557" s="17">
        <f>38.3973 * CHOOSE(CONTROL!$C$15, $E$9, 100%, $G$9) + CHOOSE(CONTROL!$C$38, 0.0354, 0)</f>
        <v>38.432700000000004</v>
      </c>
      <c r="F557" s="45">
        <f>40.9146 * CHOOSE(CONTROL!$C$15, $E$9, 100%, $G$9) + CHOOSE(CONTROL!$C$38, 0.0353, 0)</f>
        <v>40.9499</v>
      </c>
      <c r="G557" s="17">
        <f>38.4035 * CHOOSE(CONTROL!$C$15, $E$9, 100%, $G$9) + CHOOSE(CONTROL!$C$38, 0.0354, 0)</f>
        <v>38.438900000000004</v>
      </c>
      <c r="H557" s="17">
        <f>38.4035 * CHOOSE(CONTROL!$C$15, $E$9, 100%, $G$9) + CHOOSE(CONTROL!$C$38, 0.0354, 0)</f>
        <v>38.438900000000004</v>
      </c>
      <c r="I557" s="17">
        <f>38.4051 * CHOOSE(CONTROL!$C$15, $E$9, 100%, $G$9) + CHOOSE(CONTROL!$C$38, 0.0354, 0)</f>
        <v>38.4405</v>
      </c>
      <c r="J557" s="44">
        <f>352.0344</f>
        <v>352.03440000000001</v>
      </c>
    </row>
    <row r="558" spans="1:10" ht="15.75" x14ac:dyDescent="0.25">
      <c r="A558" s="13">
        <v>57922</v>
      </c>
      <c r="B558" s="17">
        <f>40.5925 * CHOOSE(CONTROL!$C$15, $E$9, 100%, $G$9) + CHOOSE(CONTROL!$C$38, 0.0353, 0)</f>
        <v>40.627800000000001</v>
      </c>
      <c r="C558" s="17">
        <f>38.083 * CHOOSE(CONTROL!$C$15, $E$9, 100%, $G$9) + CHOOSE(CONTROL!$C$38, 0.0354, 0)</f>
        <v>38.118400000000001</v>
      </c>
      <c r="D558" s="17">
        <f>38.0752 * CHOOSE(CONTROL!$C$15, $E$9, 100%, $G$9) + CHOOSE(CONTROL!$C$38, 0.0354, 0)</f>
        <v>38.110600000000005</v>
      </c>
      <c r="E558" s="17">
        <f>38.0752 * CHOOSE(CONTROL!$C$15, $E$9, 100%, $G$9) + CHOOSE(CONTROL!$C$38, 0.0354, 0)</f>
        <v>38.110600000000005</v>
      </c>
      <c r="F558" s="45">
        <f>40.5925 * CHOOSE(CONTROL!$C$15, $E$9, 100%, $G$9) + CHOOSE(CONTROL!$C$38, 0.0353, 0)</f>
        <v>40.627800000000001</v>
      </c>
      <c r="G558" s="17">
        <f>38.0814 * CHOOSE(CONTROL!$C$15, $E$9, 100%, $G$9) + CHOOSE(CONTROL!$C$38, 0.0354, 0)</f>
        <v>38.116800000000005</v>
      </c>
      <c r="H558" s="17">
        <f>38.0814 * CHOOSE(CONTROL!$C$15, $E$9, 100%, $G$9) + CHOOSE(CONTROL!$C$38, 0.0354, 0)</f>
        <v>38.116800000000005</v>
      </c>
      <c r="I558" s="17">
        <f>38.083 * CHOOSE(CONTROL!$C$15, $E$9, 100%, $G$9) + CHOOSE(CONTROL!$C$38, 0.0354, 0)</f>
        <v>38.118400000000001</v>
      </c>
      <c r="J558" s="44">
        <f>350.388</f>
        <v>350.38799999999998</v>
      </c>
    </row>
    <row r="559" spans="1:10" ht="15.75" x14ac:dyDescent="0.25">
      <c r="A559" s="13">
        <v>57953</v>
      </c>
      <c r="B559" s="17">
        <f>40.7514 * CHOOSE(CONTROL!$C$15, $E$9, 100%, $G$9) + CHOOSE(CONTROL!$C$38, 0.0353, 0)</f>
        <v>40.786699999999996</v>
      </c>
      <c r="C559" s="17">
        <f>38.242 * CHOOSE(CONTROL!$C$15, $E$9, 100%, $G$9) + CHOOSE(CONTROL!$C$38, 0.0354, 0)</f>
        <v>38.2774</v>
      </c>
      <c r="D559" s="17">
        <f>38.2341 * CHOOSE(CONTROL!$C$15, $E$9, 100%, $G$9) + CHOOSE(CONTROL!$C$38, 0.0354, 0)</f>
        <v>38.269500000000001</v>
      </c>
      <c r="E559" s="17">
        <f>38.2341 * CHOOSE(CONTROL!$C$15, $E$9, 100%, $G$9) + CHOOSE(CONTROL!$C$38, 0.0354, 0)</f>
        <v>38.269500000000001</v>
      </c>
      <c r="F559" s="45">
        <f>40.7514 * CHOOSE(CONTROL!$C$15, $E$9, 100%, $G$9) + CHOOSE(CONTROL!$C$38, 0.0353, 0)</f>
        <v>40.786699999999996</v>
      </c>
      <c r="G559" s="17">
        <f>38.2404 * CHOOSE(CONTROL!$C$15, $E$9, 100%, $G$9) + CHOOSE(CONTROL!$C$38, 0.0354, 0)</f>
        <v>38.275800000000004</v>
      </c>
      <c r="H559" s="17">
        <f>38.2404 * CHOOSE(CONTROL!$C$15, $E$9, 100%, $G$9) + CHOOSE(CONTROL!$C$38, 0.0354, 0)</f>
        <v>38.275800000000004</v>
      </c>
      <c r="I559" s="17">
        <f>38.242 * CHOOSE(CONTROL!$C$15, $E$9, 100%, $G$9) + CHOOSE(CONTROL!$C$38, 0.0354, 0)</f>
        <v>38.2774</v>
      </c>
      <c r="J559" s="44">
        <f>342.2312</f>
        <v>342.2312</v>
      </c>
    </row>
    <row r="560" spans="1:10" ht="15.75" x14ac:dyDescent="0.25">
      <c r="A560" s="13">
        <v>57983</v>
      </c>
      <c r="B560" s="17">
        <f>41.1832 * CHOOSE(CONTROL!$C$15, $E$9, 100%, $G$9) + CHOOSE(CONTROL!$C$38, 0.0353, 0)</f>
        <v>41.218499999999999</v>
      </c>
      <c r="C560" s="17">
        <f>38.6737 * CHOOSE(CONTROL!$C$15, $E$9, 100%, $G$9) + CHOOSE(CONTROL!$C$38, 0.0354, 0)</f>
        <v>38.709099999999999</v>
      </c>
      <c r="D560" s="17">
        <f>38.6659 * CHOOSE(CONTROL!$C$15, $E$9, 100%, $G$9) + CHOOSE(CONTROL!$C$38, 0.0354, 0)</f>
        <v>38.701300000000003</v>
      </c>
      <c r="E560" s="17">
        <f>38.6659 * CHOOSE(CONTROL!$C$15, $E$9, 100%, $G$9) + CHOOSE(CONTROL!$C$38, 0.0354, 0)</f>
        <v>38.701300000000003</v>
      </c>
      <c r="F560" s="45">
        <f>41.1832 * CHOOSE(CONTROL!$C$15, $E$9, 100%, $G$9) + CHOOSE(CONTROL!$C$38, 0.0353, 0)</f>
        <v>41.218499999999999</v>
      </c>
      <c r="G560" s="17">
        <f>38.6721 * CHOOSE(CONTROL!$C$15, $E$9, 100%, $G$9) + CHOOSE(CONTROL!$C$38, 0.0354, 0)</f>
        <v>38.707500000000003</v>
      </c>
      <c r="H560" s="17">
        <f>38.6721 * CHOOSE(CONTROL!$C$15, $E$9, 100%, $G$9) + CHOOSE(CONTROL!$C$38, 0.0354, 0)</f>
        <v>38.707500000000003</v>
      </c>
      <c r="I560" s="17">
        <f>38.6737 * CHOOSE(CONTROL!$C$15, $E$9, 100%, $G$9) + CHOOSE(CONTROL!$C$38, 0.0354, 0)</f>
        <v>38.709099999999999</v>
      </c>
      <c r="J560" s="44">
        <f>330.856</f>
        <v>330.85599999999999</v>
      </c>
    </row>
    <row r="561" spans="1:10" ht="15.75" x14ac:dyDescent="0.25">
      <c r="A561" s="13">
        <v>58014</v>
      </c>
      <c r="B561" s="17">
        <f>41.5447 * CHOOSE(CONTROL!$C$15, $E$9, 100%, $G$9) + CHOOSE(CONTROL!$C$38, 0.034, 0)</f>
        <v>41.578699999999998</v>
      </c>
      <c r="C561" s="17">
        <f>39.0352 * CHOOSE(CONTROL!$C$15, $E$9, 100%, $G$9) + CHOOSE(CONTROL!$C$38, 0.0342, 0)</f>
        <v>39.069400000000002</v>
      </c>
      <c r="D561" s="17">
        <f>39.0274 * CHOOSE(CONTROL!$C$15, $E$9, 100%, $G$9) + CHOOSE(CONTROL!$C$38, 0.0342, 0)</f>
        <v>39.061599999999999</v>
      </c>
      <c r="E561" s="17">
        <f>39.0274 * CHOOSE(CONTROL!$C$15, $E$9, 100%, $G$9) + CHOOSE(CONTROL!$C$38, 0.0342, 0)</f>
        <v>39.061599999999999</v>
      </c>
      <c r="F561" s="45">
        <f>41.5447 * CHOOSE(CONTROL!$C$15, $E$9, 100%, $G$9) + CHOOSE(CONTROL!$C$38, 0.034, 0)</f>
        <v>41.578699999999998</v>
      </c>
      <c r="G561" s="17">
        <f>39.0337 * CHOOSE(CONTROL!$C$15, $E$9, 100%, $G$9) + CHOOSE(CONTROL!$C$38, 0.0342, 0)</f>
        <v>39.067900000000002</v>
      </c>
      <c r="H561" s="17">
        <f>39.0337 * CHOOSE(CONTROL!$C$15, $E$9, 100%, $G$9) + CHOOSE(CONTROL!$C$38, 0.0342, 0)</f>
        <v>39.067900000000002</v>
      </c>
      <c r="I561" s="17">
        <f>39.0352 * CHOOSE(CONTROL!$C$15, $E$9, 100%, $G$9) + CHOOSE(CONTROL!$C$38, 0.0342, 0)</f>
        <v>39.069400000000002</v>
      </c>
      <c r="J561" s="44">
        <f>319.4146</f>
        <v>319.41460000000001</v>
      </c>
    </row>
    <row r="562" spans="1:10" ht="15.75" x14ac:dyDescent="0.25">
      <c r="A562" s="13">
        <v>58044</v>
      </c>
      <c r="B562" s="17">
        <f>41.8464 * CHOOSE(CONTROL!$C$15, $E$9, 100%, $G$9) + CHOOSE(CONTROL!$C$38, 0.034, 0)</f>
        <v>41.880400000000002</v>
      </c>
      <c r="C562" s="17">
        <f>39.3369 * CHOOSE(CONTROL!$C$15, $E$9, 100%, $G$9) + CHOOSE(CONTROL!$C$38, 0.0342, 0)</f>
        <v>39.371099999999998</v>
      </c>
      <c r="D562" s="17">
        <f>39.3291 * CHOOSE(CONTROL!$C$15, $E$9, 100%, $G$9) + CHOOSE(CONTROL!$C$38, 0.0342, 0)</f>
        <v>39.363299999999995</v>
      </c>
      <c r="E562" s="17">
        <f>39.3291 * CHOOSE(CONTROL!$C$15, $E$9, 100%, $G$9) + CHOOSE(CONTROL!$C$38, 0.0342, 0)</f>
        <v>39.363299999999995</v>
      </c>
      <c r="F562" s="45">
        <f>41.8464 * CHOOSE(CONTROL!$C$15, $E$9, 100%, $G$9) + CHOOSE(CONTROL!$C$38, 0.034, 0)</f>
        <v>41.880400000000002</v>
      </c>
      <c r="G562" s="17">
        <f>39.3354 * CHOOSE(CONTROL!$C$15, $E$9, 100%, $G$9) + CHOOSE(CONTROL!$C$38, 0.0342, 0)</f>
        <v>39.369599999999998</v>
      </c>
      <c r="H562" s="17">
        <f>39.3354 * CHOOSE(CONTROL!$C$15, $E$9, 100%, $G$9) + CHOOSE(CONTROL!$C$38, 0.0342, 0)</f>
        <v>39.369599999999998</v>
      </c>
      <c r="I562" s="17">
        <f>39.3369 * CHOOSE(CONTROL!$C$15, $E$9, 100%, $G$9) + CHOOSE(CONTROL!$C$38, 0.0342, 0)</f>
        <v>39.371099999999998</v>
      </c>
      <c r="J562" s="44">
        <f>317.1387</f>
        <v>317.13869999999997</v>
      </c>
    </row>
    <row r="563" spans="1:10" ht="15.75" x14ac:dyDescent="0.25">
      <c r="A563" s="13">
        <v>58075</v>
      </c>
      <c r="B563" s="17">
        <f>42.7761 * CHOOSE(CONTROL!$C$15, $E$9, 100%, $G$9) + CHOOSE(CONTROL!$C$38, 0.034, 0)</f>
        <v>42.810099999999998</v>
      </c>
      <c r="C563" s="17">
        <f>40.2666 * CHOOSE(CONTROL!$C$15, $E$9, 100%, $G$9) + CHOOSE(CONTROL!$C$38, 0.0342, 0)</f>
        <v>40.300799999999995</v>
      </c>
      <c r="D563" s="17">
        <f>40.2588 * CHOOSE(CONTROL!$C$15, $E$9, 100%, $G$9) + CHOOSE(CONTROL!$C$38, 0.0342, 0)</f>
        <v>40.292999999999999</v>
      </c>
      <c r="E563" s="17">
        <f>40.2588 * CHOOSE(CONTROL!$C$15, $E$9, 100%, $G$9) + CHOOSE(CONTROL!$C$38, 0.0342, 0)</f>
        <v>40.292999999999999</v>
      </c>
      <c r="F563" s="45">
        <f>42.7761 * CHOOSE(CONTROL!$C$15, $E$9, 100%, $G$9) + CHOOSE(CONTROL!$C$38, 0.034, 0)</f>
        <v>42.810099999999998</v>
      </c>
      <c r="G563" s="17">
        <f>40.265 * CHOOSE(CONTROL!$C$15, $E$9, 100%, $G$9) + CHOOSE(CONTROL!$C$38, 0.0342, 0)</f>
        <v>40.299199999999999</v>
      </c>
      <c r="H563" s="17">
        <f>40.265 * CHOOSE(CONTROL!$C$15, $E$9, 100%, $G$9) + CHOOSE(CONTROL!$C$38, 0.0342, 0)</f>
        <v>40.299199999999999</v>
      </c>
      <c r="I563" s="17">
        <f>40.2666 * CHOOSE(CONTROL!$C$15, $E$9, 100%, $G$9) + CHOOSE(CONTROL!$C$38, 0.0342, 0)</f>
        <v>40.300799999999995</v>
      </c>
      <c r="J563" s="44">
        <f>307.7276</f>
        <v>307.7276</v>
      </c>
    </row>
    <row r="564" spans="1:10" ht="15.75" x14ac:dyDescent="0.25">
      <c r="A564" s="13">
        <v>58106</v>
      </c>
      <c r="B564" s="17">
        <f>44.2038 * CHOOSE(CONTROL!$C$15, $E$9, 100%, $G$9) + CHOOSE(CONTROL!$C$38, 0.034, 0)</f>
        <v>44.2378</v>
      </c>
      <c r="C564" s="17">
        <f>41.6548 * CHOOSE(CONTROL!$C$15, $E$9, 100%, $G$9) + CHOOSE(CONTROL!$C$38, 0.0342, 0)</f>
        <v>41.689</v>
      </c>
      <c r="D564" s="17">
        <f>41.647 * CHOOSE(CONTROL!$C$15, $E$9, 100%, $G$9) + CHOOSE(CONTROL!$C$38, 0.0342, 0)</f>
        <v>41.681199999999997</v>
      </c>
      <c r="E564" s="17">
        <f>41.647 * CHOOSE(CONTROL!$C$15, $E$9, 100%, $G$9) + CHOOSE(CONTROL!$C$38, 0.0342, 0)</f>
        <v>41.681199999999997</v>
      </c>
      <c r="F564" s="45">
        <f>44.2038 * CHOOSE(CONTROL!$C$15, $E$9, 100%, $G$9) + CHOOSE(CONTROL!$C$38, 0.034, 0)</f>
        <v>44.2378</v>
      </c>
      <c r="G564" s="17">
        <f>41.6532 * CHOOSE(CONTROL!$C$15, $E$9, 100%, $G$9) + CHOOSE(CONTROL!$C$38, 0.0342, 0)</f>
        <v>41.687399999999997</v>
      </c>
      <c r="H564" s="17">
        <f>41.6532 * CHOOSE(CONTROL!$C$15, $E$9, 100%, $G$9) + CHOOSE(CONTROL!$C$38, 0.0342, 0)</f>
        <v>41.687399999999997</v>
      </c>
      <c r="I564" s="17">
        <f>41.6548 * CHOOSE(CONTROL!$C$15, $E$9, 100%, $G$9) + CHOOSE(CONTROL!$C$38, 0.0342, 0)</f>
        <v>41.689</v>
      </c>
      <c r="J564" s="44">
        <f>307.5054</f>
        <v>307.50540000000001</v>
      </c>
    </row>
    <row r="565" spans="1:10" ht="15.75" x14ac:dyDescent="0.25">
      <c r="A565" s="13">
        <v>58134</v>
      </c>
      <c r="B565" s="17">
        <f>44.5481 * CHOOSE(CONTROL!$C$15, $E$9, 100%, $G$9) + CHOOSE(CONTROL!$C$38, 0.034, 0)</f>
        <v>44.582099999999997</v>
      </c>
      <c r="C565" s="17">
        <f>41.9991 * CHOOSE(CONTROL!$C$15, $E$9, 100%, $G$9) + CHOOSE(CONTROL!$C$38, 0.0342, 0)</f>
        <v>42.033299999999997</v>
      </c>
      <c r="D565" s="17">
        <f>41.9913 * CHOOSE(CONTROL!$C$15, $E$9, 100%, $G$9) + CHOOSE(CONTROL!$C$38, 0.0342, 0)</f>
        <v>42.025500000000001</v>
      </c>
      <c r="E565" s="17">
        <f>41.9913 * CHOOSE(CONTROL!$C$15, $E$9, 100%, $G$9) + CHOOSE(CONTROL!$C$38, 0.0342, 0)</f>
        <v>42.025500000000001</v>
      </c>
      <c r="F565" s="45">
        <f>44.5481 * CHOOSE(CONTROL!$C$15, $E$9, 100%, $G$9) + CHOOSE(CONTROL!$C$38, 0.034, 0)</f>
        <v>44.582099999999997</v>
      </c>
      <c r="G565" s="17">
        <f>41.9975 * CHOOSE(CONTROL!$C$15, $E$9, 100%, $G$9) + CHOOSE(CONTROL!$C$38, 0.0342, 0)</f>
        <v>42.031700000000001</v>
      </c>
      <c r="H565" s="17">
        <f>41.9975 * CHOOSE(CONTROL!$C$15, $E$9, 100%, $G$9) + CHOOSE(CONTROL!$C$38, 0.0342, 0)</f>
        <v>42.031700000000001</v>
      </c>
      <c r="I565" s="17">
        <f>41.9991 * CHOOSE(CONTROL!$C$15, $E$9, 100%, $G$9) + CHOOSE(CONTROL!$C$38, 0.0342, 0)</f>
        <v>42.033299999999997</v>
      </c>
      <c r="J565" s="44">
        <f>306.6507</f>
        <v>306.65069999999997</v>
      </c>
    </row>
    <row r="566" spans="1:10" ht="15.75" x14ac:dyDescent="0.25">
      <c r="A566" s="13">
        <v>58165</v>
      </c>
      <c r="B566" s="17">
        <f>43.7511 * CHOOSE(CONTROL!$C$15, $E$9, 100%, $G$9) + CHOOSE(CONTROL!$C$38, 0.034, 0)</f>
        <v>43.7851</v>
      </c>
      <c r="C566" s="17">
        <f>41.2021 * CHOOSE(CONTROL!$C$15, $E$9, 100%, $G$9) + CHOOSE(CONTROL!$C$38, 0.0342, 0)</f>
        <v>41.2363</v>
      </c>
      <c r="D566" s="17">
        <f>41.1943 * CHOOSE(CONTROL!$C$15, $E$9, 100%, $G$9) + CHOOSE(CONTROL!$C$38, 0.0342, 0)</f>
        <v>41.228499999999997</v>
      </c>
      <c r="E566" s="17">
        <f>41.1943 * CHOOSE(CONTROL!$C$15, $E$9, 100%, $G$9) + CHOOSE(CONTROL!$C$38, 0.0342, 0)</f>
        <v>41.228499999999997</v>
      </c>
      <c r="F566" s="45">
        <f>43.7511 * CHOOSE(CONTROL!$C$15, $E$9, 100%, $G$9) + CHOOSE(CONTROL!$C$38, 0.034, 0)</f>
        <v>43.7851</v>
      </c>
      <c r="G566" s="17">
        <f>41.2005 * CHOOSE(CONTROL!$C$15, $E$9, 100%, $G$9) + CHOOSE(CONTROL!$C$38, 0.0342, 0)</f>
        <v>41.234699999999997</v>
      </c>
      <c r="H566" s="17">
        <f>41.2005 * CHOOSE(CONTROL!$C$15, $E$9, 100%, $G$9) + CHOOSE(CONTROL!$C$38, 0.0342, 0)</f>
        <v>41.234699999999997</v>
      </c>
      <c r="I566" s="17">
        <f>41.2021 * CHOOSE(CONTROL!$C$15, $E$9, 100%, $G$9) + CHOOSE(CONTROL!$C$38, 0.0342, 0)</f>
        <v>41.2363</v>
      </c>
      <c r="J566" s="44">
        <f>322.813</f>
        <v>322.81299999999999</v>
      </c>
    </row>
    <row r="567" spans="1:10" ht="15.75" x14ac:dyDescent="0.25">
      <c r="A567" s="13">
        <v>58195</v>
      </c>
      <c r="B567" s="17">
        <f>42.9788 * CHOOSE(CONTROL!$C$15, $E$9, 100%, $G$9) + CHOOSE(CONTROL!$C$38, 0.034, 0)</f>
        <v>43.012799999999999</v>
      </c>
      <c r="C567" s="17">
        <f>40.4298 * CHOOSE(CONTROL!$C$15, $E$9, 100%, $G$9) + CHOOSE(CONTROL!$C$38, 0.0342, 0)</f>
        <v>40.463999999999999</v>
      </c>
      <c r="D567" s="17">
        <f>40.4219 * CHOOSE(CONTROL!$C$15, $E$9, 100%, $G$9) + CHOOSE(CONTROL!$C$38, 0.0342, 0)</f>
        <v>40.456099999999999</v>
      </c>
      <c r="E567" s="17">
        <f>40.4219 * CHOOSE(CONTROL!$C$15, $E$9, 100%, $G$9) + CHOOSE(CONTROL!$C$38, 0.0342, 0)</f>
        <v>40.456099999999999</v>
      </c>
      <c r="F567" s="45">
        <f>42.9788 * CHOOSE(CONTROL!$C$15, $E$9, 100%, $G$9) + CHOOSE(CONTROL!$C$38, 0.034, 0)</f>
        <v>43.012799999999999</v>
      </c>
      <c r="G567" s="17">
        <f>40.4282 * CHOOSE(CONTROL!$C$15, $E$9, 100%, $G$9) + CHOOSE(CONTROL!$C$38, 0.0342, 0)</f>
        <v>40.462399999999995</v>
      </c>
      <c r="H567" s="17">
        <f>40.4282 * CHOOSE(CONTROL!$C$15, $E$9, 100%, $G$9) + CHOOSE(CONTROL!$C$38, 0.0342, 0)</f>
        <v>40.462399999999995</v>
      </c>
      <c r="I567" s="17">
        <f>40.4298 * CHOOSE(CONTROL!$C$15, $E$9, 100%, $G$9) + CHOOSE(CONTROL!$C$38, 0.0342, 0)</f>
        <v>40.463999999999999</v>
      </c>
      <c r="J567" s="44">
        <f>343.7715</f>
        <v>343.7715</v>
      </c>
    </row>
    <row r="568" spans="1:10" ht="15.75" x14ac:dyDescent="0.25">
      <c r="A568" s="13">
        <v>58226</v>
      </c>
      <c r="B568" s="17">
        <f>42.1738 * CHOOSE(CONTROL!$C$15, $E$9, 100%, $G$9) + CHOOSE(CONTROL!$C$38, 0.0353, 0)</f>
        <v>42.209099999999999</v>
      </c>
      <c r="C568" s="17">
        <f>39.6248 * CHOOSE(CONTROL!$C$15, $E$9, 100%, $G$9) + CHOOSE(CONTROL!$C$38, 0.0354, 0)</f>
        <v>39.660200000000003</v>
      </c>
      <c r="D568" s="17">
        <f>39.617 * CHOOSE(CONTROL!$C$15, $E$9, 100%, $G$9) + CHOOSE(CONTROL!$C$38, 0.0354, 0)</f>
        <v>39.6524</v>
      </c>
      <c r="E568" s="17">
        <f>39.617 * CHOOSE(CONTROL!$C$15, $E$9, 100%, $G$9) + CHOOSE(CONTROL!$C$38, 0.0354, 0)</f>
        <v>39.6524</v>
      </c>
      <c r="F568" s="45">
        <f>42.1738 * CHOOSE(CONTROL!$C$15, $E$9, 100%, $G$9) + CHOOSE(CONTROL!$C$38, 0.0353, 0)</f>
        <v>42.209099999999999</v>
      </c>
      <c r="G568" s="17">
        <f>39.6232 * CHOOSE(CONTROL!$C$15, $E$9, 100%, $G$9) + CHOOSE(CONTROL!$C$38, 0.0354, 0)</f>
        <v>39.6586</v>
      </c>
      <c r="H568" s="17">
        <f>39.6232 * CHOOSE(CONTROL!$C$15, $E$9, 100%, $G$9) + CHOOSE(CONTROL!$C$38, 0.0354, 0)</f>
        <v>39.6586</v>
      </c>
      <c r="I568" s="17">
        <f>39.6248 * CHOOSE(CONTROL!$C$15, $E$9, 100%, $G$9) + CHOOSE(CONTROL!$C$38, 0.0354, 0)</f>
        <v>39.660200000000003</v>
      </c>
      <c r="J568" s="44">
        <f>355.3078</f>
        <v>355.30779999999999</v>
      </c>
    </row>
    <row r="569" spans="1:10" ht="15.75" x14ac:dyDescent="0.25">
      <c r="A569" s="13">
        <v>58256</v>
      </c>
      <c r="B569" s="17">
        <f>41.6095 * CHOOSE(CONTROL!$C$15, $E$9, 100%, $G$9) + CHOOSE(CONTROL!$C$38, 0.0353, 0)</f>
        <v>41.644799999999996</v>
      </c>
      <c r="C569" s="17">
        <f>39.0605 * CHOOSE(CONTROL!$C$15, $E$9, 100%, $G$9) + CHOOSE(CONTROL!$C$38, 0.0354, 0)</f>
        <v>39.0959</v>
      </c>
      <c r="D569" s="17">
        <f>39.0526 * CHOOSE(CONTROL!$C$15, $E$9, 100%, $G$9) + CHOOSE(CONTROL!$C$38, 0.0354, 0)</f>
        <v>39.088000000000001</v>
      </c>
      <c r="E569" s="17">
        <f>39.0526 * CHOOSE(CONTROL!$C$15, $E$9, 100%, $G$9) + CHOOSE(CONTROL!$C$38, 0.0354, 0)</f>
        <v>39.088000000000001</v>
      </c>
      <c r="F569" s="45">
        <f>41.6095 * CHOOSE(CONTROL!$C$15, $E$9, 100%, $G$9) + CHOOSE(CONTROL!$C$38, 0.0353, 0)</f>
        <v>41.644799999999996</v>
      </c>
      <c r="G569" s="17">
        <f>39.0589 * CHOOSE(CONTROL!$C$15, $E$9, 100%, $G$9) + CHOOSE(CONTROL!$C$38, 0.0354, 0)</f>
        <v>39.094300000000004</v>
      </c>
      <c r="H569" s="17">
        <f>39.0589 * CHOOSE(CONTROL!$C$15, $E$9, 100%, $G$9) + CHOOSE(CONTROL!$C$38, 0.0354, 0)</f>
        <v>39.094300000000004</v>
      </c>
      <c r="I569" s="17">
        <f>39.0605 * CHOOSE(CONTROL!$C$15, $E$9, 100%, $G$9) + CHOOSE(CONTROL!$C$38, 0.0354, 0)</f>
        <v>39.0959</v>
      </c>
      <c r="J569" s="44">
        <f>360.4274</f>
        <v>360.42739999999998</v>
      </c>
    </row>
    <row r="570" spans="1:10" ht="15.75" x14ac:dyDescent="0.25">
      <c r="A570" s="13">
        <v>58287</v>
      </c>
      <c r="B570" s="17">
        <f>41.2874 * CHOOSE(CONTROL!$C$15, $E$9, 100%, $G$9) + CHOOSE(CONTROL!$C$38, 0.0353, 0)</f>
        <v>41.322699999999998</v>
      </c>
      <c r="C570" s="17">
        <f>38.7384 * CHOOSE(CONTROL!$C$15, $E$9, 100%, $G$9) + CHOOSE(CONTROL!$C$38, 0.0354, 0)</f>
        <v>38.773800000000001</v>
      </c>
      <c r="D570" s="17">
        <f>38.7306 * CHOOSE(CONTROL!$C$15, $E$9, 100%, $G$9) + CHOOSE(CONTROL!$C$38, 0.0354, 0)</f>
        <v>38.766000000000005</v>
      </c>
      <c r="E570" s="17">
        <f>38.7306 * CHOOSE(CONTROL!$C$15, $E$9, 100%, $G$9) + CHOOSE(CONTROL!$C$38, 0.0354, 0)</f>
        <v>38.766000000000005</v>
      </c>
      <c r="F570" s="45">
        <f>41.2874 * CHOOSE(CONTROL!$C$15, $E$9, 100%, $G$9) + CHOOSE(CONTROL!$C$38, 0.0353, 0)</f>
        <v>41.322699999999998</v>
      </c>
      <c r="G570" s="17">
        <f>38.7368 * CHOOSE(CONTROL!$C$15, $E$9, 100%, $G$9) + CHOOSE(CONTROL!$C$38, 0.0354, 0)</f>
        <v>38.772200000000005</v>
      </c>
      <c r="H570" s="17">
        <f>38.7368 * CHOOSE(CONTROL!$C$15, $E$9, 100%, $G$9) + CHOOSE(CONTROL!$C$38, 0.0354, 0)</f>
        <v>38.772200000000005</v>
      </c>
      <c r="I570" s="17">
        <f>38.7384 * CHOOSE(CONTROL!$C$15, $E$9, 100%, $G$9) + CHOOSE(CONTROL!$C$38, 0.0354, 0)</f>
        <v>38.773800000000001</v>
      </c>
      <c r="J570" s="44">
        <f>358.7418</f>
        <v>358.74180000000001</v>
      </c>
    </row>
    <row r="571" spans="1:10" ht="15.75" x14ac:dyDescent="0.25">
      <c r="A571" s="13">
        <v>58318</v>
      </c>
      <c r="B571" s="17">
        <f>41.4464 * CHOOSE(CONTROL!$C$15, $E$9, 100%, $G$9) + CHOOSE(CONTROL!$C$38, 0.0353, 0)</f>
        <v>41.481699999999996</v>
      </c>
      <c r="C571" s="17">
        <f>38.8973 * CHOOSE(CONTROL!$C$15, $E$9, 100%, $G$9) + CHOOSE(CONTROL!$C$38, 0.0354, 0)</f>
        <v>38.932700000000004</v>
      </c>
      <c r="D571" s="17">
        <f>38.8895 * CHOOSE(CONTROL!$C$15, $E$9, 100%, $G$9) + CHOOSE(CONTROL!$C$38, 0.0354, 0)</f>
        <v>38.924900000000001</v>
      </c>
      <c r="E571" s="17">
        <f>38.8895 * CHOOSE(CONTROL!$C$15, $E$9, 100%, $G$9) + CHOOSE(CONTROL!$C$38, 0.0354, 0)</f>
        <v>38.924900000000001</v>
      </c>
      <c r="F571" s="45">
        <f>41.4464 * CHOOSE(CONTROL!$C$15, $E$9, 100%, $G$9) + CHOOSE(CONTROL!$C$38, 0.0353, 0)</f>
        <v>41.481699999999996</v>
      </c>
      <c r="G571" s="17">
        <f>38.8958 * CHOOSE(CONTROL!$C$15, $E$9, 100%, $G$9) + CHOOSE(CONTROL!$C$38, 0.0354, 0)</f>
        <v>38.931200000000004</v>
      </c>
      <c r="H571" s="17">
        <f>38.8958 * CHOOSE(CONTROL!$C$15, $E$9, 100%, $G$9) + CHOOSE(CONTROL!$C$38, 0.0354, 0)</f>
        <v>38.931200000000004</v>
      </c>
      <c r="I571" s="17">
        <f>38.8973 * CHOOSE(CONTROL!$C$15, $E$9, 100%, $G$9) + CHOOSE(CONTROL!$C$38, 0.0354, 0)</f>
        <v>38.932700000000004</v>
      </c>
      <c r="J571" s="44">
        <f>350.3905</f>
        <v>350.39049999999997</v>
      </c>
    </row>
    <row r="572" spans="1:10" ht="15.75" x14ac:dyDescent="0.25">
      <c r="A572" s="13">
        <v>58348</v>
      </c>
      <c r="B572" s="17">
        <f>41.8781 * CHOOSE(CONTROL!$C$15, $E$9, 100%, $G$9) + CHOOSE(CONTROL!$C$38, 0.0353, 0)</f>
        <v>41.913400000000003</v>
      </c>
      <c r="C572" s="17">
        <f>39.3291 * CHOOSE(CONTROL!$C$15, $E$9, 100%, $G$9) + CHOOSE(CONTROL!$C$38, 0.0354, 0)</f>
        <v>39.3645</v>
      </c>
      <c r="D572" s="17">
        <f>39.3212 * CHOOSE(CONTROL!$C$15, $E$9, 100%, $G$9) + CHOOSE(CONTROL!$C$38, 0.0354, 0)</f>
        <v>39.3566</v>
      </c>
      <c r="E572" s="17">
        <f>39.3212 * CHOOSE(CONTROL!$C$15, $E$9, 100%, $G$9) + CHOOSE(CONTROL!$C$38, 0.0354, 0)</f>
        <v>39.3566</v>
      </c>
      <c r="F572" s="45">
        <f>41.8781 * CHOOSE(CONTROL!$C$15, $E$9, 100%, $G$9) + CHOOSE(CONTROL!$C$38, 0.0353, 0)</f>
        <v>41.913400000000003</v>
      </c>
      <c r="G572" s="17">
        <f>39.3275 * CHOOSE(CONTROL!$C$15, $E$9, 100%, $G$9) + CHOOSE(CONTROL!$C$38, 0.0354, 0)</f>
        <v>39.362900000000003</v>
      </c>
      <c r="H572" s="17">
        <f>39.3275 * CHOOSE(CONTROL!$C$15, $E$9, 100%, $G$9) + CHOOSE(CONTROL!$C$38, 0.0354, 0)</f>
        <v>39.362900000000003</v>
      </c>
      <c r="I572" s="17">
        <f>39.3291 * CHOOSE(CONTROL!$C$15, $E$9, 100%, $G$9) + CHOOSE(CONTROL!$C$38, 0.0354, 0)</f>
        <v>39.3645</v>
      </c>
      <c r="J572" s="44">
        <f>338.7441</f>
        <v>338.7441</v>
      </c>
    </row>
    <row r="573" spans="1:10" ht="15.75" x14ac:dyDescent="0.25">
      <c r="A573" s="13">
        <v>58379</v>
      </c>
      <c r="B573" s="17">
        <f>42.2396 * CHOOSE(CONTROL!$C$15, $E$9, 100%, $G$9) + CHOOSE(CONTROL!$C$38, 0.034, 0)</f>
        <v>42.273600000000002</v>
      </c>
      <c r="C573" s="17">
        <f>39.6906 * CHOOSE(CONTROL!$C$15, $E$9, 100%, $G$9) + CHOOSE(CONTROL!$C$38, 0.0342, 0)</f>
        <v>39.724800000000002</v>
      </c>
      <c r="D573" s="17">
        <f>39.6828 * CHOOSE(CONTROL!$C$15, $E$9, 100%, $G$9) + CHOOSE(CONTROL!$C$38, 0.0342, 0)</f>
        <v>39.716999999999999</v>
      </c>
      <c r="E573" s="17">
        <f>39.6828 * CHOOSE(CONTROL!$C$15, $E$9, 100%, $G$9) + CHOOSE(CONTROL!$C$38, 0.0342, 0)</f>
        <v>39.716999999999999</v>
      </c>
      <c r="F573" s="45">
        <f>42.2396 * CHOOSE(CONTROL!$C$15, $E$9, 100%, $G$9) + CHOOSE(CONTROL!$C$38, 0.034, 0)</f>
        <v>42.273600000000002</v>
      </c>
      <c r="G573" s="17">
        <f>39.6891 * CHOOSE(CONTROL!$C$15, $E$9, 100%, $G$9) + CHOOSE(CONTROL!$C$38, 0.0342, 0)</f>
        <v>39.723300000000002</v>
      </c>
      <c r="H573" s="17">
        <f>39.6891 * CHOOSE(CONTROL!$C$15, $E$9, 100%, $G$9) + CHOOSE(CONTROL!$C$38, 0.0342, 0)</f>
        <v>39.723300000000002</v>
      </c>
      <c r="I573" s="17">
        <f>39.6906 * CHOOSE(CONTROL!$C$15, $E$9, 100%, $G$9) + CHOOSE(CONTROL!$C$38, 0.0342, 0)</f>
        <v>39.724800000000002</v>
      </c>
      <c r="J573" s="44">
        <f>327.03</f>
        <v>327.02999999999997</v>
      </c>
    </row>
    <row r="574" spans="1:10" ht="15.75" x14ac:dyDescent="0.25">
      <c r="A574" s="13">
        <v>58409</v>
      </c>
      <c r="B574" s="17">
        <f>42.5414 * CHOOSE(CONTROL!$C$15, $E$9, 100%, $G$9) + CHOOSE(CONTROL!$C$38, 0.034, 0)</f>
        <v>42.575400000000002</v>
      </c>
      <c r="C574" s="17">
        <f>39.9923 * CHOOSE(CONTROL!$C$15, $E$9, 100%, $G$9) + CHOOSE(CONTROL!$C$38, 0.0342, 0)</f>
        <v>40.026499999999999</v>
      </c>
      <c r="D574" s="17">
        <f>39.9845 * CHOOSE(CONTROL!$C$15, $E$9, 100%, $G$9) + CHOOSE(CONTROL!$C$38, 0.0342, 0)</f>
        <v>40.018699999999995</v>
      </c>
      <c r="E574" s="17">
        <f>39.9845 * CHOOSE(CONTROL!$C$15, $E$9, 100%, $G$9) + CHOOSE(CONTROL!$C$38, 0.0342, 0)</f>
        <v>40.018699999999995</v>
      </c>
      <c r="F574" s="45">
        <f>42.5414 * CHOOSE(CONTROL!$C$15, $E$9, 100%, $G$9) + CHOOSE(CONTROL!$C$38, 0.034, 0)</f>
        <v>42.575400000000002</v>
      </c>
      <c r="G574" s="17">
        <f>39.9908 * CHOOSE(CONTROL!$C$15, $E$9, 100%, $G$9) + CHOOSE(CONTROL!$C$38, 0.0342, 0)</f>
        <v>40.024999999999999</v>
      </c>
      <c r="H574" s="17">
        <f>39.9908 * CHOOSE(CONTROL!$C$15, $E$9, 100%, $G$9) + CHOOSE(CONTROL!$C$38, 0.0342, 0)</f>
        <v>40.024999999999999</v>
      </c>
      <c r="I574" s="17">
        <f>39.9923 * CHOOSE(CONTROL!$C$15, $E$9, 100%, $G$9) + CHOOSE(CONTROL!$C$38, 0.0342, 0)</f>
        <v>40.026499999999999</v>
      </c>
      <c r="J574" s="44">
        <f>324.6998</f>
        <v>324.69979999999998</v>
      </c>
    </row>
    <row r="575" spans="1:10" ht="15.75" x14ac:dyDescent="0.25">
      <c r="A575" s="13">
        <v>58440</v>
      </c>
      <c r="B575" s="17">
        <f>43.471 * CHOOSE(CONTROL!$C$15, $E$9, 100%, $G$9) + CHOOSE(CONTROL!$C$38, 0.034, 0)</f>
        <v>43.504999999999995</v>
      </c>
      <c r="C575" s="17">
        <f>40.922 * CHOOSE(CONTROL!$C$15, $E$9, 100%, $G$9) + CHOOSE(CONTROL!$C$38, 0.0342, 0)</f>
        <v>40.956199999999995</v>
      </c>
      <c r="D575" s="17">
        <f>40.9142 * CHOOSE(CONTROL!$C$15, $E$9, 100%, $G$9) + CHOOSE(CONTROL!$C$38, 0.0342, 0)</f>
        <v>40.948399999999999</v>
      </c>
      <c r="E575" s="17">
        <f>40.9142 * CHOOSE(CONTROL!$C$15, $E$9, 100%, $G$9) + CHOOSE(CONTROL!$C$38, 0.0342, 0)</f>
        <v>40.948399999999999</v>
      </c>
      <c r="F575" s="45">
        <f>43.471 * CHOOSE(CONTROL!$C$15, $E$9, 100%, $G$9) + CHOOSE(CONTROL!$C$38, 0.034, 0)</f>
        <v>43.504999999999995</v>
      </c>
      <c r="G575" s="17">
        <f>40.9204 * CHOOSE(CONTROL!$C$15, $E$9, 100%, $G$9) + CHOOSE(CONTROL!$C$38, 0.0342, 0)</f>
        <v>40.954599999999999</v>
      </c>
      <c r="H575" s="17">
        <f>40.9204 * CHOOSE(CONTROL!$C$15, $E$9, 100%, $G$9) + CHOOSE(CONTROL!$C$38, 0.0342, 0)</f>
        <v>40.954599999999999</v>
      </c>
      <c r="I575" s="17">
        <f>40.922 * CHOOSE(CONTROL!$C$15, $E$9, 100%, $G$9) + CHOOSE(CONTROL!$C$38, 0.0342, 0)</f>
        <v>40.956199999999995</v>
      </c>
      <c r="J575" s="44">
        <f>315.0643</f>
        <v>315.0643</v>
      </c>
    </row>
    <row r="576" spans="1:10" ht="15.75" x14ac:dyDescent="0.25">
      <c r="A576" s="13">
        <v>58471</v>
      </c>
      <c r="B576" s="17">
        <f>44.9104 * CHOOSE(CONTROL!$C$15, $E$9, 100%, $G$9) + CHOOSE(CONTROL!$C$38, 0.034, 0)</f>
        <v>44.944400000000002</v>
      </c>
      <c r="C576" s="17">
        <f>42.3212 * CHOOSE(CONTROL!$C$15, $E$9, 100%, $G$9) + CHOOSE(CONTROL!$C$38, 0.0342, 0)</f>
        <v>42.355399999999996</v>
      </c>
      <c r="D576" s="17">
        <f>42.3134 * CHOOSE(CONTROL!$C$15, $E$9, 100%, $G$9) + CHOOSE(CONTROL!$C$38, 0.0342, 0)</f>
        <v>42.3476</v>
      </c>
      <c r="E576" s="17">
        <f>42.3134 * CHOOSE(CONTROL!$C$15, $E$9, 100%, $G$9) + CHOOSE(CONTROL!$C$38, 0.0342, 0)</f>
        <v>42.3476</v>
      </c>
      <c r="F576" s="45">
        <f>44.9104 * CHOOSE(CONTROL!$C$15, $E$9, 100%, $G$9) + CHOOSE(CONTROL!$C$38, 0.034, 0)</f>
        <v>44.944400000000002</v>
      </c>
      <c r="G576" s="17">
        <f>42.3196 * CHOOSE(CONTROL!$C$15, $E$9, 100%, $G$9) + CHOOSE(CONTROL!$C$38, 0.0342, 0)</f>
        <v>42.3538</v>
      </c>
      <c r="H576" s="17">
        <f>42.3196 * CHOOSE(CONTROL!$C$15, $E$9, 100%, $G$9) + CHOOSE(CONTROL!$C$38, 0.0342, 0)</f>
        <v>42.3538</v>
      </c>
      <c r="I576" s="17">
        <f>42.3212 * CHOOSE(CONTROL!$C$15, $E$9, 100%, $G$9) + CHOOSE(CONTROL!$C$38, 0.0342, 0)</f>
        <v>42.355399999999996</v>
      </c>
      <c r="J576" s="44">
        <f>314.8368</f>
        <v>314.83679999999998</v>
      </c>
    </row>
    <row r="577" spans="1:10" ht="15.75" x14ac:dyDescent="0.25">
      <c r="A577" s="13">
        <v>58499</v>
      </c>
      <c r="B577" s="17">
        <f>45.2547 * CHOOSE(CONTROL!$C$15, $E$9, 100%, $G$9) + CHOOSE(CONTROL!$C$38, 0.034, 0)</f>
        <v>45.288699999999999</v>
      </c>
      <c r="C577" s="17">
        <f>42.6655 * CHOOSE(CONTROL!$C$15, $E$9, 100%, $G$9) + CHOOSE(CONTROL!$C$38, 0.0342, 0)</f>
        <v>42.6997</v>
      </c>
      <c r="D577" s="17">
        <f>42.6577 * CHOOSE(CONTROL!$C$15, $E$9, 100%, $G$9) + CHOOSE(CONTROL!$C$38, 0.0342, 0)</f>
        <v>42.691899999999997</v>
      </c>
      <c r="E577" s="17">
        <f>42.6577 * CHOOSE(CONTROL!$C$15, $E$9, 100%, $G$9) + CHOOSE(CONTROL!$C$38, 0.0342, 0)</f>
        <v>42.691899999999997</v>
      </c>
      <c r="F577" s="45">
        <f>45.2547 * CHOOSE(CONTROL!$C$15, $E$9, 100%, $G$9) + CHOOSE(CONTROL!$C$38, 0.034, 0)</f>
        <v>45.288699999999999</v>
      </c>
      <c r="G577" s="17">
        <f>42.6639 * CHOOSE(CONTROL!$C$15, $E$9, 100%, $G$9) + CHOOSE(CONTROL!$C$38, 0.0342, 0)</f>
        <v>42.698099999999997</v>
      </c>
      <c r="H577" s="17">
        <f>42.6639 * CHOOSE(CONTROL!$C$15, $E$9, 100%, $G$9) + CHOOSE(CONTROL!$C$38, 0.0342, 0)</f>
        <v>42.698099999999997</v>
      </c>
      <c r="I577" s="17">
        <f>42.6655 * CHOOSE(CONTROL!$C$15, $E$9, 100%, $G$9) + CHOOSE(CONTROL!$C$38, 0.0342, 0)</f>
        <v>42.6997</v>
      </c>
      <c r="J577" s="44">
        <f>313.9617</f>
        <v>313.96170000000001</v>
      </c>
    </row>
    <row r="578" spans="1:10" ht="15.75" x14ac:dyDescent="0.25">
      <c r="A578" s="13">
        <v>58531</v>
      </c>
      <c r="B578" s="17">
        <f>44.4577 * CHOOSE(CONTROL!$C$15, $E$9, 100%, $G$9) + CHOOSE(CONTROL!$C$38, 0.034, 0)</f>
        <v>44.491700000000002</v>
      </c>
      <c r="C578" s="17">
        <f>41.8685 * CHOOSE(CONTROL!$C$15, $E$9, 100%, $G$9) + CHOOSE(CONTROL!$C$38, 0.0342, 0)</f>
        <v>41.902699999999996</v>
      </c>
      <c r="D578" s="17">
        <f>41.8607 * CHOOSE(CONTROL!$C$15, $E$9, 100%, $G$9) + CHOOSE(CONTROL!$C$38, 0.0342, 0)</f>
        <v>41.8949</v>
      </c>
      <c r="E578" s="17">
        <f>41.8607 * CHOOSE(CONTROL!$C$15, $E$9, 100%, $G$9) + CHOOSE(CONTROL!$C$38, 0.0342, 0)</f>
        <v>41.8949</v>
      </c>
      <c r="F578" s="45">
        <f>44.4577 * CHOOSE(CONTROL!$C$15, $E$9, 100%, $G$9) + CHOOSE(CONTROL!$C$38, 0.034, 0)</f>
        <v>44.491700000000002</v>
      </c>
      <c r="G578" s="17">
        <f>41.8669 * CHOOSE(CONTROL!$C$15, $E$9, 100%, $G$9) + CHOOSE(CONTROL!$C$38, 0.0342, 0)</f>
        <v>41.9011</v>
      </c>
      <c r="H578" s="17">
        <f>41.8669 * CHOOSE(CONTROL!$C$15, $E$9, 100%, $G$9) + CHOOSE(CONTROL!$C$38, 0.0342, 0)</f>
        <v>41.9011</v>
      </c>
      <c r="I578" s="17">
        <f>41.8685 * CHOOSE(CONTROL!$C$15, $E$9, 100%, $G$9) + CHOOSE(CONTROL!$C$38, 0.0342, 0)</f>
        <v>41.902699999999996</v>
      </c>
      <c r="J578" s="44">
        <f>330.5093</f>
        <v>330.5093</v>
      </c>
    </row>
    <row r="579" spans="1:10" ht="15.75" x14ac:dyDescent="0.25">
      <c r="A579" s="13">
        <v>58561</v>
      </c>
      <c r="B579" s="17">
        <f>43.6854 * CHOOSE(CONTROL!$C$15, $E$9, 100%, $G$9) + CHOOSE(CONTROL!$C$38, 0.034, 0)</f>
        <v>43.7194</v>
      </c>
      <c r="C579" s="17">
        <f>41.0962 * CHOOSE(CONTROL!$C$15, $E$9, 100%, $G$9) + CHOOSE(CONTROL!$C$38, 0.0342, 0)</f>
        <v>41.130400000000002</v>
      </c>
      <c r="D579" s="17">
        <f>41.0883 * CHOOSE(CONTROL!$C$15, $E$9, 100%, $G$9) + CHOOSE(CONTROL!$C$38, 0.0342, 0)</f>
        <v>41.122499999999995</v>
      </c>
      <c r="E579" s="17">
        <f>41.0883 * CHOOSE(CONTROL!$C$15, $E$9, 100%, $G$9) + CHOOSE(CONTROL!$C$38, 0.0342, 0)</f>
        <v>41.122499999999995</v>
      </c>
      <c r="F579" s="45">
        <f>43.6854 * CHOOSE(CONTROL!$C$15, $E$9, 100%, $G$9) + CHOOSE(CONTROL!$C$38, 0.034, 0)</f>
        <v>43.7194</v>
      </c>
      <c r="G579" s="17">
        <f>41.0946 * CHOOSE(CONTROL!$C$15, $E$9, 100%, $G$9) + CHOOSE(CONTROL!$C$38, 0.0342, 0)</f>
        <v>41.128799999999998</v>
      </c>
      <c r="H579" s="17">
        <f>41.0946 * CHOOSE(CONTROL!$C$15, $E$9, 100%, $G$9) + CHOOSE(CONTROL!$C$38, 0.0342, 0)</f>
        <v>41.128799999999998</v>
      </c>
      <c r="I579" s="17">
        <f>41.0962 * CHOOSE(CONTROL!$C$15, $E$9, 100%, $G$9) + CHOOSE(CONTROL!$C$38, 0.0342, 0)</f>
        <v>41.130400000000002</v>
      </c>
      <c r="J579" s="44">
        <f>351.9676</f>
        <v>351.9676</v>
      </c>
    </row>
    <row r="580" spans="1:10" ht="15.75" x14ac:dyDescent="0.25">
      <c r="A580" s="13">
        <v>58592</v>
      </c>
      <c r="B580" s="17">
        <f>42.8804 * CHOOSE(CONTROL!$C$15, $E$9, 100%, $G$9) + CHOOSE(CONTROL!$C$38, 0.0353, 0)</f>
        <v>42.915700000000001</v>
      </c>
      <c r="C580" s="17">
        <f>40.2912 * CHOOSE(CONTROL!$C$15, $E$9, 100%, $G$9) + CHOOSE(CONTROL!$C$38, 0.0354, 0)</f>
        <v>40.326600000000006</v>
      </c>
      <c r="D580" s="17">
        <f>40.2834 * CHOOSE(CONTROL!$C$15, $E$9, 100%, $G$9) + CHOOSE(CONTROL!$C$38, 0.0354, 0)</f>
        <v>40.318800000000003</v>
      </c>
      <c r="E580" s="17">
        <f>40.2834 * CHOOSE(CONTROL!$C$15, $E$9, 100%, $G$9) + CHOOSE(CONTROL!$C$38, 0.0354, 0)</f>
        <v>40.318800000000003</v>
      </c>
      <c r="F580" s="45">
        <f>42.8804 * CHOOSE(CONTROL!$C$15, $E$9, 100%, $G$9) + CHOOSE(CONTROL!$C$38, 0.0353, 0)</f>
        <v>42.915700000000001</v>
      </c>
      <c r="G580" s="17">
        <f>40.2896 * CHOOSE(CONTROL!$C$15, $E$9, 100%, $G$9) + CHOOSE(CONTROL!$C$38, 0.0354, 0)</f>
        <v>40.325000000000003</v>
      </c>
      <c r="H580" s="17">
        <f>40.2896 * CHOOSE(CONTROL!$C$15, $E$9, 100%, $G$9) + CHOOSE(CONTROL!$C$38, 0.0354, 0)</f>
        <v>40.325000000000003</v>
      </c>
      <c r="I580" s="17">
        <f>40.2912 * CHOOSE(CONTROL!$C$15, $E$9, 100%, $G$9) + CHOOSE(CONTROL!$C$38, 0.0354, 0)</f>
        <v>40.326600000000006</v>
      </c>
      <c r="J580" s="44">
        <f>363.7789</f>
        <v>363.77890000000002</v>
      </c>
    </row>
    <row r="581" spans="1:10" ht="15.75" x14ac:dyDescent="0.25">
      <c r="A581" s="13">
        <v>58622</v>
      </c>
      <c r="B581" s="17">
        <f>42.3161 * CHOOSE(CONTROL!$C$15, $E$9, 100%, $G$9) + CHOOSE(CONTROL!$C$38, 0.0353, 0)</f>
        <v>42.351399999999998</v>
      </c>
      <c r="C581" s="17">
        <f>39.7269 * CHOOSE(CONTROL!$C$15, $E$9, 100%, $G$9) + CHOOSE(CONTROL!$C$38, 0.0354, 0)</f>
        <v>39.762300000000003</v>
      </c>
      <c r="D581" s="17">
        <f>39.719 * CHOOSE(CONTROL!$C$15, $E$9, 100%, $G$9) + CHOOSE(CONTROL!$C$38, 0.0354, 0)</f>
        <v>39.754400000000004</v>
      </c>
      <c r="E581" s="17">
        <f>39.719 * CHOOSE(CONTROL!$C$15, $E$9, 100%, $G$9) + CHOOSE(CONTROL!$C$38, 0.0354, 0)</f>
        <v>39.754400000000004</v>
      </c>
      <c r="F581" s="45">
        <f>42.3161 * CHOOSE(CONTROL!$C$15, $E$9, 100%, $G$9) + CHOOSE(CONTROL!$C$38, 0.0353, 0)</f>
        <v>42.351399999999998</v>
      </c>
      <c r="G581" s="17">
        <f>39.7253 * CHOOSE(CONTROL!$C$15, $E$9, 100%, $G$9) + CHOOSE(CONTROL!$C$38, 0.0354, 0)</f>
        <v>39.7607</v>
      </c>
      <c r="H581" s="17">
        <f>39.7253 * CHOOSE(CONTROL!$C$15, $E$9, 100%, $G$9) + CHOOSE(CONTROL!$C$38, 0.0354, 0)</f>
        <v>39.7607</v>
      </c>
      <c r="I581" s="17">
        <f>39.7269 * CHOOSE(CONTROL!$C$15, $E$9, 100%, $G$9) + CHOOSE(CONTROL!$C$38, 0.0354, 0)</f>
        <v>39.762300000000003</v>
      </c>
      <c r="J581" s="44">
        <f>369.0206</f>
        <v>369.0206</v>
      </c>
    </row>
    <row r="582" spans="1:10" ht="15.75" x14ac:dyDescent="0.25">
      <c r="A582" s="13">
        <v>58653</v>
      </c>
      <c r="B582" s="17">
        <f>41.994 * CHOOSE(CONTROL!$C$15, $E$9, 100%, $G$9) + CHOOSE(CONTROL!$C$38, 0.0353, 0)</f>
        <v>42.029299999999999</v>
      </c>
      <c r="C582" s="17">
        <f>39.4048 * CHOOSE(CONTROL!$C$15, $E$9, 100%, $G$9) + CHOOSE(CONTROL!$C$38, 0.0354, 0)</f>
        <v>39.440200000000004</v>
      </c>
      <c r="D582" s="17">
        <f>39.397 * CHOOSE(CONTROL!$C$15, $E$9, 100%, $G$9) + CHOOSE(CONTROL!$C$38, 0.0354, 0)</f>
        <v>39.432400000000001</v>
      </c>
      <c r="E582" s="17">
        <f>39.397 * CHOOSE(CONTROL!$C$15, $E$9, 100%, $G$9) + CHOOSE(CONTROL!$C$38, 0.0354, 0)</f>
        <v>39.432400000000001</v>
      </c>
      <c r="F582" s="45">
        <f>41.994 * CHOOSE(CONTROL!$C$15, $E$9, 100%, $G$9) + CHOOSE(CONTROL!$C$38, 0.0353, 0)</f>
        <v>42.029299999999999</v>
      </c>
      <c r="G582" s="17">
        <f>39.4032 * CHOOSE(CONTROL!$C$15, $E$9, 100%, $G$9) + CHOOSE(CONTROL!$C$38, 0.0354, 0)</f>
        <v>39.438600000000001</v>
      </c>
      <c r="H582" s="17">
        <f>39.4032 * CHOOSE(CONTROL!$C$15, $E$9, 100%, $G$9) + CHOOSE(CONTROL!$C$38, 0.0354, 0)</f>
        <v>39.438600000000001</v>
      </c>
      <c r="I582" s="17">
        <f>39.4048 * CHOOSE(CONTROL!$C$15, $E$9, 100%, $G$9) + CHOOSE(CONTROL!$C$38, 0.0354, 0)</f>
        <v>39.440200000000004</v>
      </c>
      <c r="J582" s="44">
        <f>367.2948</f>
        <v>367.29480000000001</v>
      </c>
    </row>
    <row r="583" spans="1:10" ht="15.75" x14ac:dyDescent="0.25">
      <c r="A583" s="13">
        <v>58684</v>
      </c>
      <c r="B583" s="17">
        <f>42.153 * CHOOSE(CONTROL!$C$15, $E$9, 100%, $G$9) + CHOOSE(CONTROL!$C$38, 0.0353, 0)</f>
        <v>42.188299999999998</v>
      </c>
      <c r="C583" s="17">
        <f>39.5638 * CHOOSE(CONTROL!$C$15, $E$9, 100%, $G$9) + CHOOSE(CONTROL!$C$38, 0.0354, 0)</f>
        <v>39.599200000000003</v>
      </c>
      <c r="D583" s="17">
        <f>39.5559 * CHOOSE(CONTROL!$C$15, $E$9, 100%, $G$9) + CHOOSE(CONTROL!$C$38, 0.0354, 0)</f>
        <v>39.591300000000004</v>
      </c>
      <c r="E583" s="17">
        <f>39.5559 * CHOOSE(CONTROL!$C$15, $E$9, 100%, $G$9) + CHOOSE(CONTROL!$C$38, 0.0354, 0)</f>
        <v>39.591300000000004</v>
      </c>
      <c r="F583" s="45">
        <f>42.153 * CHOOSE(CONTROL!$C$15, $E$9, 100%, $G$9) + CHOOSE(CONTROL!$C$38, 0.0353, 0)</f>
        <v>42.188299999999998</v>
      </c>
      <c r="G583" s="17">
        <f>39.5622 * CHOOSE(CONTROL!$C$15, $E$9, 100%, $G$9) + CHOOSE(CONTROL!$C$38, 0.0354, 0)</f>
        <v>39.5976</v>
      </c>
      <c r="H583" s="17">
        <f>39.5622 * CHOOSE(CONTROL!$C$15, $E$9, 100%, $G$9) + CHOOSE(CONTROL!$C$38, 0.0354, 0)</f>
        <v>39.5976</v>
      </c>
      <c r="I583" s="17">
        <f>39.5638 * CHOOSE(CONTROL!$C$15, $E$9, 100%, $G$9) + CHOOSE(CONTROL!$C$38, 0.0354, 0)</f>
        <v>39.599200000000003</v>
      </c>
      <c r="J583" s="44">
        <f>358.7443</f>
        <v>358.74430000000001</v>
      </c>
    </row>
    <row r="584" spans="1:10" ht="15.75" x14ac:dyDescent="0.25">
      <c r="A584" s="13">
        <v>58714</v>
      </c>
      <c r="B584" s="17">
        <f>42.5847 * CHOOSE(CONTROL!$C$15, $E$9, 100%, $G$9) + CHOOSE(CONTROL!$C$38, 0.0353, 0)</f>
        <v>42.62</v>
      </c>
      <c r="C584" s="17">
        <f>39.9955 * CHOOSE(CONTROL!$C$15, $E$9, 100%, $G$9) + CHOOSE(CONTROL!$C$38, 0.0354, 0)</f>
        <v>40.030900000000003</v>
      </c>
      <c r="D584" s="17">
        <f>39.9876 * CHOOSE(CONTROL!$C$15, $E$9, 100%, $G$9) + CHOOSE(CONTROL!$C$38, 0.0354, 0)</f>
        <v>40.023000000000003</v>
      </c>
      <c r="E584" s="17">
        <f>39.9876 * CHOOSE(CONTROL!$C$15, $E$9, 100%, $G$9) + CHOOSE(CONTROL!$C$38, 0.0354, 0)</f>
        <v>40.023000000000003</v>
      </c>
      <c r="F584" s="45">
        <f>42.5847 * CHOOSE(CONTROL!$C$15, $E$9, 100%, $G$9) + CHOOSE(CONTROL!$C$38, 0.0353, 0)</f>
        <v>42.62</v>
      </c>
      <c r="G584" s="17">
        <f>39.9939 * CHOOSE(CONTROL!$C$15, $E$9, 100%, $G$9) + CHOOSE(CONTROL!$C$38, 0.0354, 0)</f>
        <v>40.029299999999999</v>
      </c>
      <c r="H584" s="17">
        <f>39.9939 * CHOOSE(CONTROL!$C$15, $E$9, 100%, $G$9) + CHOOSE(CONTROL!$C$38, 0.0354, 0)</f>
        <v>40.029299999999999</v>
      </c>
      <c r="I584" s="17">
        <f>39.9955 * CHOOSE(CONTROL!$C$15, $E$9, 100%, $G$9) + CHOOSE(CONTROL!$C$38, 0.0354, 0)</f>
        <v>40.030900000000003</v>
      </c>
      <c r="J584" s="44">
        <f>346.8203</f>
        <v>346.82029999999997</v>
      </c>
    </row>
    <row r="585" spans="1:10" ht="15.75" x14ac:dyDescent="0.25">
      <c r="A585" s="13">
        <v>58745</v>
      </c>
      <c r="B585" s="17">
        <f>42.9463 * CHOOSE(CONTROL!$C$15, $E$9, 100%, $G$9) + CHOOSE(CONTROL!$C$38, 0.034, 0)</f>
        <v>42.9803</v>
      </c>
      <c r="C585" s="17">
        <f>40.357 * CHOOSE(CONTROL!$C$15, $E$9, 100%, $G$9) + CHOOSE(CONTROL!$C$38, 0.0342, 0)</f>
        <v>40.391199999999998</v>
      </c>
      <c r="D585" s="17">
        <f>40.3492 * CHOOSE(CONTROL!$C$15, $E$9, 100%, $G$9) + CHOOSE(CONTROL!$C$38, 0.0342, 0)</f>
        <v>40.383400000000002</v>
      </c>
      <c r="E585" s="17">
        <f>40.3492 * CHOOSE(CONTROL!$C$15, $E$9, 100%, $G$9) + CHOOSE(CONTROL!$C$38, 0.0342, 0)</f>
        <v>40.383400000000002</v>
      </c>
      <c r="F585" s="45">
        <f>42.9463 * CHOOSE(CONTROL!$C$15, $E$9, 100%, $G$9) + CHOOSE(CONTROL!$C$38, 0.034, 0)</f>
        <v>42.9803</v>
      </c>
      <c r="G585" s="17">
        <f>40.3555 * CHOOSE(CONTROL!$C$15, $E$9, 100%, $G$9) + CHOOSE(CONTROL!$C$38, 0.0342, 0)</f>
        <v>40.389699999999998</v>
      </c>
      <c r="H585" s="17">
        <f>40.3555 * CHOOSE(CONTROL!$C$15, $E$9, 100%, $G$9) + CHOOSE(CONTROL!$C$38, 0.0342, 0)</f>
        <v>40.389699999999998</v>
      </c>
      <c r="I585" s="17">
        <f>40.357 * CHOOSE(CONTROL!$C$15, $E$9, 100%, $G$9) + CHOOSE(CONTROL!$C$38, 0.0342, 0)</f>
        <v>40.391199999999998</v>
      </c>
      <c r="J585" s="44">
        <f>334.8269</f>
        <v>334.82690000000002</v>
      </c>
    </row>
    <row r="586" spans="1:10" ht="15.75" x14ac:dyDescent="0.25">
      <c r="A586" s="13">
        <v>58775</v>
      </c>
      <c r="B586" s="17">
        <f>43.248 * CHOOSE(CONTROL!$C$15, $E$9, 100%, $G$9) + CHOOSE(CONTROL!$C$38, 0.034, 0)</f>
        <v>43.281999999999996</v>
      </c>
      <c r="C586" s="17">
        <f>40.6587 * CHOOSE(CONTROL!$C$15, $E$9, 100%, $G$9) + CHOOSE(CONTROL!$C$38, 0.0342, 0)</f>
        <v>40.692900000000002</v>
      </c>
      <c r="D586" s="17">
        <f>40.6509 * CHOOSE(CONTROL!$C$15, $E$9, 100%, $G$9) + CHOOSE(CONTROL!$C$38, 0.0342, 0)</f>
        <v>40.685099999999998</v>
      </c>
      <c r="E586" s="17">
        <f>40.6509 * CHOOSE(CONTROL!$C$15, $E$9, 100%, $G$9) + CHOOSE(CONTROL!$C$38, 0.0342, 0)</f>
        <v>40.685099999999998</v>
      </c>
      <c r="F586" s="45">
        <f>43.248 * CHOOSE(CONTROL!$C$15, $E$9, 100%, $G$9) + CHOOSE(CONTROL!$C$38, 0.034, 0)</f>
        <v>43.281999999999996</v>
      </c>
      <c r="G586" s="17">
        <f>40.6572 * CHOOSE(CONTROL!$C$15, $E$9, 100%, $G$9) + CHOOSE(CONTROL!$C$38, 0.0342, 0)</f>
        <v>40.691400000000002</v>
      </c>
      <c r="H586" s="17">
        <f>40.6572 * CHOOSE(CONTROL!$C$15, $E$9, 100%, $G$9) + CHOOSE(CONTROL!$C$38, 0.0342, 0)</f>
        <v>40.691400000000002</v>
      </c>
      <c r="I586" s="17">
        <f>40.6587 * CHOOSE(CONTROL!$C$15, $E$9, 100%, $G$9) + CHOOSE(CONTROL!$C$38, 0.0342, 0)</f>
        <v>40.692900000000002</v>
      </c>
      <c r="J586" s="44">
        <f>332.4411</f>
        <v>332.44110000000001</v>
      </c>
    </row>
    <row r="587" spans="1:10" ht="15.75" x14ac:dyDescent="0.25">
      <c r="A587" s="13">
        <v>58806</v>
      </c>
      <c r="B587" s="17">
        <f>44.1776 * CHOOSE(CONTROL!$C$15, $E$9, 100%, $G$9) + CHOOSE(CONTROL!$C$38, 0.034, 0)</f>
        <v>44.211599999999997</v>
      </c>
      <c r="C587" s="17">
        <f>41.5884 * CHOOSE(CONTROL!$C$15, $E$9, 100%, $G$9) + CHOOSE(CONTROL!$C$38, 0.0342, 0)</f>
        <v>41.622599999999998</v>
      </c>
      <c r="D587" s="17">
        <f>41.5806 * CHOOSE(CONTROL!$C$15, $E$9, 100%, $G$9) + CHOOSE(CONTROL!$C$38, 0.0342, 0)</f>
        <v>41.614799999999995</v>
      </c>
      <c r="E587" s="17">
        <f>41.5806 * CHOOSE(CONTROL!$C$15, $E$9, 100%, $G$9) + CHOOSE(CONTROL!$C$38, 0.0342, 0)</f>
        <v>41.614799999999995</v>
      </c>
      <c r="F587" s="45">
        <f>44.1776 * CHOOSE(CONTROL!$C$15, $E$9, 100%, $G$9) + CHOOSE(CONTROL!$C$38, 0.034, 0)</f>
        <v>44.211599999999997</v>
      </c>
      <c r="G587" s="17">
        <f>41.5868 * CHOOSE(CONTROL!$C$15, $E$9, 100%, $G$9) + CHOOSE(CONTROL!$C$38, 0.0342, 0)</f>
        <v>41.620999999999995</v>
      </c>
      <c r="H587" s="17">
        <f>41.5868 * CHOOSE(CONTROL!$C$15, $E$9, 100%, $G$9) + CHOOSE(CONTROL!$C$38, 0.0342, 0)</f>
        <v>41.620999999999995</v>
      </c>
      <c r="I587" s="17">
        <f>41.5884 * CHOOSE(CONTROL!$C$15, $E$9, 100%, $G$9) + CHOOSE(CONTROL!$C$38, 0.0342, 0)</f>
        <v>41.622599999999998</v>
      </c>
      <c r="J587" s="44">
        <f>322.5759</f>
        <v>322.57589999999999</v>
      </c>
    </row>
    <row r="588" spans="1:10" ht="15.75" x14ac:dyDescent="0.25">
      <c r="A588" s="13">
        <v>58837</v>
      </c>
      <c r="B588" s="17">
        <f>45.6289 * CHOOSE(CONTROL!$C$15, $E$9, 100%, $G$9) + CHOOSE(CONTROL!$C$38, 0.034, 0)</f>
        <v>45.6629</v>
      </c>
      <c r="C588" s="17">
        <f>42.9988 * CHOOSE(CONTROL!$C$15, $E$9, 100%, $G$9) + CHOOSE(CONTROL!$C$38, 0.0342, 0)</f>
        <v>43.033000000000001</v>
      </c>
      <c r="D588" s="17">
        <f>42.991 * CHOOSE(CONTROL!$C$15, $E$9, 100%, $G$9) + CHOOSE(CONTROL!$C$38, 0.0342, 0)</f>
        <v>43.025199999999998</v>
      </c>
      <c r="E588" s="17">
        <f>42.991 * CHOOSE(CONTROL!$C$15, $E$9, 100%, $G$9) + CHOOSE(CONTROL!$C$38, 0.0342, 0)</f>
        <v>43.025199999999998</v>
      </c>
      <c r="F588" s="45">
        <f>45.6289 * CHOOSE(CONTROL!$C$15, $E$9, 100%, $G$9) + CHOOSE(CONTROL!$C$38, 0.034, 0)</f>
        <v>45.6629</v>
      </c>
      <c r="G588" s="17">
        <f>42.9972 * CHOOSE(CONTROL!$C$15, $E$9, 100%, $G$9) + CHOOSE(CONTROL!$C$38, 0.0342, 0)</f>
        <v>43.031399999999998</v>
      </c>
      <c r="H588" s="17">
        <f>42.9972 * CHOOSE(CONTROL!$C$15, $E$9, 100%, $G$9) + CHOOSE(CONTROL!$C$38, 0.0342, 0)</f>
        <v>43.031399999999998</v>
      </c>
      <c r="I588" s="17">
        <f>42.9988 * CHOOSE(CONTROL!$C$15, $E$9, 100%, $G$9) + CHOOSE(CONTROL!$C$38, 0.0342, 0)</f>
        <v>43.033000000000001</v>
      </c>
      <c r="J588" s="44">
        <f>322.343</f>
        <v>322.34300000000002</v>
      </c>
    </row>
    <row r="589" spans="1:10" ht="15.75" x14ac:dyDescent="0.25">
      <c r="A589" s="13">
        <v>58865</v>
      </c>
      <c r="B589" s="17">
        <f>45.9732 * CHOOSE(CONTROL!$C$15, $E$9, 100%, $G$9) + CHOOSE(CONTROL!$C$38, 0.034, 0)</f>
        <v>46.007199999999997</v>
      </c>
      <c r="C589" s="17">
        <f>43.3431 * CHOOSE(CONTROL!$C$15, $E$9, 100%, $G$9) + CHOOSE(CONTROL!$C$38, 0.0342, 0)</f>
        <v>43.377299999999998</v>
      </c>
      <c r="D589" s="17">
        <f>43.3353 * CHOOSE(CONTROL!$C$15, $E$9, 100%, $G$9) + CHOOSE(CONTROL!$C$38, 0.0342, 0)</f>
        <v>43.369499999999995</v>
      </c>
      <c r="E589" s="17">
        <f>43.3353 * CHOOSE(CONTROL!$C$15, $E$9, 100%, $G$9) + CHOOSE(CONTROL!$C$38, 0.0342, 0)</f>
        <v>43.369499999999995</v>
      </c>
      <c r="F589" s="45">
        <f>45.9732 * CHOOSE(CONTROL!$C$15, $E$9, 100%, $G$9) + CHOOSE(CONTROL!$C$38, 0.034, 0)</f>
        <v>46.007199999999997</v>
      </c>
      <c r="G589" s="17">
        <f>43.3415 * CHOOSE(CONTROL!$C$15, $E$9, 100%, $G$9) + CHOOSE(CONTROL!$C$38, 0.0342, 0)</f>
        <v>43.375700000000002</v>
      </c>
      <c r="H589" s="17">
        <f>43.3415 * CHOOSE(CONTROL!$C$15, $E$9, 100%, $G$9) + CHOOSE(CONTROL!$C$38, 0.0342, 0)</f>
        <v>43.375700000000002</v>
      </c>
      <c r="I589" s="17">
        <f>43.3431 * CHOOSE(CONTROL!$C$15, $E$9, 100%, $G$9) + CHOOSE(CONTROL!$C$38, 0.0342, 0)</f>
        <v>43.377299999999998</v>
      </c>
      <c r="J589" s="44">
        <f>321.447</f>
        <v>321.447</v>
      </c>
    </row>
    <row r="590" spans="1:10" ht="15.75" x14ac:dyDescent="0.25">
      <c r="A590" s="13">
        <v>58893</v>
      </c>
      <c r="B590" s="17">
        <f>45.1762 * CHOOSE(CONTROL!$C$15, $E$9, 100%, $G$9) + CHOOSE(CONTROL!$C$38, 0.034, 0)</f>
        <v>45.2102</v>
      </c>
      <c r="C590" s="17">
        <f>42.5461 * CHOOSE(CONTROL!$C$15, $E$9, 100%, $G$9) + CHOOSE(CONTROL!$C$38, 0.0342, 0)</f>
        <v>42.580300000000001</v>
      </c>
      <c r="D590" s="17">
        <f>42.5383 * CHOOSE(CONTROL!$C$15, $E$9, 100%, $G$9) + CHOOSE(CONTROL!$C$38, 0.0342, 0)</f>
        <v>42.572499999999998</v>
      </c>
      <c r="E590" s="17">
        <f>42.5383 * CHOOSE(CONTROL!$C$15, $E$9, 100%, $G$9) + CHOOSE(CONTROL!$C$38, 0.0342, 0)</f>
        <v>42.572499999999998</v>
      </c>
      <c r="F590" s="45">
        <f>45.1762 * CHOOSE(CONTROL!$C$15, $E$9, 100%, $G$9) + CHOOSE(CONTROL!$C$38, 0.034, 0)</f>
        <v>45.2102</v>
      </c>
      <c r="G590" s="17">
        <f>42.5445 * CHOOSE(CONTROL!$C$15, $E$9, 100%, $G$9) + CHOOSE(CONTROL!$C$38, 0.0342, 0)</f>
        <v>42.578699999999998</v>
      </c>
      <c r="H590" s="17">
        <f>42.5445 * CHOOSE(CONTROL!$C$15, $E$9, 100%, $G$9) + CHOOSE(CONTROL!$C$38, 0.0342, 0)</f>
        <v>42.578699999999998</v>
      </c>
      <c r="I590" s="17">
        <f>42.5461 * CHOOSE(CONTROL!$C$15, $E$9, 100%, $G$9) + CHOOSE(CONTROL!$C$38, 0.0342, 0)</f>
        <v>42.580300000000001</v>
      </c>
      <c r="J590" s="44">
        <f>338.3891</f>
        <v>338.38909999999998</v>
      </c>
    </row>
    <row r="591" spans="1:10" ht="15.75" x14ac:dyDescent="0.25">
      <c r="A591" s="13">
        <v>58926</v>
      </c>
      <c r="B591" s="17">
        <f>44.4039 * CHOOSE(CONTROL!$C$15, $E$9, 100%, $G$9) + CHOOSE(CONTROL!$C$38, 0.034, 0)</f>
        <v>44.437899999999999</v>
      </c>
      <c r="C591" s="17">
        <f>41.7738 * CHOOSE(CONTROL!$C$15, $E$9, 100%, $G$9) + CHOOSE(CONTROL!$C$38, 0.0342, 0)</f>
        <v>41.808</v>
      </c>
      <c r="D591" s="17">
        <f>41.7659 * CHOOSE(CONTROL!$C$15, $E$9, 100%, $G$9) + CHOOSE(CONTROL!$C$38, 0.0342, 0)</f>
        <v>41.8001</v>
      </c>
      <c r="E591" s="17">
        <f>41.7659 * CHOOSE(CONTROL!$C$15, $E$9, 100%, $G$9) + CHOOSE(CONTROL!$C$38, 0.0342, 0)</f>
        <v>41.8001</v>
      </c>
      <c r="F591" s="45">
        <f>44.4039 * CHOOSE(CONTROL!$C$15, $E$9, 100%, $G$9) + CHOOSE(CONTROL!$C$38, 0.034, 0)</f>
        <v>44.437899999999999</v>
      </c>
      <c r="G591" s="17">
        <f>41.7722 * CHOOSE(CONTROL!$C$15, $E$9, 100%, $G$9) + CHOOSE(CONTROL!$C$38, 0.0342, 0)</f>
        <v>41.806399999999996</v>
      </c>
      <c r="H591" s="17">
        <f>41.7722 * CHOOSE(CONTROL!$C$15, $E$9, 100%, $G$9) + CHOOSE(CONTROL!$C$38, 0.0342, 0)</f>
        <v>41.806399999999996</v>
      </c>
      <c r="I591" s="17">
        <f>41.7738 * CHOOSE(CONTROL!$C$15, $E$9, 100%, $G$9) + CHOOSE(CONTROL!$C$38, 0.0342, 0)</f>
        <v>41.808</v>
      </c>
      <c r="J591" s="44">
        <f>360.359</f>
        <v>360.35899999999998</v>
      </c>
    </row>
    <row r="592" spans="1:10" ht="15.75" x14ac:dyDescent="0.25">
      <c r="A592" s="13">
        <v>58957</v>
      </c>
      <c r="B592" s="17">
        <f>43.5989 * CHOOSE(CONTROL!$C$15, $E$9, 100%, $G$9) + CHOOSE(CONTROL!$C$38, 0.0353, 0)</f>
        <v>43.6342</v>
      </c>
      <c r="C592" s="17">
        <f>40.9688 * CHOOSE(CONTROL!$C$15, $E$9, 100%, $G$9) + CHOOSE(CONTROL!$C$38, 0.0354, 0)</f>
        <v>41.004200000000004</v>
      </c>
      <c r="D592" s="17">
        <f>40.961 * CHOOSE(CONTROL!$C$15, $E$9, 100%, $G$9) + CHOOSE(CONTROL!$C$38, 0.0354, 0)</f>
        <v>40.996400000000001</v>
      </c>
      <c r="E592" s="17">
        <f>40.961 * CHOOSE(CONTROL!$C$15, $E$9, 100%, $G$9) + CHOOSE(CONTROL!$C$38, 0.0354, 0)</f>
        <v>40.996400000000001</v>
      </c>
      <c r="F592" s="45">
        <f>43.5989 * CHOOSE(CONTROL!$C$15, $E$9, 100%, $G$9) + CHOOSE(CONTROL!$C$38, 0.0353, 0)</f>
        <v>43.6342</v>
      </c>
      <c r="G592" s="17">
        <f>40.9672 * CHOOSE(CONTROL!$C$15, $E$9, 100%, $G$9) + CHOOSE(CONTROL!$C$38, 0.0354, 0)</f>
        <v>41.002600000000001</v>
      </c>
      <c r="H592" s="17">
        <f>40.9672 * CHOOSE(CONTROL!$C$15, $E$9, 100%, $G$9) + CHOOSE(CONTROL!$C$38, 0.0354, 0)</f>
        <v>41.002600000000001</v>
      </c>
      <c r="I592" s="17">
        <f>40.9688 * CHOOSE(CONTROL!$C$15, $E$9, 100%, $G$9) + CHOOSE(CONTROL!$C$38, 0.0354, 0)</f>
        <v>41.004200000000004</v>
      </c>
      <c r="J592" s="44">
        <f>372.4519</f>
        <v>372.45190000000002</v>
      </c>
    </row>
    <row r="593" spans="1:11" ht="15.75" x14ac:dyDescent="0.25">
      <c r="A593" s="13">
        <v>58987</v>
      </c>
      <c r="B593" s="17">
        <f>43.0346 * CHOOSE(CONTROL!$C$15, $E$9, 100%, $G$9) + CHOOSE(CONTROL!$C$38, 0.0353, 0)</f>
        <v>43.069899999999997</v>
      </c>
      <c r="C593" s="17">
        <f>40.4045 * CHOOSE(CONTROL!$C$15, $E$9, 100%, $G$9) + CHOOSE(CONTROL!$C$38, 0.0354, 0)</f>
        <v>40.439900000000002</v>
      </c>
      <c r="D593" s="17">
        <f>40.3966 * CHOOSE(CONTROL!$C$15, $E$9, 100%, $G$9) + CHOOSE(CONTROL!$C$38, 0.0354, 0)</f>
        <v>40.432000000000002</v>
      </c>
      <c r="E593" s="17">
        <f>40.3966 * CHOOSE(CONTROL!$C$15, $E$9, 100%, $G$9) + CHOOSE(CONTROL!$C$38, 0.0354, 0)</f>
        <v>40.432000000000002</v>
      </c>
      <c r="F593" s="45">
        <f>43.0346 * CHOOSE(CONTROL!$C$15, $E$9, 100%, $G$9) + CHOOSE(CONTROL!$C$38, 0.0353, 0)</f>
        <v>43.069899999999997</v>
      </c>
      <c r="G593" s="17">
        <f>40.4029 * CHOOSE(CONTROL!$C$15, $E$9, 100%, $G$9) + CHOOSE(CONTROL!$C$38, 0.0354, 0)</f>
        <v>40.438300000000005</v>
      </c>
      <c r="H593" s="17">
        <f>40.4029 * CHOOSE(CONTROL!$C$15, $E$9, 100%, $G$9) + CHOOSE(CONTROL!$C$38, 0.0354, 0)</f>
        <v>40.438300000000005</v>
      </c>
      <c r="I593" s="17">
        <f>40.4045 * CHOOSE(CONTROL!$C$15, $E$9, 100%, $G$9) + CHOOSE(CONTROL!$C$38, 0.0354, 0)</f>
        <v>40.439900000000002</v>
      </c>
      <c r="J593" s="44">
        <f>377.8186</f>
        <v>377.8186</v>
      </c>
    </row>
    <row r="594" spans="1:11" ht="15.75" x14ac:dyDescent="0.25">
      <c r="A594" s="13">
        <v>59018</v>
      </c>
      <c r="B594" s="17">
        <f>42.7125 * CHOOSE(CONTROL!$C$15, $E$9, 100%, $G$9) + CHOOSE(CONTROL!$C$38, 0.0353, 0)</f>
        <v>42.747799999999998</v>
      </c>
      <c r="C594" s="17">
        <f>40.0824 * CHOOSE(CONTROL!$C$15, $E$9, 100%, $G$9) + CHOOSE(CONTROL!$C$38, 0.0354, 0)</f>
        <v>40.117800000000003</v>
      </c>
      <c r="D594" s="17">
        <f>40.0746 * CHOOSE(CONTROL!$C$15, $E$9, 100%, $G$9) + CHOOSE(CONTROL!$C$38, 0.0354, 0)</f>
        <v>40.11</v>
      </c>
      <c r="E594" s="17">
        <f>40.0746 * CHOOSE(CONTROL!$C$15, $E$9, 100%, $G$9) + CHOOSE(CONTROL!$C$38, 0.0354, 0)</f>
        <v>40.11</v>
      </c>
      <c r="F594" s="45">
        <f>42.7125 * CHOOSE(CONTROL!$C$15, $E$9, 100%, $G$9) + CHOOSE(CONTROL!$C$38, 0.0353, 0)</f>
        <v>42.747799999999998</v>
      </c>
      <c r="G594" s="17">
        <f>40.0808 * CHOOSE(CONTROL!$C$15, $E$9, 100%, $G$9) + CHOOSE(CONTROL!$C$38, 0.0354, 0)</f>
        <v>40.116200000000006</v>
      </c>
      <c r="H594" s="17">
        <f>40.0808 * CHOOSE(CONTROL!$C$15, $E$9, 100%, $G$9) + CHOOSE(CONTROL!$C$38, 0.0354, 0)</f>
        <v>40.116200000000006</v>
      </c>
      <c r="I594" s="17">
        <f>40.0824 * CHOOSE(CONTROL!$C$15, $E$9, 100%, $G$9) + CHOOSE(CONTROL!$C$38, 0.0354, 0)</f>
        <v>40.117800000000003</v>
      </c>
      <c r="J594" s="44">
        <f>376.0516</f>
        <v>376.05160000000001</v>
      </c>
    </row>
    <row r="595" spans="1:11" ht="15.75" x14ac:dyDescent="0.25">
      <c r="A595" s="13">
        <v>59049</v>
      </c>
      <c r="B595" s="17">
        <f>42.8714 * CHOOSE(CONTROL!$C$15, $E$9, 100%, $G$9) + CHOOSE(CONTROL!$C$38, 0.0353, 0)</f>
        <v>42.906700000000001</v>
      </c>
      <c r="C595" s="17">
        <f>40.2414 * CHOOSE(CONTROL!$C$15, $E$9, 100%, $G$9) + CHOOSE(CONTROL!$C$38, 0.0354, 0)</f>
        <v>40.276800000000001</v>
      </c>
      <c r="D595" s="17">
        <f>40.2335 * CHOOSE(CONTROL!$C$15, $E$9, 100%, $G$9) + CHOOSE(CONTROL!$C$38, 0.0354, 0)</f>
        <v>40.268900000000002</v>
      </c>
      <c r="E595" s="17">
        <f>40.2335 * CHOOSE(CONTROL!$C$15, $E$9, 100%, $G$9) + CHOOSE(CONTROL!$C$38, 0.0354, 0)</f>
        <v>40.268900000000002</v>
      </c>
      <c r="F595" s="45">
        <f>42.8714 * CHOOSE(CONTROL!$C$15, $E$9, 100%, $G$9) + CHOOSE(CONTROL!$C$38, 0.0353, 0)</f>
        <v>42.906700000000001</v>
      </c>
      <c r="G595" s="17">
        <f>40.2398 * CHOOSE(CONTROL!$C$15, $E$9, 100%, $G$9) + CHOOSE(CONTROL!$C$38, 0.0354, 0)</f>
        <v>40.275200000000005</v>
      </c>
      <c r="H595" s="17">
        <f>40.2398 * CHOOSE(CONTROL!$C$15, $E$9, 100%, $G$9) + CHOOSE(CONTROL!$C$38, 0.0354, 0)</f>
        <v>40.275200000000005</v>
      </c>
      <c r="I595" s="17">
        <f>40.2414 * CHOOSE(CONTROL!$C$15, $E$9, 100%, $G$9) + CHOOSE(CONTROL!$C$38, 0.0354, 0)</f>
        <v>40.276800000000001</v>
      </c>
      <c r="J595" s="44">
        <f>367.2973</f>
        <v>367.29730000000001</v>
      </c>
    </row>
    <row r="596" spans="1:11" ht="15.75" x14ac:dyDescent="0.25">
      <c r="A596" s="13">
        <v>59079</v>
      </c>
      <c r="B596" s="17">
        <f>43.3032 * CHOOSE(CONTROL!$C$15, $E$9, 100%, $G$9) + CHOOSE(CONTROL!$C$38, 0.0353, 0)</f>
        <v>43.338499999999996</v>
      </c>
      <c r="C596" s="17">
        <f>40.6731 * CHOOSE(CONTROL!$C$15, $E$9, 100%, $G$9) + CHOOSE(CONTROL!$C$38, 0.0354, 0)</f>
        <v>40.708500000000001</v>
      </c>
      <c r="D596" s="17">
        <f>40.6652 * CHOOSE(CONTROL!$C$15, $E$9, 100%, $G$9) + CHOOSE(CONTROL!$C$38, 0.0354, 0)</f>
        <v>40.700600000000001</v>
      </c>
      <c r="E596" s="17">
        <f>40.6652 * CHOOSE(CONTROL!$C$15, $E$9, 100%, $G$9) + CHOOSE(CONTROL!$C$38, 0.0354, 0)</f>
        <v>40.700600000000001</v>
      </c>
      <c r="F596" s="45">
        <f>43.3032 * CHOOSE(CONTROL!$C$15, $E$9, 100%, $G$9) + CHOOSE(CONTROL!$C$38, 0.0353, 0)</f>
        <v>43.338499999999996</v>
      </c>
      <c r="G596" s="17">
        <f>40.6715 * CHOOSE(CONTROL!$C$15, $E$9, 100%, $G$9) + CHOOSE(CONTROL!$C$38, 0.0354, 0)</f>
        <v>40.706900000000005</v>
      </c>
      <c r="H596" s="17">
        <f>40.6715 * CHOOSE(CONTROL!$C$15, $E$9, 100%, $G$9) + CHOOSE(CONTROL!$C$38, 0.0354, 0)</f>
        <v>40.706900000000005</v>
      </c>
      <c r="I596" s="17">
        <f>40.6731 * CHOOSE(CONTROL!$C$15, $E$9, 100%, $G$9) + CHOOSE(CONTROL!$C$38, 0.0354, 0)</f>
        <v>40.708500000000001</v>
      </c>
      <c r="J596" s="44">
        <f>355.089</f>
        <v>355.089</v>
      </c>
    </row>
    <row r="597" spans="1:11" ht="15.75" x14ac:dyDescent="0.25">
      <c r="A597" s="13">
        <v>59110</v>
      </c>
      <c r="B597" s="17">
        <f>43.6647 * CHOOSE(CONTROL!$C$15, $E$9, 100%, $G$9) + CHOOSE(CONTROL!$C$38, 0.034, 0)</f>
        <v>43.698700000000002</v>
      </c>
      <c r="C597" s="17">
        <f>41.0346 * CHOOSE(CONTROL!$C$15, $E$9, 100%, $G$9) + CHOOSE(CONTROL!$C$38, 0.0342, 0)</f>
        <v>41.068799999999996</v>
      </c>
      <c r="D597" s="17">
        <f>41.0268 * CHOOSE(CONTROL!$C$15, $E$9, 100%, $G$9) + CHOOSE(CONTROL!$C$38, 0.0342, 0)</f>
        <v>41.061</v>
      </c>
      <c r="E597" s="17">
        <f>41.0268 * CHOOSE(CONTROL!$C$15, $E$9, 100%, $G$9) + CHOOSE(CONTROL!$C$38, 0.0342, 0)</f>
        <v>41.061</v>
      </c>
      <c r="F597" s="45">
        <f>43.6647 * CHOOSE(CONTROL!$C$15, $E$9, 100%, $G$9) + CHOOSE(CONTROL!$C$38, 0.034, 0)</f>
        <v>43.698700000000002</v>
      </c>
      <c r="G597" s="17">
        <f>41.0331 * CHOOSE(CONTROL!$C$15, $E$9, 100%, $G$9) + CHOOSE(CONTROL!$C$38, 0.0342, 0)</f>
        <v>41.067299999999996</v>
      </c>
      <c r="H597" s="17">
        <f>41.0331 * CHOOSE(CONTROL!$C$15, $E$9, 100%, $G$9) + CHOOSE(CONTROL!$C$38, 0.0342, 0)</f>
        <v>41.067299999999996</v>
      </c>
      <c r="I597" s="17">
        <f>41.0346 * CHOOSE(CONTROL!$C$15, $E$9, 100%, $G$9) + CHOOSE(CONTROL!$C$38, 0.0342, 0)</f>
        <v>41.068799999999996</v>
      </c>
      <c r="J597" s="44">
        <f>342.8096</f>
        <v>342.80959999999999</v>
      </c>
    </row>
    <row r="598" spans="1:11" ht="15.75" x14ac:dyDescent="0.25">
      <c r="A598" s="13">
        <v>59140</v>
      </c>
      <c r="B598" s="17">
        <f>43.9664 * CHOOSE(CONTROL!$C$15, $E$9, 100%, $G$9) + CHOOSE(CONTROL!$C$38, 0.034, 0)</f>
        <v>44.000399999999999</v>
      </c>
      <c r="C598" s="17">
        <f>41.3363 * CHOOSE(CONTROL!$C$15, $E$9, 100%, $G$9) + CHOOSE(CONTROL!$C$38, 0.0342, 0)</f>
        <v>41.3705</v>
      </c>
      <c r="D598" s="17">
        <f>41.3285 * CHOOSE(CONTROL!$C$15, $E$9, 100%, $G$9) + CHOOSE(CONTROL!$C$38, 0.0342, 0)</f>
        <v>41.362699999999997</v>
      </c>
      <c r="E598" s="17">
        <f>41.3285 * CHOOSE(CONTROL!$C$15, $E$9, 100%, $G$9) + CHOOSE(CONTROL!$C$38, 0.0342, 0)</f>
        <v>41.362699999999997</v>
      </c>
      <c r="F598" s="45">
        <f>43.9664 * CHOOSE(CONTROL!$C$15, $E$9, 100%, $G$9) + CHOOSE(CONTROL!$C$38, 0.034, 0)</f>
        <v>44.000399999999999</v>
      </c>
      <c r="G598" s="17">
        <f>41.3348 * CHOOSE(CONTROL!$C$15, $E$9, 100%, $G$9) + CHOOSE(CONTROL!$C$38, 0.0342, 0)</f>
        <v>41.369</v>
      </c>
      <c r="H598" s="17">
        <f>41.3348 * CHOOSE(CONTROL!$C$15, $E$9, 100%, $G$9) + CHOOSE(CONTROL!$C$38, 0.0342, 0)</f>
        <v>41.369</v>
      </c>
      <c r="I598" s="17">
        <f>41.3363 * CHOOSE(CONTROL!$C$15, $E$9, 100%, $G$9) + CHOOSE(CONTROL!$C$38, 0.0342, 0)</f>
        <v>41.3705</v>
      </c>
      <c r="J598" s="44">
        <f>340.367</f>
        <v>340.36700000000002</v>
      </c>
    </row>
    <row r="599" spans="1:11" ht="15.75" x14ac:dyDescent="0.25">
      <c r="A599" s="13">
        <v>59171</v>
      </c>
      <c r="B599" s="17">
        <f>44.8961 * CHOOSE(CONTROL!$C$15, $E$9, 100%, $G$9) + CHOOSE(CONTROL!$C$38, 0.034, 0)</f>
        <v>44.930099999999996</v>
      </c>
      <c r="C599" s="17">
        <f>42.266 * CHOOSE(CONTROL!$C$15, $E$9, 100%, $G$9) + CHOOSE(CONTROL!$C$38, 0.0342, 0)</f>
        <v>42.300199999999997</v>
      </c>
      <c r="D599" s="17">
        <f>42.2582 * CHOOSE(CONTROL!$C$15, $E$9, 100%, $G$9) + CHOOSE(CONTROL!$C$38, 0.0342, 0)</f>
        <v>42.292400000000001</v>
      </c>
      <c r="E599" s="17">
        <f>42.2582 * CHOOSE(CONTROL!$C$15, $E$9, 100%, $G$9) + CHOOSE(CONTROL!$C$38, 0.0342, 0)</f>
        <v>42.292400000000001</v>
      </c>
      <c r="F599" s="45">
        <f>44.8961 * CHOOSE(CONTROL!$C$15, $E$9, 100%, $G$9) + CHOOSE(CONTROL!$C$38, 0.034, 0)</f>
        <v>44.930099999999996</v>
      </c>
      <c r="G599" s="17">
        <f>42.2644 * CHOOSE(CONTROL!$C$15, $E$9, 100%, $G$9) + CHOOSE(CONTROL!$C$38, 0.0342, 0)</f>
        <v>42.2986</v>
      </c>
      <c r="H599" s="17">
        <f>42.2644 * CHOOSE(CONTROL!$C$15, $E$9, 100%, $G$9) + CHOOSE(CONTROL!$C$38, 0.0342, 0)</f>
        <v>42.2986</v>
      </c>
      <c r="I599" s="17">
        <f>42.266 * CHOOSE(CONTROL!$C$15, $E$9, 100%, $G$9) + CHOOSE(CONTROL!$C$38, 0.0342, 0)</f>
        <v>42.300199999999997</v>
      </c>
      <c r="J599" s="44">
        <f>330.2666</f>
        <v>330.26659999999998</v>
      </c>
    </row>
    <row r="600" spans="1:11" ht="15" x14ac:dyDescent="0.2">
      <c r="A600" s="12"/>
      <c r="B600" s="17"/>
      <c r="C600" s="17"/>
      <c r="D600" s="17"/>
      <c r="E600" s="17"/>
      <c r="F600" s="17"/>
      <c r="G600" s="17"/>
      <c r="H600" s="17"/>
      <c r="I600" s="17"/>
    </row>
    <row r="601" spans="1:11" ht="15" x14ac:dyDescent="0.2">
      <c r="A601" s="11">
        <v>2013</v>
      </c>
      <c r="B601" s="17">
        <f t="shared" ref="B601:J601" si="0">AVERAGE(B12:B23)</f>
        <v>16.898964558984311</v>
      </c>
      <c r="C601" s="17">
        <f t="shared" si="0"/>
        <v>16.014609987231712</v>
      </c>
      <c r="D601" s="17">
        <f t="shared" si="0"/>
        <v>16.006806862231702</v>
      </c>
      <c r="E601" s="17">
        <f t="shared" si="0"/>
        <v>16.006806862231702</v>
      </c>
      <c r="F601" s="17">
        <f t="shared" si="0"/>
        <v>16.637183945565049</v>
      </c>
      <c r="G601" s="17">
        <f t="shared" si="0"/>
        <v>16.013061028898381</v>
      </c>
      <c r="H601" s="17">
        <f t="shared" si="0"/>
        <v>16.013061028898381</v>
      </c>
      <c r="I601" s="17">
        <f t="shared" si="0"/>
        <v>16.014609987231712</v>
      </c>
      <c r="J601" s="17">
        <f t="shared" si="0"/>
        <v>91.620833333333337</v>
      </c>
      <c r="K601" s="17"/>
    </row>
    <row r="602" spans="1:11" ht="15" x14ac:dyDescent="0.2">
      <c r="A602" s="11">
        <v>2014</v>
      </c>
      <c r="B602" s="17">
        <f t="shared" ref="B602:J602" si="1">AVERAGE(B24:B35)</f>
        <v>16.093941666666666</v>
      </c>
      <c r="C602" s="17">
        <f t="shared" si="1"/>
        <v>15.253499999999997</v>
      </c>
      <c r="D602" s="17">
        <f t="shared" si="1"/>
        <v>15.245600000000003</v>
      </c>
      <c r="E602" s="17">
        <f t="shared" si="1"/>
        <v>15.245600000000003</v>
      </c>
      <c r="F602" s="17">
        <f t="shared" si="1"/>
        <v>16.093941666666666</v>
      </c>
      <c r="G602" s="17">
        <f t="shared" si="1"/>
        <v>15.251899999999997</v>
      </c>
      <c r="H602" s="17">
        <f t="shared" si="1"/>
        <v>15.251899999999997</v>
      </c>
      <c r="I602" s="17">
        <f t="shared" si="1"/>
        <v>15.253499999999997</v>
      </c>
      <c r="J602" s="17">
        <f t="shared" si="1"/>
        <v>89.29</v>
      </c>
      <c r="K602" s="17"/>
    </row>
    <row r="603" spans="1:11" ht="15" x14ac:dyDescent="0.2">
      <c r="A603" s="11">
        <v>2015</v>
      </c>
      <c r="B603" s="17">
        <f t="shared" ref="B603:J603" si="2">AVERAGE(B36:B47)</f>
        <v>15.836541666666669</v>
      </c>
      <c r="C603" s="17">
        <f t="shared" si="2"/>
        <v>15.002541666666664</v>
      </c>
      <c r="D603" s="17">
        <f t="shared" si="2"/>
        <v>14.994716666666667</v>
      </c>
      <c r="E603" s="17">
        <f t="shared" si="2"/>
        <v>14.994716666666667</v>
      </c>
      <c r="F603" s="17">
        <f t="shared" si="2"/>
        <v>15.836541666666669</v>
      </c>
      <c r="G603" s="17">
        <f t="shared" si="2"/>
        <v>15.00098333333333</v>
      </c>
      <c r="H603" s="17">
        <f t="shared" si="2"/>
        <v>15.00098333333333</v>
      </c>
      <c r="I603" s="17">
        <f t="shared" si="2"/>
        <v>15.002541666666664</v>
      </c>
      <c r="J603" s="17">
        <f t="shared" si="2"/>
        <v>86.892499999999998</v>
      </c>
      <c r="K603" s="17"/>
    </row>
    <row r="604" spans="1:11" ht="15" x14ac:dyDescent="0.2">
      <c r="A604" s="11">
        <v>2016</v>
      </c>
      <c r="B604" s="17">
        <f t="shared" ref="B604:J604" si="3">AVERAGE(B48:B59)</f>
        <v>16.113699999999998</v>
      </c>
      <c r="C604" s="17">
        <f t="shared" si="3"/>
        <v>15.408041666666664</v>
      </c>
      <c r="D604" s="17">
        <f t="shared" si="3"/>
        <v>15.400233333333334</v>
      </c>
      <c r="E604" s="17">
        <f t="shared" si="3"/>
        <v>15.400233333333334</v>
      </c>
      <c r="F604" s="17">
        <f t="shared" si="3"/>
        <v>16.113699999999998</v>
      </c>
      <c r="G604" s="17">
        <f t="shared" si="3"/>
        <v>15.406483333333332</v>
      </c>
      <c r="H604" s="17">
        <f t="shared" si="3"/>
        <v>15.406483333333332</v>
      </c>
      <c r="I604" s="17">
        <f t="shared" si="3"/>
        <v>15.408041666666664</v>
      </c>
      <c r="J604" s="17">
        <f t="shared" si="3"/>
        <v>95.609441666666655</v>
      </c>
      <c r="K604" s="17"/>
    </row>
    <row r="605" spans="1:11" ht="15" x14ac:dyDescent="0.2">
      <c r="A605" s="11">
        <v>2017</v>
      </c>
      <c r="B605" s="17">
        <f t="shared" ref="B605:J605" si="4">AVERAGE(B60:B71)</f>
        <v>16.199633333333335</v>
      </c>
      <c r="C605" s="17">
        <f t="shared" si="4"/>
        <v>15.507075</v>
      </c>
      <c r="D605" s="17">
        <f t="shared" si="4"/>
        <v>15.499266666666665</v>
      </c>
      <c r="E605" s="17">
        <f t="shared" si="4"/>
        <v>15.499266666666665</v>
      </c>
      <c r="F605" s="17">
        <f t="shared" si="4"/>
        <v>16.199633333333335</v>
      </c>
      <c r="G605" s="17">
        <f t="shared" si="4"/>
        <v>15.5055</v>
      </c>
      <c r="H605" s="17">
        <f t="shared" si="4"/>
        <v>15.5055</v>
      </c>
      <c r="I605" s="17">
        <f t="shared" si="4"/>
        <v>15.507075</v>
      </c>
      <c r="J605" s="17">
        <f t="shared" si="4"/>
        <v>96.390675000000002</v>
      </c>
      <c r="K605" s="17"/>
    </row>
    <row r="606" spans="1:11" ht="15" x14ac:dyDescent="0.2">
      <c r="A606" s="11">
        <v>2018</v>
      </c>
      <c r="B606" s="17">
        <f t="shared" ref="B606:J606" si="5">AVERAGE(B72:B83)</f>
        <v>17.326508333333329</v>
      </c>
      <c r="C606" s="17">
        <f t="shared" si="5"/>
        <v>16.788141666666665</v>
      </c>
      <c r="D606" s="17">
        <f t="shared" si="5"/>
        <v>16.780333333333328</v>
      </c>
      <c r="E606" s="17">
        <f t="shared" si="5"/>
        <v>16.780333333333328</v>
      </c>
      <c r="F606" s="17">
        <f t="shared" si="5"/>
        <v>17.326508333333329</v>
      </c>
      <c r="G606" s="17">
        <f t="shared" si="5"/>
        <v>16.786616666666664</v>
      </c>
      <c r="H606" s="17">
        <f t="shared" si="5"/>
        <v>16.786616666666664</v>
      </c>
      <c r="I606" s="17">
        <f t="shared" si="5"/>
        <v>16.788141666666665</v>
      </c>
      <c r="J606" s="17">
        <f t="shared" si="5"/>
        <v>110.98133333333332</v>
      </c>
      <c r="K606" s="17"/>
    </row>
    <row r="607" spans="1:11" ht="15" x14ac:dyDescent="0.2">
      <c r="A607" s="11">
        <v>2019</v>
      </c>
      <c r="B607" s="17">
        <f t="shared" ref="B607:J607" si="6">AVERAGE(B84:B95)</f>
        <v>17.782616666666666</v>
      </c>
      <c r="C607" s="17">
        <f t="shared" si="6"/>
        <v>17.222433333333331</v>
      </c>
      <c r="D607" s="17">
        <f t="shared" si="6"/>
        <v>17.214608333333334</v>
      </c>
      <c r="E607" s="17">
        <f t="shared" si="6"/>
        <v>17.214608333333334</v>
      </c>
      <c r="F607" s="17">
        <f t="shared" si="6"/>
        <v>17.782616666666666</v>
      </c>
      <c r="G607" s="17">
        <f t="shared" si="6"/>
        <v>17.220850000000002</v>
      </c>
      <c r="H607" s="17">
        <f t="shared" si="6"/>
        <v>17.220850000000002</v>
      </c>
      <c r="I607" s="17">
        <f t="shared" si="6"/>
        <v>17.222433333333331</v>
      </c>
      <c r="J607" s="17">
        <f t="shared" si="6"/>
        <v>113.54180833333335</v>
      </c>
      <c r="K607" s="17"/>
    </row>
    <row r="608" spans="1:11" ht="15" x14ac:dyDescent="0.2">
      <c r="A608" s="11">
        <v>2020</v>
      </c>
      <c r="B608" s="17">
        <f t="shared" ref="B608:J608" si="7">AVERAGE(B96:B107)</f>
        <v>18.357908333333334</v>
      </c>
      <c r="C608" s="17">
        <f t="shared" si="7"/>
        <v>17.652108333333334</v>
      </c>
      <c r="D608" s="17">
        <f t="shared" si="7"/>
        <v>17.644291666666668</v>
      </c>
      <c r="E608" s="17">
        <f t="shared" si="7"/>
        <v>17.644291666666668</v>
      </c>
      <c r="F608" s="17">
        <f t="shared" si="7"/>
        <v>18.357908333333334</v>
      </c>
      <c r="G608" s="17">
        <f t="shared" si="7"/>
        <v>17.650549999999999</v>
      </c>
      <c r="H608" s="17">
        <f t="shared" si="7"/>
        <v>17.650549999999999</v>
      </c>
      <c r="I608" s="17">
        <f t="shared" si="7"/>
        <v>17.652108333333334</v>
      </c>
      <c r="J608" s="17">
        <f t="shared" si="7"/>
        <v>116.10022500000001</v>
      </c>
      <c r="K608" s="17"/>
    </row>
    <row r="609" spans="1:11" ht="15" x14ac:dyDescent="0.2">
      <c r="A609" s="11">
        <v>2021</v>
      </c>
      <c r="B609" s="17">
        <f t="shared" ref="B609:J609" si="8">AVERAGE(B108:B119)</f>
        <v>19.431458333333335</v>
      </c>
      <c r="C609" s="17">
        <f t="shared" si="8"/>
        <v>18.363033333333334</v>
      </c>
      <c r="D609" s="17">
        <f t="shared" si="8"/>
        <v>18.355208333333334</v>
      </c>
      <c r="E609" s="17">
        <f t="shared" si="8"/>
        <v>18.355208333333334</v>
      </c>
      <c r="F609" s="17">
        <f t="shared" si="8"/>
        <v>19.431458333333335</v>
      </c>
      <c r="G609" s="17">
        <f t="shared" si="8"/>
        <v>18.361458333333328</v>
      </c>
      <c r="H609" s="17">
        <f t="shared" si="8"/>
        <v>18.361458333333328</v>
      </c>
      <c r="I609" s="17">
        <f t="shared" si="8"/>
        <v>18.363033333333334</v>
      </c>
      <c r="J609" s="17">
        <f t="shared" si="8"/>
        <v>122.03735833333333</v>
      </c>
      <c r="K609" s="17"/>
    </row>
    <row r="610" spans="1:11" ht="15" x14ac:dyDescent="0.2">
      <c r="A610" s="11">
        <v>2022</v>
      </c>
      <c r="B610" s="17">
        <f t="shared" ref="B610:J610" si="9">AVERAGE(B120:B131)</f>
        <v>20.271999999999998</v>
      </c>
      <c r="C610" s="17">
        <f t="shared" si="9"/>
        <v>19.193733333333334</v>
      </c>
      <c r="D610" s="17">
        <f t="shared" si="9"/>
        <v>19.185908333333334</v>
      </c>
      <c r="E610" s="17">
        <f t="shared" si="9"/>
        <v>19.185908333333334</v>
      </c>
      <c r="F610" s="17">
        <f t="shared" si="9"/>
        <v>20.271999999999998</v>
      </c>
      <c r="G610" s="17">
        <f t="shared" si="9"/>
        <v>19.192166666666665</v>
      </c>
      <c r="H610" s="17">
        <f t="shared" si="9"/>
        <v>19.192166666666665</v>
      </c>
      <c r="I610" s="17">
        <f t="shared" si="9"/>
        <v>19.193733333333334</v>
      </c>
      <c r="J610" s="17">
        <f t="shared" si="9"/>
        <v>128.27124999999998</v>
      </c>
      <c r="K610" s="17"/>
    </row>
    <row r="611" spans="1:11" ht="15" x14ac:dyDescent="0.2">
      <c r="A611" s="11">
        <v>2023</v>
      </c>
      <c r="B611" s="17">
        <f t="shared" ref="B611:J611" si="10">AVERAGE(B132:B143)</f>
        <v>21.372633333333336</v>
      </c>
      <c r="C611" s="17">
        <f t="shared" si="10"/>
        <v>20.145900000000001</v>
      </c>
      <c r="D611" s="17">
        <f t="shared" si="10"/>
        <v>20.138083333333331</v>
      </c>
      <c r="E611" s="17">
        <f t="shared" si="10"/>
        <v>20.138083333333331</v>
      </c>
      <c r="F611" s="17">
        <f t="shared" si="10"/>
        <v>21.372633333333336</v>
      </c>
      <c r="G611" s="17">
        <f t="shared" si="10"/>
        <v>20.144358333333336</v>
      </c>
      <c r="H611" s="17">
        <f t="shared" si="10"/>
        <v>20.144358333333336</v>
      </c>
      <c r="I611" s="17">
        <f t="shared" si="10"/>
        <v>20.145900000000001</v>
      </c>
      <c r="J611" s="17">
        <f t="shared" si="10"/>
        <v>134.81665833333332</v>
      </c>
      <c r="K611" s="17"/>
    </row>
    <row r="612" spans="1:11" ht="15" x14ac:dyDescent="0.2">
      <c r="A612" s="11">
        <v>2024</v>
      </c>
      <c r="B612" s="17">
        <f t="shared" ref="B612:J612" si="11">AVERAGE(B144:B155)</f>
        <v>22.509874999999997</v>
      </c>
      <c r="C612" s="17">
        <f t="shared" si="11"/>
        <v>21.108574999999998</v>
      </c>
      <c r="D612" s="17">
        <f t="shared" si="11"/>
        <v>21.100749999999998</v>
      </c>
      <c r="E612" s="17">
        <f t="shared" si="11"/>
        <v>21.100749999999998</v>
      </c>
      <c r="F612" s="17">
        <f t="shared" si="11"/>
        <v>22.509874999999997</v>
      </c>
      <c r="G612" s="17">
        <f t="shared" si="11"/>
        <v>21.107024999999997</v>
      </c>
      <c r="H612" s="17">
        <f t="shared" si="11"/>
        <v>21.107024999999997</v>
      </c>
      <c r="I612" s="17">
        <f t="shared" si="11"/>
        <v>21.108574999999998</v>
      </c>
      <c r="J612" s="17">
        <f t="shared" si="11"/>
        <v>141.68893333333332</v>
      </c>
      <c r="K612" s="17"/>
    </row>
    <row r="613" spans="1:11" ht="15" x14ac:dyDescent="0.2">
      <c r="A613" s="11">
        <v>2025</v>
      </c>
      <c r="B613" s="17">
        <f t="shared" ref="B613:J613" si="12">AVERAGE(B156:B167)</f>
        <v>23.653208333333328</v>
      </c>
      <c r="C613" s="17">
        <f t="shared" si="12"/>
        <v>22.083708333333334</v>
      </c>
      <c r="D613" s="17">
        <f t="shared" si="12"/>
        <v>22.075908333333334</v>
      </c>
      <c r="E613" s="17">
        <f t="shared" si="12"/>
        <v>22.075908333333334</v>
      </c>
      <c r="F613" s="17">
        <f t="shared" si="12"/>
        <v>23.653208333333328</v>
      </c>
      <c r="G613" s="17">
        <f t="shared" si="12"/>
        <v>22.082133333333331</v>
      </c>
      <c r="H613" s="17">
        <f t="shared" si="12"/>
        <v>22.082133333333331</v>
      </c>
      <c r="I613" s="17">
        <f t="shared" si="12"/>
        <v>22.083708333333334</v>
      </c>
      <c r="J613" s="17">
        <f t="shared" si="12"/>
        <v>148.90432500000003</v>
      </c>
      <c r="K613" s="17"/>
    </row>
    <row r="614" spans="1:11" ht="15" x14ac:dyDescent="0.2">
      <c r="A614" s="11">
        <v>2026</v>
      </c>
      <c r="B614" s="17">
        <f t="shared" ref="B614:J614" si="13">AVERAGE(B168:B179)</f>
        <v>24.195741666666667</v>
      </c>
      <c r="C614" s="17">
        <f t="shared" si="13"/>
        <v>22.613241666666667</v>
      </c>
      <c r="D614" s="17">
        <f t="shared" si="13"/>
        <v>22.605433333333334</v>
      </c>
      <c r="E614" s="17">
        <f t="shared" si="13"/>
        <v>22.605433333333334</v>
      </c>
      <c r="F614" s="17">
        <f t="shared" si="13"/>
        <v>24.195741666666667</v>
      </c>
      <c r="G614" s="17">
        <f t="shared" si="13"/>
        <v>22.611666666666665</v>
      </c>
      <c r="H614" s="17">
        <f t="shared" si="13"/>
        <v>22.611666666666665</v>
      </c>
      <c r="I614" s="17">
        <f t="shared" si="13"/>
        <v>22.613241666666667</v>
      </c>
      <c r="J614" s="17">
        <f t="shared" si="13"/>
        <v>152.65531666666666</v>
      </c>
      <c r="K614" s="17"/>
    </row>
    <row r="615" spans="1:11" ht="15" x14ac:dyDescent="0.2">
      <c r="A615" s="11">
        <v>2027</v>
      </c>
      <c r="B615" s="17">
        <f t="shared" ref="B615:J615" si="14">AVERAGE(B180:B191)</f>
        <v>24.795016666666669</v>
      </c>
      <c r="C615" s="17">
        <f t="shared" si="14"/>
        <v>23.199233333333328</v>
      </c>
      <c r="D615" s="17">
        <f t="shared" si="14"/>
        <v>23.191433333333332</v>
      </c>
      <c r="E615" s="17">
        <f t="shared" si="14"/>
        <v>23.191433333333332</v>
      </c>
      <c r="F615" s="17">
        <f t="shared" si="14"/>
        <v>24.795016666666669</v>
      </c>
      <c r="G615" s="17">
        <f t="shared" si="14"/>
        <v>23.197666666666663</v>
      </c>
      <c r="H615" s="17">
        <f t="shared" si="14"/>
        <v>23.197666666666663</v>
      </c>
      <c r="I615" s="17">
        <f t="shared" si="14"/>
        <v>23.199233333333328</v>
      </c>
      <c r="J615" s="17">
        <f t="shared" si="14"/>
        <v>156.50068333333334</v>
      </c>
      <c r="K615" s="17"/>
    </row>
    <row r="616" spans="1:11" ht="15" x14ac:dyDescent="0.2">
      <c r="A616" s="11">
        <v>2028</v>
      </c>
      <c r="B616" s="17">
        <f t="shared" ref="B616:J616" si="15">AVERAGE(B192:B203)</f>
        <v>25.343608333333336</v>
      </c>
      <c r="C616" s="17">
        <f t="shared" si="15"/>
        <v>23.734291666666664</v>
      </c>
      <c r="D616" s="17">
        <f t="shared" si="15"/>
        <v>23.726466666666671</v>
      </c>
      <c r="E616" s="17">
        <f t="shared" si="15"/>
        <v>23.726466666666671</v>
      </c>
      <c r="F616" s="17">
        <f t="shared" si="15"/>
        <v>25.343608333333336</v>
      </c>
      <c r="G616" s="17">
        <f t="shared" si="15"/>
        <v>23.732741666666666</v>
      </c>
      <c r="H616" s="17">
        <f t="shared" si="15"/>
        <v>23.732741666666666</v>
      </c>
      <c r="I616" s="17">
        <f t="shared" si="15"/>
        <v>23.734291666666664</v>
      </c>
      <c r="J616" s="17">
        <f t="shared" si="15"/>
        <v>160.44282500000003</v>
      </c>
      <c r="K616" s="17"/>
    </row>
    <row r="617" spans="1:11" ht="15" x14ac:dyDescent="0.2">
      <c r="A617" s="11">
        <v>2029</v>
      </c>
      <c r="B617" s="17">
        <f t="shared" ref="B617:J617" si="16">AVERAGE(B204:B215)</f>
        <v>25.975091666666671</v>
      </c>
      <c r="C617" s="17">
        <f t="shared" si="16"/>
        <v>24.351991666666663</v>
      </c>
      <c r="D617" s="17">
        <f t="shared" si="16"/>
        <v>24.344183333333334</v>
      </c>
      <c r="E617" s="17">
        <f t="shared" si="16"/>
        <v>24.344183333333334</v>
      </c>
      <c r="F617" s="17">
        <f t="shared" si="16"/>
        <v>25.975091666666671</v>
      </c>
      <c r="G617" s="17">
        <f t="shared" si="16"/>
        <v>24.350399999999993</v>
      </c>
      <c r="H617" s="17">
        <f t="shared" si="16"/>
        <v>24.350399999999993</v>
      </c>
      <c r="I617" s="17">
        <f t="shared" si="16"/>
        <v>24.351991666666663</v>
      </c>
      <c r="J617" s="17">
        <f t="shared" si="16"/>
        <v>164.48420000000002</v>
      </c>
      <c r="K617" s="17"/>
    </row>
    <row r="618" spans="1:11" ht="15" x14ac:dyDescent="0.2">
      <c r="A618" s="11">
        <v>2030</v>
      </c>
      <c r="B618" s="17">
        <f t="shared" ref="B618:J618" si="17">AVERAGE(B216:B227)</f>
        <v>26.49945</v>
      </c>
      <c r="C618" s="17">
        <f t="shared" si="17"/>
        <v>24.872691666666668</v>
      </c>
      <c r="D618" s="17">
        <f t="shared" si="17"/>
        <v>24.864891666666665</v>
      </c>
      <c r="E618" s="17">
        <f t="shared" si="17"/>
        <v>24.864891666666665</v>
      </c>
      <c r="F618" s="17">
        <f t="shared" si="17"/>
        <v>26.49945</v>
      </c>
      <c r="G618" s="17">
        <f t="shared" si="17"/>
        <v>24.87115</v>
      </c>
      <c r="H618" s="17">
        <f t="shared" si="17"/>
        <v>24.87115</v>
      </c>
      <c r="I618" s="17">
        <f t="shared" si="17"/>
        <v>24.872691666666668</v>
      </c>
      <c r="J618" s="17">
        <f t="shared" si="17"/>
        <v>168.20285833333332</v>
      </c>
      <c r="K618" s="17"/>
    </row>
    <row r="619" spans="1:11" ht="15" x14ac:dyDescent="0.2">
      <c r="A619" s="11">
        <v>2031</v>
      </c>
      <c r="B619" s="17">
        <f t="shared" ref="B619:J619" si="18">AVERAGE(B228:B239)</f>
        <v>27.032016666666667</v>
      </c>
      <c r="C619" s="17">
        <f t="shared" si="18"/>
        <v>25.375166666666669</v>
      </c>
      <c r="D619" s="17">
        <f t="shared" si="18"/>
        <v>25.367366666666669</v>
      </c>
      <c r="E619" s="17">
        <f t="shared" si="18"/>
        <v>25.367366666666669</v>
      </c>
      <c r="F619" s="17">
        <f t="shared" si="18"/>
        <v>27.032016666666667</v>
      </c>
      <c r="G619" s="17">
        <f t="shared" si="18"/>
        <v>25.373608333333333</v>
      </c>
      <c r="H619" s="17">
        <f t="shared" si="18"/>
        <v>25.373608333333333</v>
      </c>
      <c r="I619" s="17">
        <f t="shared" si="18"/>
        <v>25.375166666666669</v>
      </c>
      <c r="J619" s="17">
        <f t="shared" si="18"/>
        <v>172.81079166666663</v>
      </c>
      <c r="K619" s="17"/>
    </row>
    <row r="620" spans="1:11" ht="15" x14ac:dyDescent="0.2">
      <c r="A620" s="11">
        <v>2032</v>
      </c>
      <c r="B620" s="17">
        <f t="shared" ref="B620:J620" si="19">AVERAGE(B240:B251)</f>
        <v>27.475208333333327</v>
      </c>
      <c r="C620" s="17">
        <f t="shared" si="19"/>
        <v>25.79314166666666</v>
      </c>
      <c r="D620" s="17">
        <f t="shared" si="19"/>
        <v>25.785324999999997</v>
      </c>
      <c r="E620" s="17">
        <f t="shared" si="19"/>
        <v>25.785324999999997</v>
      </c>
      <c r="F620" s="17">
        <f t="shared" si="19"/>
        <v>27.475208333333327</v>
      </c>
      <c r="G620" s="17">
        <f t="shared" si="19"/>
        <v>25.791574999999998</v>
      </c>
      <c r="H620" s="17">
        <f t="shared" si="19"/>
        <v>25.791574999999998</v>
      </c>
      <c r="I620" s="17">
        <f t="shared" si="19"/>
        <v>25.79314166666666</v>
      </c>
      <c r="J620" s="17">
        <f t="shared" si="19"/>
        <v>176.93085833333336</v>
      </c>
      <c r="K620" s="17"/>
    </row>
    <row r="621" spans="1:11" ht="15" x14ac:dyDescent="0.2">
      <c r="A621" s="11">
        <v>2033</v>
      </c>
      <c r="B621" s="17">
        <f t="shared" ref="B621:J621" si="20">AVERAGE(B252:B263)</f>
        <v>27.925841666666667</v>
      </c>
      <c r="C621" s="17">
        <f t="shared" si="20"/>
        <v>26.218124999999997</v>
      </c>
      <c r="D621" s="17">
        <f t="shared" si="20"/>
        <v>26.210325000000001</v>
      </c>
      <c r="E621" s="17">
        <f t="shared" si="20"/>
        <v>26.210325000000001</v>
      </c>
      <c r="F621" s="17">
        <f t="shared" si="20"/>
        <v>27.925841666666667</v>
      </c>
      <c r="G621" s="17">
        <f t="shared" si="20"/>
        <v>26.216566666666665</v>
      </c>
      <c r="H621" s="17">
        <f t="shared" si="20"/>
        <v>26.216566666666665</v>
      </c>
      <c r="I621" s="17">
        <f t="shared" si="20"/>
        <v>26.218124999999997</v>
      </c>
      <c r="J621" s="17">
        <f t="shared" si="20"/>
        <v>181.14915833333336</v>
      </c>
      <c r="K621" s="17"/>
    </row>
    <row r="622" spans="1:11" ht="15" x14ac:dyDescent="0.2">
      <c r="A622" s="11">
        <v>2034</v>
      </c>
      <c r="B622" s="17">
        <f t="shared" ref="B622:J622" si="21">AVERAGE(B264:B275)</f>
        <v>28.384041666666672</v>
      </c>
      <c r="C622" s="17">
        <f t="shared" si="21"/>
        <v>26.650266666666663</v>
      </c>
      <c r="D622" s="17">
        <f t="shared" si="21"/>
        <v>26.642466666666664</v>
      </c>
      <c r="E622" s="17">
        <f t="shared" si="21"/>
        <v>26.642466666666664</v>
      </c>
      <c r="F622" s="17">
        <f t="shared" si="21"/>
        <v>28.384041666666672</v>
      </c>
      <c r="G622" s="17">
        <f t="shared" si="21"/>
        <v>26.648708333333332</v>
      </c>
      <c r="H622" s="17">
        <f t="shared" si="21"/>
        <v>26.648708333333332</v>
      </c>
      <c r="I622" s="17">
        <f t="shared" si="21"/>
        <v>26.650266666666663</v>
      </c>
      <c r="J622" s="17">
        <f t="shared" si="21"/>
        <v>185.4680166666667</v>
      </c>
      <c r="K622" s="17"/>
    </row>
    <row r="623" spans="1:11" ht="15" x14ac:dyDescent="0.2">
      <c r="A623" s="11">
        <v>2035</v>
      </c>
      <c r="B623" s="17">
        <f t="shared" ref="B623:J623" si="22">AVERAGE(B276:B287)</f>
        <v>28.849916666666672</v>
      </c>
      <c r="C623" s="17">
        <f t="shared" si="22"/>
        <v>27.089666666666663</v>
      </c>
      <c r="D623" s="17">
        <f t="shared" si="22"/>
        <v>27.081841666666662</v>
      </c>
      <c r="E623" s="17">
        <f t="shared" si="22"/>
        <v>27.081841666666662</v>
      </c>
      <c r="F623" s="17">
        <f t="shared" si="22"/>
        <v>28.849916666666672</v>
      </c>
      <c r="G623" s="17">
        <f t="shared" si="22"/>
        <v>27.088108333333334</v>
      </c>
      <c r="H623" s="17">
        <f t="shared" si="22"/>
        <v>27.088108333333334</v>
      </c>
      <c r="I623" s="17">
        <f t="shared" si="22"/>
        <v>27.089666666666663</v>
      </c>
      <c r="J623" s="17">
        <f t="shared" si="22"/>
        <v>189.88985833333334</v>
      </c>
      <c r="K623" s="17"/>
    </row>
    <row r="624" spans="1:11" ht="15" x14ac:dyDescent="0.2">
      <c r="A624" s="11">
        <v>2036</v>
      </c>
      <c r="B624" s="17">
        <f t="shared" ref="B624:J624" si="23">AVERAGE(B288:B299)</f>
        <v>29.323649999999997</v>
      </c>
      <c r="C624" s="17">
        <f t="shared" si="23"/>
        <v>27.536424999999998</v>
      </c>
      <c r="D624" s="17">
        <f t="shared" si="23"/>
        <v>27.528616666666668</v>
      </c>
      <c r="E624" s="17">
        <f t="shared" si="23"/>
        <v>27.528616666666668</v>
      </c>
      <c r="F624" s="17">
        <f t="shared" si="23"/>
        <v>29.323649999999997</v>
      </c>
      <c r="G624" s="17">
        <f t="shared" si="23"/>
        <v>27.534866666666662</v>
      </c>
      <c r="H624" s="17">
        <f t="shared" si="23"/>
        <v>27.534866666666662</v>
      </c>
      <c r="I624" s="17">
        <f t="shared" si="23"/>
        <v>27.536424999999998</v>
      </c>
      <c r="J624" s="17">
        <f t="shared" si="23"/>
        <v>194.41710000000003</v>
      </c>
      <c r="K624" s="17"/>
    </row>
    <row r="625" spans="1:11" ht="15" x14ac:dyDescent="0.2">
      <c r="A625" s="11">
        <v>2037</v>
      </c>
      <c r="B625" s="17">
        <f t="shared" ref="B625:J625" si="24">AVERAGE(B300:B311)</f>
        <v>29.805341666666664</v>
      </c>
      <c r="C625" s="17">
        <f t="shared" si="24"/>
        <v>27.990708333333334</v>
      </c>
      <c r="D625" s="17">
        <f t="shared" si="24"/>
        <v>27.982908333333331</v>
      </c>
      <c r="E625" s="17">
        <f t="shared" si="24"/>
        <v>27.982908333333331</v>
      </c>
      <c r="F625" s="17">
        <f t="shared" si="24"/>
        <v>29.805341666666664</v>
      </c>
      <c r="G625" s="17">
        <f t="shared" si="24"/>
        <v>27.989141666666665</v>
      </c>
      <c r="H625" s="17">
        <f t="shared" si="24"/>
        <v>27.989141666666665</v>
      </c>
      <c r="I625" s="17">
        <f t="shared" si="24"/>
        <v>27.990708333333334</v>
      </c>
      <c r="J625" s="17">
        <f t="shared" si="24"/>
        <v>199.05229999999997</v>
      </c>
      <c r="K625" s="17"/>
    </row>
    <row r="626" spans="1:11" ht="15" x14ac:dyDescent="0.2">
      <c r="A626" s="11">
        <f t="shared" ref="A626:A649" si="25">A625+1</f>
        <v>2038</v>
      </c>
      <c r="B626" s="17">
        <f t="shared" ref="B626:J626" si="26">AVERAGE(B312:B323)</f>
        <v>30.295108333333342</v>
      </c>
      <c r="C626" s="17">
        <f t="shared" si="26"/>
        <v>28.452616666666668</v>
      </c>
      <c r="D626" s="17">
        <f t="shared" si="26"/>
        <v>28.444808333333331</v>
      </c>
      <c r="E626" s="17">
        <f t="shared" si="26"/>
        <v>28.444808333333331</v>
      </c>
      <c r="F626" s="17">
        <f t="shared" si="26"/>
        <v>30.295108333333342</v>
      </c>
      <c r="G626" s="17">
        <f t="shared" si="26"/>
        <v>28.451066666666666</v>
      </c>
      <c r="H626" s="17">
        <f t="shared" si="26"/>
        <v>28.451066666666666</v>
      </c>
      <c r="I626" s="17">
        <f t="shared" si="26"/>
        <v>28.452616666666668</v>
      </c>
      <c r="J626" s="17">
        <f t="shared" si="26"/>
        <v>203.79801666666665</v>
      </c>
    </row>
    <row r="627" spans="1:11" ht="15" x14ac:dyDescent="0.2">
      <c r="A627" s="11">
        <f t="shared" si="25"/>
        <v>2039</v>
      </c>
      <c r="B627" s="17">
        <f t="shared" ref="B627:J627" si="27">AVERAGE(B324:B335)</f>
        <v>30.793108333333336</v>
      </c>
      <c r="C627" s="17">
        <f t="shared" si="27"/>
        <v>28.922299999999996</v>
      </c>
      <c r="D627" s="17">
        <f t="shared" si="27"/>
        <v>28.914474999999996</v>
      </c>
      <c r="E627" s="17">
        <f t="shared" si="27"/>
        <v>28.914474999999996</v>
      </c>
      <c r="F627" s="17">
        <f t="shared" si="27"/>
        <v>30.793108333333336</v>
      </c>
      <c r="G627" s="17">
        <f t="shared" si="27"/>
        <v>28.920725000000001</v>
      </c>
      <c r="H627" s="17">
        <f t="shared" si="27"/>
        <v>28.920725000000001</v>
      </c>
      <c r="I627" s="17">
        <f t="shared" si="27"/>
        <v>28.922299999999996</v>
      </c>
      <c r="J627" s="17">
        <f t="shared" si="27"/>
        <v>208.65685833333336</v>
      </c>
    </row>
    <row r="628" spans="1:11" ht="15" x14ac:dyDescent="0.2">
      <c r="A628" s="11">
        <f t="shared" si="25"/>
        <v>2040</v>
      </c>
      <c r="B628" s="17">
        <f t="shared" ref="B628:J628" si="28">AVERAGE(B336:B347)</f>
        <v>31.299466666666671</v>
      </c>
      <c r="C628" s="17">
        <f t="shared" si="28"/>
        <v>29.399850000000001</v>
      </c>
      <c r="D628" s="17">
        <f t="shared" si="28"/>
        <v>29.39203333333333</v>
      </c>
      <c r="E628" s="17">
        <f t="shared" si="28"/>
        <v>29.39203333333333</v>
      </c>
      <c r="F628" s="17">
        <f t="shared" si="28"/>
        <v>31.299466666666671</v>
      </c>
      <c r="G628" s="17">
        <f t="shared" si="28"/>
        <v>29.398299999999995</v>
      </c>
      <c r="H628" s="17">
        <f t="shared" si="28"/>
        <v>29.398299999999995</v>
      </c>
      <c r="I628" s="17">
        <f t="shared" si="28"/>
        <v>29.399850000000001</v>
      </c>
      <c r="J628" s="17">
        <f t="shared" si="28"/>
        <v>213.63155833333337</v>
      </c>
    </row>
    <row r="629" spans="1:11" ht="15" x14ac:dyDescent="0.2">
      <c r="A629" s="11">
        <f t="shared" si="25"/>
        <v>2041</v>
      </c>
      <c r="B629" s="17">
        <f t="shared" ref="B629:J629" si="29">AVERAGE(B348:B359)</f>
        <v>31.814349999999994</v>
      </c>
      <c r="C629" s="17">
        <f t="shared" si="29"/>
        <v>29.885424999999998</v>
      </c>
      <c r="D629" s="17">
        <f t="shared" si="29"/>
        <v>29.877624999999998</v>
      </c>
      <c r="E629" s="17">
        <f t="shared" si="29"/>
        <v>29.877624999999998</v>
      </c>
      <c r="F629" s="17">
        <f t="shared" si="29"/>
        <v>31.814349999999994</v>
      </c>
      <c r="G629" s="17">
        <f t="shared" si="29"/>
        <v>29.883866666666666</v>
      </c>
      <c r="H629" s="17">
        <f t="shared" si="29"/>
        <v>29.883866666666666</v>
      </c>
      <c r="I629" s="17">
        <f t="shared" si="29"/>
        <v>29.885424999999998</v>
      </c>
      <c r="J629" s="17">
        <f t="shared" si="29"/>
        <v>218.72484166666666</v>
      </c>
    </row>
    <row r="630" spans="1:11" ht="15" x14ac:dyDescent="0.2">
      <c r="A630" s="11">
        <f t="shared" si="25"/>
        <v>2042</v>
      </c>
      <c r="B630" s="17">
        <f t="shared" ref="B630:J630" si="30">AVERAGE(B360:B371)</f>
        <v>32.33786666666667</v>
      </c>
      <c r="C630" s="17">
        <f t="shared" si="30"/>
        <v>30.379175</v>
      </c>
      <c r="D630" s="17">
        <f t="shared" si="30"/>
        <v>30.37136666666667</v>
      </c>
      <c r="E630" s="17">
        <f t="shared" si="30"/>
        <v>30.37136666666667</v>
      </c>
      <c r="F630" s="17">
        <f t="shared" si="30"/>
        <v>32.33786666666667</v>
      </c>
      <c r="G630" s="17">
        <f t="shared" si="30"/>
        <v>30.377608333333331</v>
      </c>
      <c r="H630" s="17">
        <f t="shared" si="30"/>
        <v>30.377608333333331</v>
      </c>
      <c r="I630" s="17">
        <f t="shared" si="30"/>
        <v>30.379175</v>
      </c>
      <c r="J630" s="17">
        <f t="shared" si="30"/>
        <v>223.93956666666668</v>
      </c>
    </row>
    <row r="631" spans="1:11" ht="15" x14ac:dyDescent="0.2">
      <c r="A631" s="11">
        <f t="shared" si="25"/>
        <v>2043</v>
      </c>
      <c r="B631" s="17">
        <f t="shared" ref="B631:J631" si="31">AVERAGE(B372:B383)</f>
        <v>32.870191666666663</v>
      </c>
      <c r="C631" s="17">
        <f t="shared" si="31"/>
        <v>30.881208333333333</v>
      </c>
      <c r="D631" s="17">
        <f t="shared" si="31"/>
        <v>30.87340833333333</v>
      </c>
      <c r="E631" s="17">
        <f t="shared" si="31"/>
        <v>30.87340833333333</v>
      </c>
      <c r="F631" s="17">
        <f t="shared" si="31"/>
        <v>32.870191666666663</v>
      </c>
      <c r="G631" s="17">
        <f t="shared" si="31"/>
        <v>30.879650000000002</v>
      </c>
      <c r="H631" s="17">
        <f t="shared" si="31"/>
        <v>30.879650000000002</v>
      </c>
      <c r="I631" s="17">
        <f t="shared" si="31"/>
        <v>30.881208333333333</v>
      </c>
      <c r="J631" s="17">
        <f t="shared" si="31"/>
        <v>229.27863333333332</v>
      </c>
    </row>
    <row r="632" spans="1:11" ht="15" x14ac:dyDescent="0.2">
      <c r="A632" s="11">
        <f t="shared" si="25"/>
        <v>2044</v>
      </c>
      <c r="B632" s="17">
        <f t="shared" ref="B632:J632" si="32">AVERAGE(B384:B395)</f>
        <v>33.411449999999995</v>
      </c>
      <c r="C632" s="17">
        <f t="shared" si="32"/>
        <v>31.391675000000003</v>
      </c>
      <c r="D632" s="17">
        <f t="shared" si="32"/>
        <v>31.383866666666666</v>
      </c>
      <c r="E632" s="17">
        <f t="shared" si="32"/>
        <v>31.383866666666666</v>
      </c>
      <c r="F632" s="17">
        <f t="shared" si="32"/>
        <v>33.411449999999995</v>
      </c>
      <c r="G632" s="17">
        <f t="shared" si="32"/>
        <v>31.390116666666668</v>
      </c>
      <c r="H632" s="17">
        <f t="shared" si="32"/>
        <v>31.390116666666668</v>
      </c>
      <c r="I632" s="17">
        <f t="shared" si="32"/>
        <v>31.391675000000003</v>
      </c>
      <c r="J632" s="17">
        <f t="shared" si="32"/>
        <v>234.74498333333335</v>
      </c>
    </row>
    <row r="633" spans="1:11" ht="15" x14ac:dyDescent="0.2">
      <c r="A633" s="11">
        <f t="shared" si="25"/>
        <v>2045</v>
      </c>
      <c r="B633" s="17">
        <f t="shared" ref="B633:J633" si="33">AVERAGE(B396:B407)</f>
        <v>33.961808333333337</v>
      </c>
      <c r="C633" s="17">
        <f t="shared" si="33"/>
        <v>31.910725000000003</v>
      </c>
      <c r="D633" s="17">
        <f t="shared" si="33"/>
        <v>31.90290833333334</v>
      </c>
      <c r="E633" s="17">
        <f t="shared" si="33"/>
        <v>31.90290833333334</v>
      </c>
      <c r="F633" s="17">
        <f t="shared" si="33"/>
        <v>33.961808333333337</v>
      </c>
      <c r="G633" s="17">
        <f t="shared" si="33"/>
        <v>31.90916666666666</v>
      </c>
      <c r="H633" s="17">
        <f t="shared" si="33"/>
        <v>31.90916666666666</v>
      </c>
      <c r="I633" s="17">
        <f t="shared" si="33"/>
        <v>31.910725000000003</v>
      </c>
      <c r="J633" s="17">
        <f t="shared" si="33"/>
        <v>240.34165000000004</v>
      </c>
    </row>
    <row r="634" spans="1:11" ht="15" x14ac:dyDescent="0.2">
      <c r="A634" s="11">
        <f t="shared" si="25"/>
        <v>2046</v>
      </c>
      <c r="B634" s="17">
        <f t="shared" ref="B634:J634" si="34">AVERAGE(B408:B419)</f>
        <v>34.521408333333333</v>
      </c>
      <c r="C634" s="17">
        <f t="shared" si="34"/>
        <v>32.438499999999998</v>
      </c>
      <c r="D634" s="17">
        <f t="shared" si="34"/>
        <v>32.430675000000001</v>
      </c>
      <c r="E634" s="17">
        <f t="shared" si="34"/>
        <v>32.430675000000001</v>
      </c>
      <c r="F634" s="17">
        <f t="shared" si="34"/>
        <v>34.521408333333333</v>
      </c>
      <c r="G634" s="17">
        <f t="shared" si="34"/>
        <v>32.436925000000002</v>
      </c>
      <c r="H634" s="17">
        <f t="shared" si="34"/>
        <v>32.436925000000002</v>
      </c>
      <c r="I634" s="17">
        <f t="shared" si="34"/>
        <v>32.438499999999998</v>
      </c>
      <c r="J634" s="17">
        <f t="shared" si="34"/>
        <v>246.07177499999997</v>
      </c>
    </row>
    <row r="635" spans="1:11" ht="15" x14ac:dyDescent="0.2">
      <c r="A635" s="11">
        <f t="shared" si="25"/>
        <v>2047</v>
      </c>
      <c r="B635" s="17">
        <f t="shared" ref="B635:J635" si="35">AVERAGE(B420:B431)</f>
        <v>35.090408333333336</v>
      </c>
      <c r="C635" s="17">
        <f t="shared" si="35"/>
        <v>32.975124999999991</v>
      </c>
      <c r="D635" s="17">
        <f t="shared" si="35"/>
        <v>32.967308333333335</v>
      </c>
      <c r="E635" s="17">
        <f t="shared" si="35"/>
        <v>32.967308333333335</v>
      </c>
      <c r="F635" s="17">
        <f t="shared" si="35"/>
        <v>35.090408333333336</v>
      </c>
      <c r="G635" s="17">
        <f t="shared" si="35"/>
        <v>32.973566666666663</v>
      </c>
      <c r="H635" s="17">
        <f t="shared" si="35"/>
        <v>32.973566666666663</v>
      </c>
      <c r="I635" s="17">
        <f t="shared" si="35"/>
        <v>32.975124999999991</v>
      </c>
      <c r="J635" s="17">
        <f t="shared" si="35"/>
        <v>251.93848333333335</v>
      </c>
    </row>
    <row r="636" spans="1:11" ht="15" x14ac:dyDescent="0.2">
      <c r="A636" s="11">
        <f t="shared" si="25"/>
        <v>2048</v>
      </c>
      <c r="B636" s="17">
        <f t="shared" ref="B636:J636" si="36">AVERAGE(B432:B443)</f>
        <v>35.66896666666667</v>
      </c>
      <c r="C636" s="17">
        <f t="shared" si="36"/>
        <v>33.520766666666667</v>
      </c>
      <c r="D636" s="17">
        <f t="shared" si="36"/>
        <v>33.512966666666664</v>
      </c>
      <c r="E636" s="17">
        <f t="shared" si="36"/>
        <v>33.512966666666664</v>
      </c>
      <c r="F636" s="17">
        <f t="shared" si="36"/>
        <v>35.66896666666667</v>
      </c>
      <c r="G636" s="17">
        <f t="shared" si="36"/>
        <v>33.519208333333331</v>
      </c>
      <c r="H636" s="17">
        <f t="shared" si="36"/>
        <v>33.519208333333331</v>
      </c>
      <c r="I636" s="17">
        <f t="shared" si="36"/>
        <v>33.520766666666667</v>
      </c>
      <c r="J636" s="17">
        <f t="shared" si="36"/>
        <v>257.94508333333334</v>
      </c>
    </row>
    <row r="637" spans="1:11" ht="15" x14ac:dyDescent="0.2">
      <c r="A637" s="11">
        <f t="shared" si="25"/>
        <v>2049</v>
      </c>
      <c r="B637" s="17">
        <f t="shared" ref="B637:J637" si="37">AVERAGE(B444:B455)</f>
        <v>36.257249999999999</v>
      </c>
      <c r="C637" s="17">
        <f t="shared" si="37"/>
        <v>34.075591666666668</v>
      </c>
      <c r="D637" s="17">
        <f t="shared" si="37"/>
        <v>34.067766666666664</v>
      </c>
      <c r="E637" s="17">
        <f t="shared" si="37"/>
        <v>34.067766666666664</v>
      </c>
      <c r="F637" s="17">
        <f t="shared" si="37"/>
        <v>36.257249999999999</v>
      </c>
      <c r="G637" s="17">
        <f t="shared" si="37"/>
        <v>34.074024999999999</v>
      </c>
      <c r="H637" s="17">
        <f t="shared" si="37"/>
        <v>34.074024999999999</v>
      </c>
      <c r="I637" s="17">
        <f t="shared" si="37"/>
        <v>34.075591666666668</v>
      </c>
      <c r="J637" s="17">
        <f t="shared" si="37"/>
        <v>264.09485833333332</v>
      </c>
    </row>
    <row r="638" spans="1:11" ht="15" x14ac:dyDescent="0.2">
      <c r="A638" s="11">
        <f t="shared" si="25"/>
        <v>2050</v>
      </c>
      <c r="B638" s="17">
        <f t="shared" ref="B638:J638" si="38">AVERAGE(B456:B467)</f>
        <v>36.85540833333333</v>
      </c>
      <c r="C638" s="17">
        <f t="shared" si="38"/>
        <v>34.639716666666665</v>
      </c>
      <c r="D638" s="17">
        <f t="shared" si="38"/>
        <v>34.631908333333335</v>
      </c>
      <c r="E638" s="17">
        <f t="shared" si="38"/>
        <v>34.631908333333335</v>
      </c>
      <c r="F638" s="17">
        <f t="shared" si="38"/>
        <v>36.85540833333333</v>
      </c>
      <c r="G638" s="17">
        <f t="shared" si="38"/>
        <v>34.63816666666667</v>
      </c>
      <c r="H638" s="17">
        <f t="shared" si="38"/>
        <v>34.63816666666667</v>
      </c>
      <c r="I638" s="17">
        <f t="shared" si="38"/>
        <v>34.639716666666665</v>
      </c>
      <c r="J638" s="17">
        <f t="shared" si="38"/>
        <v>270.39129166666669</v>
      </c>
    </row>
    <row r="639" spans="1:11" ht="15" x14ac:dyDescent="0.2">
      <c r="A639" s="11">
        <f t="shared" si="25"/>
        <v>2051</v>
      </c>
      <c r="B639" s="17">
        <f t="shared" ref="B639:J639" si="39">AVERAGE(B468:B479)</f>
        <v>37.463641666666668</v>
      </c>
      <c r="C639" s="17">
        <f t="shared" si="39"/>
        <v>35.213324999999998</v>
      </c>
      <c r="D639" s="17">
        <f t="shared" si="39"/>
        <v>35.205516666666675</v>
      </c>
      <c r="E639" s="17">
        <f t="shared" si="39"/>
        <v>35.205516666666675</v>
      </c>
      <c r="F639" s="17">
        <f t="shared" si="39"/>
        <v>37.463641666666668</v>
      </c>
      <c r="G639" s="17">
        <f t="shared" si="39"/>
        <v>35.211766666666669</v>
      </c>
      <c r="H639" s="17">
        <f t="shared" si="39"/>
        <v>35.211766666666669</v>
      </c>
      <c r="I639" s="17">
        <f t="shared" si="39"/>
        <v>35.213324999999998</v>
      </c>
      <c r="J639" s="17">
        <f t="shared" si="39"/>
        <v>276.83782500000007</v>
      </c>
    </row>
    <row r="640" spans="1:11" ht="15" x14ac:dyDescent="0.2">
      <c r="A640" s="11">
        <f t="shared" si="25"/>
        <v>2052</v>
      </c>
      <c r="B640" s="17">
        <f t="shared" ref="B640:J640" si="40">AVERAGE(B480:B491)</f>
        <v>38.082049999999995</v>
      </c>
      <c r="C640" s="17">
        <f t="shared" si="40"/>
        <v>35.796574999999997</v>
      </c>
      <c r="D640" s="17">
        <f t="shared" si="40"/>
        <v>35.788766666666668</v>
      </c>
      <c r="E640" s="17">
        <f t="shared" si="40"/>
        <v>35.788766666666668</v>
      </c>
      <c r="F640" s="17">
        <f t="shared" si="40"/>
        <v>38.082049999999995</v>
      </c>
      <c r="G640" s="17">
        <f t="shared" si="40"/>
        <v>35.795016666666662</v>
      </c>
      <c r="H640" s="17">
        <f t="shared" si="40"/>
        <v>35.795016666666662</v>
      </c>
      <c r="I640" s="17">
        <f t="shared" si="40"/>
        <v>35.796574999999997</v>
      </c>
      <c r="J640" s="17">
        <f t="shared" si="40"/>
        <v>283.43804999999998</v>
      </c>
    </row>
    <row r="641" spans="1:10" ht="15" x14ac:dyDescent="0.2">
      <c r="A641" s="11">
        <f t="shared" si="25"/>
        <v>2053</v>
      </c>
      <c r="B641" s="17">
        <f t="shared" ref="B641:J641" si="41">AVERAGE(B492:B503)</f>
        <v>38.710874999999994</v>
      </c>
      <c r="C641" s="17">
        <f t="shared" si="41"/>
        <v>36.389625000000002</v>
      </c>
      <c r="D641" s="17">
        <f t="shared" si="41"/>
        <v>36.381808333333325</v>
      </c>
      <c r="E641" s="17">
        <f t="shared" si="41"/>
        <v>36.381808333333325</v>
      </c>
      <c r="F641" s="17">
        <f t="shared" si="41"/>
        <v>38.710874999999994</v>
      </c>
      <c r="G641" s="17">
        <f t="shared" si="41"/>
        <v>36.388066666666667</v>
      </c>
      <c r="H641" s="17">
        <f t="shared" si="41"/>
        <v>36.388066666666667</v>
      </c>
      <c r="I641" s="17">
        <f t="shared" si="41"/>
        <v>36.389625000000002</v>
      </c>
      <c r="J641" s="17">
        <f t="shared" si="41"/>
        <v>290.19566666666668</v>
      </c>
    </row>
    <row r="642" spans="1:10" ht="15" x14ac:dyDescent="0.2">
      <c r="A642" s="11">
        <f t="shared" si="25"/>
        <v>2054</v>
      </c>
      <c r="B642" s="17">
        <f t="shared" ref="B642:J642" si="42">AVERAGE(B504:B515)</f>
        <v>39.350266666666663</v>
      </c>
      <c r="C642" s="17">
        <f t="shared" si="42"/>
        <v>36.992641666666664</v>
      </c>
      <c r="D642" s="17">
        <f t="shared" si="42"/>
        <v>36.984824999999994</v>
      </c>
      <c r="E642" s="17">
        <f t="shared" si="42"/>
        <v>36.984824999999994</v>
      </c>
      <c r="F642" s="17">
        <f t="shared" si="42"/>
        <v>39.350266666666663</v>
      </c>
      <c r="G642" s="17">
        <f t="shared" si="42"/>
        <v>36.991075000000002</v>
      </c>
      <c r="H642" s="17">
        <f t="shared" si="42"/>
        <v>36.991075000000002</v>
      </c>
      <c r="I642" s="17">
        <f t="shared" si="42"/>
        <v>36.992641666666664</v>
      </c>
      <c r="J642" s="17">
        <f t="shared" si="42"/>
        <v>297.11435</v>
      </c>
    </row>
    <row r="643" spans="1:10" ht="15" x14ac:dyDescent="0.2">
      <c r="A643" s="11">
        <f t="shared" si="25"/>
        <v>2055</v>
      </c>
      <c r="B643" s="17">
        <f t="shared" ref="B643:J643" si="43">AVERAGE(B516:B527)</f>
        <v>40.000391666666665</v>
      </c>
      <c r="C643" s="17">
        <f t="shared" si="43"/>
        <v>37.605775000000001</v>
      </c>
      <c r="D643" s="17">
        <f t="shared" si="43"/>
        <v>37.597966666666665</v>
      </c>
      <c r="E643" s="17">
        <f t="shared" si="43"/>
        <v>37.597966666666665</v>
      </c>
      <c r="F643" s="17">
        <f t="shared" si="43"/>
        <v>40.000391666666665</v>
      </c>
      <c r="G643" s="17">
        <f t="shared" si="43"/>
        <v>37.604208333333339</v>
      </c>
      <c r="H643" s="17">
        <f t="shared" si="43"/>
        <v>37.604208333333339</v>
      </c>
      <c r="I643" s="17">
        <f t="shared" si="43"/>
        <v>37.605775000000001</v>
      </c>
      <c r="J643" s="17">
        <f t="shared" si="43"/>
        <v>304.19800833333335</v>
      </c>
    </row>
    <row r="644" spans="1:10" ht="15" x14ac:dyDescent="0.2">
      <c r="A644" s="11">
        <f t="shared" si="25"/>
        <v>2056</v>
      </c>
      <c r="B644" s="17">
        <f t="shared" ref="B644:J644" si="44">AVERAGE(B528:B539)</f>
        <v>40.661449999999995</v>
      </c>
      <c r="C644" s="17">
        <f t="shared" si="44"/>
        <v>38.229216666666673</v>
      </c>
      <c r="D644" s="17">
        <f t="shared" si="44"/>
        <v>38.221408333333336</v>
      </c>
      <c r="E644" s="17">
        <f t="shared" si="44"/>
        <v>38.221408333333336</v>
      </c>
      <c r="F644" s="17">
        <f t="shared" si="44"/>
        <v>40.661449999999995</v>
      </c>
      <c r="G644" s="17">
        <f t="shared" si="44"/>
        <v>38.227666666666664</v>
      </c>
      <c r="H644" s="17">
        <f t="shared" si="44"/>
        <v>38.227666666666664</v>
      </c>
      <c r="I644" s="17">
        <f t="shared" si="44"/>
        <v>38.229216666666673</v>
      </c>
      <c r="J644" s="17">
        <f t="shared" si="44"/>
        <v>311.45053333333334</v>
      </c>
    </row>
    <row r="645" spans="1:10" ht="15" x14ac:dyDescent="0.2">
      <c r="A645" s="11">
        <f t="shared" si="25"/>
        <v>2057</v>
      </c>
      <c r="B645" s="17">
        <f t="shared" ref="B645:J645" si="45">AVERAGE(B540:B551)</f>
        <v>41.333591666666663</v>
      </c>
      <c r="C645" s="17">
        <f t="shared" si="45"/>
        <v>38.863125000000004</v>
      </c>
      <c r="D645" s="17">
        <f t="shared" si="45"/>
        <v>38.855324999999993</v>
      </c>
      <c r="E645" s="17">
        <f t="shared" si="45"/>
        <v>38.855324999999993</v>
      </c>
      <c r="F645" s="17">
        <f t="shared" si="45"/>
        <v>41.333591666666663</v>
      </c>
      <c r="G645" s="17">
        <f t="shared" si="45"/>
        <v>38.861566666666668</v>
      </c>
      <c r="H645" s="17">
        <f t="shared" si="45"/>
        <v>38.861566666666668</v>
      </c>
      <c r="I645" s="17">
        <f t="shared" si="45"/>
        <v>38.863125000000004</v>
      </c>
      <c r="J645" s="17">
        <f t="shared" si="45"/>
        <v>318.87598333333341</v>
      </c>
    </row>
    <row r="646" spans="1:10" ht="15" x14ac:dyDescent="0.2">
      <c r="A646" s="11">
        <f t="shared" si="25"/>
        <v>2058</v>
      </c>
      <c r="B646" s="17">
        <f t="shared" ref="B646:J646" si="46">AVERAGE(B552:B563)</f>
        <v>42.017041666666664</v>
      </c>
      <c r="C646" s="17">
        <f t="shared" si="46"/>
        <v>39.507708333333326</v>
      </c>
      <c r="D646" s="17">
        <f t="shared" si="46"/>
        <v>39.499900000000004</v>
      </c>
      <c r="E646" s="17">
        <f t="shared" si="46"/>
        <v>39.499900000000004</v>
      </c>
      <c r="F646" s="17">
        <f t="shared" si="46"/>
        <v>42.017041666666664</v>
      </c>
      <c r="G646" s="17">
        <f t="shared" si="46"/>
        <v>39.506124999999997</v>
      </c>
      <c r="H646" s="17">
        <f t="shared" si="46"/>
        <v>39.506124999999997</v>
      </c>
      <c r="I646" s="17">
        <f t="shared" si="46"/>
        <v>39.507708333333326</v>
      </c>
      <c r="J646" s="17">
        <f t="shared" si="46"/>
        <v>326.47845000000001</v>
      </c>
    </row>
    <row r="647" spans="1:10" ht="15" x14ac:dyDescent="0.2">
      <c r="A647" s="11">
        <f t="shared" si="25"/>
        <v>2059</v>
      </c>
      <c r="B647" s="17">
        <f t="shared" ref="B647:J647" si="47">AVERAGE(B564:B575)</f>
        <v>42.711958333333335</v>
      </c>
      <c r="C647" s="17">
        <f t="shared" si="47"/>
        <v>40.163100000000007</v>
      </c>
      <c r="D647" s="17">
        <f t="shared" si="47"/>
        <v>40.155274999999996</v>
      </c>
      <c r="E647" s="17">
        <f t="shared" si="47"/>
        <v>40.155274999999996</v>
      </c>
      <c r="F647" s="17">
        <f t="shared" si="47"/>
        <v>42.711958333333335</v>
      </c>
      <c r="G647" s="17">
        <f t="shared" si="47"/>
        <v>40.161525000000005</v>
      </c>
      <c r="H647" s="17">
        <f t="shared" si="47"/>
        <v>40.161525000000005</v>
      </c>
      <c r="I647" s="17">
        <f t="shared" si="47"/>
        <v>40.163100000000007</v>
      </c>
      <c r="J647" s="17">
        <f t="shared" si="47"/>
        <v>334.26219166666664</v>
      </c>
    </row>
    <row r="648" spans="1:10" ht="15" x14ac:dyDescent="0.2">
      <c r="A648" s="11">
        <f t="shared" si="25"/>
        <v>2060</v>
      </c>
      <c r="B648" s="17">
        <f t="shared" ref="B648:J648" si="48">AVERAGE(B576:B587)</f>
        <v>43.418566666666663</v>
      </c>
      <c r="C648" s="17">
        <f t="shared" si="48"/>
        <v>40.82950833333333</v>
      </c>
      <c r="D648" s="17">
        <f t="shared" si="48"/>
        <v>40.821674999999999</v>
      </c>
      <c r="E648" s="17">
        <f t="shared" si="48"/>
        <v>40.821674999999999</v>
      </c>
      <c r="F648" s="17">
        <f t="shared" si="48"/>
        <v>43.418566666666663</v>
      </c>
      <c r="G648" s="17">
        <f t="shared" si="48"/>
        <v>40.827924999999993</v>
      </c>
      <c r="H648" s="17">
        <f t="shared" si="48"/>
        <v>40.827924999999993</v>
      </c>
      <c r="I648" s="17">
        <f t="shared" si="48"/>
        <v>40.82950833333333</v>
      </c>
      <c r="J648" s="17">
        <f t="shared" si="48"/>
        <v>342.23151666666666</v>
      </c>
    </row>
    <row r="649" spans="1:10" ht="15" x14ac:dyDescent="0.2">
      <c r="A649" s="11">
        <f t="shared" si="25"/>
        <v>2061</v>
      </c>
      <c r="B649" s="17">
        <f t="shared" ref="B649:J649" si="49">AVERAGE(B588:B599)</f>
        <v>44.137041666666669</v>
      </c>
      <c r="C649" s="17">
        <f t="shared" si="49"/>
        <v>41.507108333333335</v>
      </c>
      <c r="D649" s="17">
        <f t="shared" si="49"/>
        <v>41.499275000000004</v>
      </c>
      <c r="E649" s="17">
        <f t="shared" si="49"/>
        <v>41.499275000000004</v>
      </c>
      <c r="F649" s="17">
        <f t="shared" si="49"/>
        <v>44.137041666666669</v>
      </c>
      <c r="G649" s="17">
        <f t="shared" si="49"/>
        <v>41.505524999999999</v>
      </c>
      <c r="H649" s="17">
        <f t="shared" si="49"/>
        <v>41.505524999999999</v>
      </c>
      <c r="I649" s="17">
        <f t="shared" si="49"/>
        <v>41.507108333333335</v>
      </c>
      <c r="J649" s="17">
        <f t="shared" si="49"/>
        <v>350.39080833333338</v>
      </c>
    </row>
    <row r="650" spans="1:10" ht="15" x14ac:dyDescent="0.2">
      <c r="A650" s="43"/>
    </row>
    <row r="651" spans="1:10" x14ac:dyDescent="0.2">
      <c r="A651" s="8"/>
    </row>
    <row r="652" spans="1:10" x14ac:dyDescent="0.2">
      <c r="A652" s="8"/>
    </row>
    <row r="653" spans="1:10" x14ac:dyDescent="0.2">
      <c r="A653" s="8"/>
    </row>
    <row r="654" spans="1:10" x14ac:dyDescent="0.2">
      <c r="A654" s="8"/>
    </row>
    <row r="655" spans="1:10" x14ac:dyDescent="0.2">
      <c r="A655" s="8"/>
    </row>
    <row r="656" spans="1:10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</sheetData>
  <pageMargins left="0.25" right="0.25" top="0.5" bottom="0.5" header="0.25" footer="0.25"/>
  <pageSetup paperSize="5" scale="9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7</xdr:col>
                    <xdr:colOff>209550</xdr:colOff>
                    <xdr:row>7</xdr:row>
                    <xdr:rowOff>180975</xdr:rowOff>
                  </from>
                  <to>
                    <xdr:col>8</xdr:col>
                    <xdr:colOff>342900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8</xdr:col>
                    <xdr:colOff>476250</xdr:colOff>
                    <xdr:row>7</xdr:row>
                    <xdr:rowOff>180975</xdr:rowOff>
                  </from>
                  <to>
                    <xdr:col>9</xdr:col>
                    <xdr:colOff>609600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AC656"/>
  <sheetViews>
    <sheetView zoomScale="75" zoomScaleNormal="75" workbookViewId="0">
      <pane xSplit="1" ySplit="12" topLeftCell="B13" activePane="bottomRight" state="frozen"/>
      <selection activeCell="A7" sqref="A7"/>
      <selection pane="topRight" activeCell="A7" sqref="A7"/>
      <selection pane="bottomLeft" activeCell="A7" sqref="A7"/>
      <selection pane="bottomRight" activeCell="B13" sqref="B13"/>
    </sheetView>
  </sheetViews>
  <sheetFormatPr defaultColWidth="7.109375" defaultRowHeight="12.75" x14ac:dyDescent="0.2"/>
  <cols>
    <col min="1" max="1" width="18.21875" style="33" customWidth="1"/>
    <col min="2" max="10" width="13" style="33" customWidth="1"/>
    <col min="11" max="11" width="18.6640625" style="33" customWidth="1"/>
    <col min="12" max="12" width="13" style="33" customWidth="1"/>
    <col min="13" max="16" width="20.6640625" style="33" customWidth="1"/>
    <col min="17" max="17" width="15.5546875" style="33" customWidth="1"/>
    <col min="18" max="18" width="16.21875" style="33" customWidth="1"/>
    <col min="19" max="19" width="13" style="8" customWidth="1"/>
    <col min="20" max="25" width="19.77734375" style="8" customWidth="1"/>
    <col min="26" max="26" width="15.5546875" style="8" customWidth="1"/>
    <col min="27" max="27" width="16.88671875" style="8" customWidth="1"/>
    <col min="28" max="29" width="14.77734375" style="8" customWidth="1"/>
    <col min="30" max="30" width="14" style="8" customWidth="1"/>
    <col min="31" max="31" width="10.21875" style="8" customWidth="1"/>
    <col min="32" max="32" width="11.77734375" style="8" customWidth="1"/>
    <col min="33" max="33" width="7.109375" style="8" customWidth="1"/>
    <col min="34" max="34" width="8.77734375" style="8" customWidth="1"/>
    <col min="35" max="35" width="9.21875" style="8" customWidth="1"/>
    <col min="36" max="36" width="11.77734375" style="8" customWidth="1"/>
    <col min="37" max="37" width="7.109375" style="8" customWidth="1"/>
    <col min="38" max="38" width="9.21875" style="8" customWidth="1"/>
    <col min="39" max="39" width="9.33203125" style="8" customWidth="1"/>
    <col min="40" max="40" width="8.21875" style="8" customWidth="1"/>
    <col min="41" max="41" width="9" style="8" customWidth="1"/>
    <col min="42" max="16384" width="7.109375" style="8"/>
  </cols>
  <sheetData>
    <row r="1" spans="1:29" ht="15.75" x14ac:dyDescent="0.25">
      <c r="A1" s="103" t="s">
        <v>90</v>
      </c>
    </row>
    <row r="2" spans="1:29" ht="15.75" x14ac:dyDescent="0.25">
      <c r="A2" s="103" t="s">
        <v>91</v>
      </c>
    </row>
    <row r="3" spans="1:29" ht="15.75" x14ac:dyDescent="0.25">
      <c r="A3" s="103" t="s">
        <v>92</v>
      </c>
    </row>
    <row r="4" spans="1:29" ht="15.75" x14ac:dyDescent="0.25">
      <c r="A4" s="103" t="s">
        <v>93</v>
      </c>
    </row>
    <row r="5" spans="1:29" ht="15.75" x14ac:dyDescent="0.25">
      <c r="A5" s="103" t="s">
        <v>95</v>
      </c>
    </row>
    <row r="6" spans="1:29" ht="15.75" x14ac:dyDescent="0.25">
      <c r="A6" s="103" t="s">
        <v>99</v>
      </c>
    </row>
    <row r="7" spans="1:29" s="25" customForma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29" ht="15.75" x14ac:dyDescent="0.25">
      <c r="A8" s="42" t="s">
        <v>27</v>
      </c>
      <c r="M8" s="75"/>
      <c r="N8" s="75"/>
      <c r="O8" s="71"/>
      <c r="P8" s="71"/>
      <c r="T8" s="112" t="s">
        <v>79</v>
      </c>
      <c r="U8" s="112"/>
      <c r="V8" s="112"/>
      <c r="W8" s="112"/>
      <c r="X8" s="112"/>
      <c r="Y8" s="112"/>
    </row>
    <row r="9" spans="1:29" ht="16.5" thickBot="1" x14ac:dyDescent="0.3">
      <c r="A9" s="42"/>
      <c r="B9" s="40" t="s">
        <v>25</v>
      </c>
      <c r="C9" s="74">
        <f>1-0.208</f>
        <v>0.79200000000000004</v>
      </c>
      <c r="D9" s="40"/>
      <c r="E9" s="74">
        <v>1.208</v>
      </c>
      <c r="F9" s="74"/>
      <c r="G9" s="74"/>
      <c r="H9" s="1"/>
      <c r="I9" s="1"/>
      <c r="J9" s="1"/>
      <c r="K9" s="1"/>
      <c r="L9" s="1"/>
      <c r="M9" s="1"/>
      <c r="N9" s="1"/>
      <c r="O9" s="1"/>
      <c r="P9" s="1"/>
      <c r="T9" s="112" t="s">
        <v>78</v>
      </c>
      <c r="U9" s="112"/>
      <c r="V9" s="112"/>
      <c r="W9" s="112"/>
      <c r="X9" s="112"/>
      <c r="Y9" s="112"/>
      <c r="Z9" s="108"/>
      <c r="AA9" s="108"/>
      <c r="AB9" s="1"/>
    </row>
    <row r="10" spans="1:29" ht="21.75" thickTop="1" thickBot="1" x14ac:dyDescent="0.35">
      <c r="B10" s="73"/>
      <c r="C10" s="72"/>
      <c r="D10" s="73"/>
      <c r="E10" s="72"/>
      <c r="F10" s="72"/>
      <c r="G10" s="72"/>
      <c r="H10" s="1"/>
      <c r="I10" s="1"/>
      <c r="J10" s="1"/>
      <c r="K10" s="1"/>
      <c r="L10" s="1"/>
      <c r="M10" s="1"/>
      <c r="N10" s="1"/>
      <c r="O10" s="1"/>
      <c r="P10" s="1"/>
      <c r="T10" s="113" t="s">
        <v>77</v>
      </c>
      <c r="U10" s="114"/>
      <c r="V10" s="114"/>
      <c r="W10" s="114"/>
      <c r="X10" s="114"/>
      <c r="Y10" s="115"/>
      <c r="Z10" s="71"/>
      <c r="AA10" s="71"/>
      <c r="AB10" s="1"/>
    </row>
    <row r="11" spans="1:29" s="35" customFormat="1" ht="112.5" customHeight="1" thickTop="1" x14ac:dyDescent="0.25">
      <c r="B11" s="66" t="s">
        <v>76</v>
      </c>
      <c r="C11" s="70" t="s">
        <v>75</v>
      </c>
      <c r="D11" s="66" t="s">
        <v>74</v>
      </c>
      <c r="E11" s="66" t="s">
        <v>73</v>
      </c>
      <c r="F11" s="70" t="s">
        <v>72</v>
      </c>
      <c r="G11" s="70" t="s">
        <v>71</v>
      </c>
      <c r="H11" s="70" t="s">
        <v>70</v>
      </c>
      <c r="I11" s="70" t="s">
        <v>69</v>
      </c>
      <c r="J11" s="70" t="s">
        <v>68</v>
      </c>
      <c r="K11" s="67" t="s">
        <v>67</v>
      </c>
      <c r="L11" s="36" t="s">
        <v>66</v>
      </c>
      <c r="M11" s="69" t="s">
        <v>65</v>
      </c>
      <c r="N11" s="69" t="s">
        <v>64</v>
      </c>
      <c r="O11" s="69" t="s">
        <v>63</v>
      </c>
      <c r="P11" s="69" t="s">
        <v>62</v>
      </c>
      <c r="Q11" s="36" t="s">
        <v>61</v>
      </c>
      <c r="R11" s="38" t="s">
        <v>60</v>
      </c>
      <c r="S11" s="36" t="s">
        <v>59</v>
      </c>
      <c r="T11" s="65" t="s">
        <v>58</v>
      </c>
      <c r="U11" s="65" t="s">
        <v>57</v>
      </c>
      <c r="V11" s="65" t="s">
        <v>56</v>
      </c>
      <c r="W11" s="65" t="s">
        <v>55</v>
      </c>
      <c r="X11" s="65" t="s">
        <v>54</v>
      </c>
      <c r="Y11" s="65" t="s">
        <v>53</v>
      </c>
      <c r="Z11" s="38" t="s">
        <v>52</v>
      </c>
      <c r="AA11" s="38" t="s">
        <v>51</v>
      </c>
      <c r="AB11" s="66" t="s">
        <v>50</v>
      </c>
      <c r="AC11" s="68" t="s">
        <v>49</v>
      </c>
    </row>
    <row r="12" spans="1:29" s="35" customFormat="1" ht="15.75" x14ac:dyDescent="0.25">
      <c r="A12" s="37" t="s">
        <v>15</v>
      </c>
      <c r="B12" s="36" t="s">
        <v>14</v>
      </c>
      <c r="C12" s="36" t="s">
        <v>14</v>
      </c>
      <c r="D12" s="36" t="s">
        <v>14</v>
      </c>
      <c r="E12" s="36" t="s">
        <v>14</v>
      </c>
      <c r="F12" s="36" t="s">
        <v>14</v>
      </c>
      <c r="G12" s="36" t="s">
        <v>14</v>
      </c>
      <c r="H12" s="36" t="s">
        <v>14</v>
      </c>
      <c r="I12" s="36" t="s">
        <v>14</v>
      </c>
      <c r="J12" s="36" t="s">
        <v>14</v>
      </c>
      <c r="K12" s="67" t="s">
        <v>14</v>
      </c>
      <c r="L12" s="36" t="s">
        <v>14</v>
      </c>
      <c r="M12" s="36" t="s">
        <v>14</v>
      </c>
      <c r="N12" s="36" t="s">
        <v>14</v>
      </c>
      <c r="O12" s="36" t="s">
        <v>14</v>
      </c>
      <c r="P12" s="36" t="s">
        <v>14</v>
      </c>
      <c r="Q12" s="36" t="s">
        <v>14</v>
      </c>
      <c r="R12" s="36" t="s">
        <v>14</v>
      </c>
      <c r="S12" s="36" t="s">
        <v>14</v>
      </c>
      <c r="T12" s="65" t="s">
        <v>48</v>
      </c>
      <c r="U12" s="65" t="s">
        <v>48</v>
      </c>
      <c r="V12" s="65" t="s">
        <v>48</v>
      </c>
      <c r="W12" s="65" t="s">
        <v>48</v>
      </c>
      <c r="X12" s="65" t="s">
        <v>48</v>
      </c>
      <c r="Y12" s="65" t="s">
        <v>48</v>
      </c>
      <c r="Z12" s="36" t="s">
        <v>14</v>
      </c>
      <c r="AA12" s="36" t="s">
        <v>48</v>
      </c>
      <c r="AB12" s="66" t="s">
        <v>14</v>
      </c>
      <c r="AC12" s="65" t="s">
        <v>14</v>
      </c>
    </row>
    <row r="13" spans="1:29" ht="15.75" x14ac:dyDescent="0.25">
      <c r="A13" s="16">
        <v>41275</v>
      </c>
      <c r="B13" s="62">
        <v>3.4693411405589898</v>
      </c>
      <c r="C13" s="62">
        <v>3.47442538832698</v>
      </c>
      <c r="D13" s="62">
        <v>3.5918799851734899</v>
      </c>
      <c r="E13" s="62">
        <v>3.62563976038513</v>
      </c>
      <c r="F13" s="62">
        <v>3.4827097294503502</v>
      </c>
      <c r="G13" s="62">
        <v>3.4975364689593298</v>
      </c>
      <c r="H13" s="62">
        <v>3.6145177663942398</v>
      </c>
      <c r="I13" s="62">
        <v>3.5091919375943799</v>
      </c>
      <c r="J13" s="62">
        <v>3.4753097294503501</v>
      </c>
      <c r="K13" s="64"/>
      <c r="L13" s="62">
        <v>4.2015177663942396</v>
      </c>
      <c r="M13" s="62">
        <v>3.4510577257516601</v>
      </c>
      <c r="N13" s="62">
        <v>3.46575112309643</v>
      </c>
      <c r="O13" s="62">
        <v>3.5890138150970801</v>
      </c>
      <c r="P13" s="62">
        <v>3.4845926581983502</v>
      </c>
      <c r="Q13" s="62">
        <v>4.1837138150970796</v>
      </c>
      <c r="R13" s="62">
        <v>4.7811730996348203</v>
      </c>
      <c r="S13" s="62">
        <v>3.3547069680724899</v>
      </c>
      <c r="T13" s="63">
        <v>29.034112</v>
      </c>
      <c r="U13" s="63">
        <v>12.063650000000001</v>
      </c>
      <c r="V13" s="63">
        <v>4.9444999999999997</v>
      </c>
      <c r="W13" s="63">
        <v>0.56798199999999999</v>
      </c>
      <c r="X13" s="63">
        <v>0</v>
      </c>
      <c r="Y13" s="63">
        <v>0.39</v>
      </c>
      <c r="Z13" s="62">
        <v>3.49160559679886</v>
      </c>
      <c r="AA13" s="61">
        <v>0.78900000000000003</v>
      </c>
      <c r="AB13" s="60">
        <v>3.5128713827202498</v>
      </c>
      <c r="AC13" s="59">
        <v>3.5263496753376899</v>
      </c>
    </row>
    <row r="14" spans="1:29" ht="15.75" x14ac:dyDescent="0.25">
      <c r="A14" s="16">
        <v>41306</v>
      </c>
      <c r="B14" s="17">
        <v>3.3373871192168498</v>
      </c>
      <c r="C14" s="17">
        <v>3.34247136698484</v>
      </c>
      <c r="D14" s="17">
        <v>3.4274416903447098</v>
      </c>
      <c r="E14" s="17">
        <v>3.4612014655563499</v>
      </c>
      <c r="F14" s="17">
        <v>3.32921003516193</v>
      </c>
      <c r="G14" s="17">
        <v>3.3428860878936399</v>
      </c>
      <c r="H14" s="17">
        <v>3.4500794715654499</v>
      </c>
      <c r="I14" s="17">
        <v>3.3623461586604102</v>
      </c>
      <c r="J14" s="17">
        <v>3.32181003516193</v>
      </c>
      <c r="K14" s="52"/>
      <c r="L14" s="17">
        <v>4.0370794715654501</v>
      </c>
      <c r="M14" s="17">
        <v>3.2989385090408998</v>
      </c>
      <c r="N14" s="17">
        <v>3.3124915681456</v>
      </c>
      <c r="O14" s="17">
        <v>3.42605437258766</v>
      </c>
      <c r="P14" s="17">
        <v>3.3390715772188799</v>
      </c>
      <c r="Q14" s="17">
        <v>4.0207543725876604</v>
      </c>
      <c r="R14" s="17">
        <v>4.6178062585191304</v>
      </c>
      <c r="S14" s="17">
        <v>3.2267511535770201</v>
      </c>
      <c r="T14" s="56">
        <v>26.280478500000001</v>
      </c>
      <c r="U14" s="56">
        <v>10.8962</v>
      </c>
      <c r="V14" s="56">
        <v>4.4660000000000002</v>
      </c>
      <c r="W14" s="56">
        <v>0.51301600000000003</v>
      </c>
      <c r="X14" s="56">
        <v>0</v>
      </c>
      <c r="Y14" s="56">
        <v>0.39</v>
      </c>
      <c r="Z14" s="17">
        <v>3.3376078337533501</v>
      </c>
      <c r="AA14" s="55">
        <v>0.78900000000000003</v>
      </c>
      <c r="AB14" s="48">
        <v>3.3650754313211002</v>
      </c>
      <c r="AC14" s="45">
        <v>3.36964273692133</v>
      </c>
    </row>
    <row r="15" spans="1:29" ht="15.75" x14ac:dyDescent="0.25">
      <c r="A15" s="16">
        <v>41334</v>
      </c>
      <c r="B15" s="17">
        <v>3.5446221553058099</v>
      </c>
      <c r="C15" s="17">
        <v>3.5497064030738099</v>
      </c>
      <c r="D15" s="17">
        <v>3.6259111288261701</v>
      </c>
      <c r="E15" s="17">
        <v>3.6596709040378101</v>
      </c>
      <c r="F15" s="17">
        <v>3.5438843996438298</v>
      </c>
      <c r="G15" s="17">
        <v>3.5577092992119201</v>
      </c>
      <c r="H15" s="17">
        <v>3.6485489100469102</v>
      </c>
      <c r="I15" s="17">
        <v>3.55729372718785</v>
      </c>
      <c r="J15" s="17">
        <v>3.5364843996438302</v>
      </c>
      <c r="K15" s="52"/>
      <c r="L15" s="17">
        <v>4.2355489100469104</v>
      </c>
      <c r="M15" s="17">
        <v>3.5116822302857602</v>
      </c>
      <c r="N15" s="17">
        <v>3.5253827975940699</v>
      </c>
      <c r="O15" s="17">
        <v>3.6227389045196601</v>
      </c>
      <c r="P15" s="17">
        <v>3.5322605208328999</v>
      </c>
      <c r="Q15" s="17">
        <v>4.2174389045196596</v>
      </c>
      <c r="R15" s="17">
        <v>4.8149825017809604</v>
      </c>
      <c r="S15" s="17">
        <v>3.4277069680724899</v>
      </c>
      <c r="T15" s="56">
        <v>29.128712</v>
      </c>
      <c r="U15" s="56">
        <v>12.063650000000001</v>
      </c>
      <c r="V15" s="56">
        <v>4.9444999999999997</v>
      </c>
      <c r="W15" s="56">
        <v>0.71033400000000002</v>
      </c>
      <c r="X15" s="56">
        <v>0</v>
      </c>
      <c r="Y15" s="56">
        <v>0.39</v>
      </c>
      <c r="Z15" s="17">
        <v>3.51872944531473</v>
      </c>
      <c r="AA15" s="55">
        <v>0.78900000000000003</v>
      </c>
      <c r="AB15" s="48">
        <v>3.5712349617297399</v>
      </c>
      <c r="AC15" s="45">
        <v>3.5713699258364802</v>
      </c>
    </row>
    <row r="16" spans="1:29" ht="15.75" x14ac:dyDescent="0.25">
      <c r="A16" s="16">
        <v>41365</v>
      </c>
      <c r="B16" s="17">
        <f>CHOOSE(CONTROL!$C$42, 3.6832, 3.6832) * CHOOSE(CONTROL!$C$21, $C$9, 100%, $E$9)</f>
        <v>3.6831999999999998</v>
      </c>
      <c r="C16" s="17">
        <f>CHOOSE(CONTROL!$C$42, 3.6877, 3.6877) * CHOOSE(CONTROL!$C$21, $C$9, 100%, $E$9)</f>
        <v>3.6877</v>
      </c>
      <c r="D16" s="17">
        <f>CHOOSE(CONTROL!$C$42, 3.9112, 3.9112) * CHOOSE(CONTROL!$C$21, $C$9, 100%, $E$9)</f>
        <v>3.9112</v>
      </c>
      <c r="E16" s="17">
        <f>CHOOSE(CONTROL!$C$42, 3.9433, 3.9433) * CHOOSE(CONTROL!$C$21, $C$9, 100%, $E$9)</f>
        <v>3.9432999999999998</v>
      </c>
      <c r="F16" s="17">
        <f>CHOOSE(CONTROL!$C$42, 3.6936, 3.6936)*CHOOSE(CONTROL!$C$21, $C$9, 100%, $E$9)</f>
        <v>3.6936</v>
      </c>
      <c r="G16" s="17">
        <f>CHOOSE(CONTROL!$C$42, 3.7083, 3.7083)*CHOOSE(CONTROL!$C$21, $C$9, 100%, $E$9)</f>
        <v>3.7082999999999999</v>
      </c>
      <c r="H16" s="17">
        <f>CHOOSE(CONTROL!$C$42, 3.9331, 3.9331) * CHOOSE(CONTROL!$C$21, $C$9, 100%, $E$9)</f>
        <v>3.9331</v>
      </c>
      <c r="I16" s="17">
        <f>CHOOSE(CONTROL!$C$42, 3.7124, 3.7124)* CHOOSE(CONTROL!$C$21, $C$9, 100%, $E$9)</f>
        <v>3.7124000000000001</v>
      </c>
      <c r="J16" s="17">
        <f>CHOOSE(CONTROL!$C$42, 3.6866, 3.6866)* CHOOSE(CONTROL!$C$21, $C$9, 100%, $E$9)</f>
        <v>3.6865999999999999</v>
      </c>
      <c r="K16" s="52"/>
      <c r="L16" s="17">
        <f>CHOOSE(CONTROL!$C$42, 4.5201, 4.5201) * CHOOSE(CONTROL!$C$21, $C$9, 100%, $E$9)</f>
        <v>4.5201000000000002</v>
      </c>
      <c r="M16" s="17">
        <f>CHOOSE(CONTROL!$C$42, 3.628, 3.628) * CHOOSE(CONTROL!$C$21, $C$9, 100%, $E$9)</f>
        <v>3.6280000000000001</v>
      </c>
      <c r="N16" s="17">
        <f>CHOOSE(CONTROL!$C$42, 3.6424, 3.6424) * CHOOSE(CONTROL!$C$21, $C$9, 100%, $E$9)</f>
        <v>3.6423999999999999</v>
      </c>
      <c r="O16" s="17">
        <f>CHOOSE(CONTROL!$C$42, 3.8701, 3.8701) * CHOOSE(CONTROL!$C$21, $C$9, 100%, $E$9)</f>
        <v>3.8700999999999999</v>
      </c>
      <c r="P16" s="17">
        <f>CHOOSE(CONTROL!$C$42, 3.6532, 3.6532) * CHOOSE(CONTROL!$C$21, $C$9, 100%, $E$9)</f>
        <v>3.6532</v>
      </c>
      <c r="Q16" s="17">
        <f>CHOOSE(CONTROL!$C$42, 4.4648, 4.4648) * CHOOSE(CONTROL!$C$21, $C$9, 100%, $E$9)</f>
        <v>4.4648000000000003</v>
      </c>
      <c r="R16" s="17">
        <f>CHOOSE(CONTROL!$C$42, 5.0629, 5.0629) * CHOOSE(CONTROL!$C$21, $C$9, 100%, $E$9)</f>
        <v>5.0629</v>
      </c>
      <c r="S16" s="17">
        <f>CHOOSE(CONTROL!$C$42, 3.5299, 3.5299) * CHOOSE(CONTROL!$C$21, $C$9, 100%, $E$9)</f>
        <v>3.5299</v>
      </c>
      <c r="T16" s="56">
        <f>(((280000*CHOOSE(CONTROL!$C$42, 0.4694, 0.4694)+(839000-280000)*CHOOSE(CONTROL!$C$42, 0.7185, 0.7185)+400000*CHOOSE(CONTROL!$C$42, 1.14, 1.14))*CHOOSE(CONTROL!$C$42, 30, 30))/1000000)+CHOOSE(CONTROL!$C$42, 0.2248, 0.2248)+CHOOSE(CONTROL!$C$42, 0, 0)</f>
        <v>29.897005</v>
      </c>
      <c r="U16" s="56">
        <f>(1000*CHOOSE(CONTROL!$C$42, 695, 695)*CHOOSE(CONTROL!$C$42, 0.5599, 0.5599)*CHOOSE(CONTROL!$C$42, 30, 30))/1000000</f>
        <v>11.673914999999997</v>
      </c>
      <c r="V16" s="56">
        <f>(1000*CHOOSE(CONTROL!$C$42, 580, 580)*CHOOSE(CONTROL!$C$42, 0.275, 0.275)*CHOOSE(CONTROL!$C$42, 30, 30))/1000000</f>
        <v>4.7850000000000001</v>
      </c>
      <c r="W16" s="56">
        <f>(1000*CHOOSE(CONTROL!$C$42, 0.1146, 0.1146)*CHOOSE(CONTROL!$C$42, 200, 200)*CHOOSE(CONTROL!$C$42, 30, 30))/1000000</f>
        <v>0.68759999999999999</v>
      </c>
      <c r="X16" s="56">
        <f>30*0.1790888*145000/1000000</f>
        <v>0.77903627999999991</v>
      </c>
      <c r="Y16" s="56">
        <f t="shared" ref="Y16:Y27" si="0">(0.16*2500000)/1000000</f>
        <v>0.4</v>
      </c>
      <c r="Z16" s="17">
        <f>CHOOSE(CONTROL!$C$42, 3.6392, 3.6392) * CHOOSE(CONTROL!$C$21, $C$9, 100%, $E$9)</f>
        <v>3.6392000000000002</v>
      </c>
      <c r="AA16" s="55">
        <f>(131500*30*(6/30))/1000000</f>
        <v>0.78900000000000003</v>
      </c>
      <c r="AB16" s="48">
        <f>(B16*141.293+C16*267.993+D16*115.016+E16*249.698+F16*40+G16*25+H16*0+I16*100+J16*300)/(141.293+267.993+115.016+249.698+0+40+25+100+300)</f>
        <v>3.7617791495560935</v>
      </c>
      <c r="AC16" s="45">
        <f t="shared" ref="AC16:AC22" si="1">(M16*240+N16*120+O16*235+P16*100)/(240+120+235+100)</f>
        <v>3.7159733812949645</v>
      </c>
    </row>
    <row r="17" spans="1:29" ht="15.75" x14ac:dyDescent="0.25">
      <c r="A17" s="16">
        <v>41395</v>
      </c>
      <c r="B17" s="17">
        <f>CHOOSE(CONTROL!$C$42, 3.7294, 3.7294) * CHOOSE(CONTROL!$C$21, $C$9, 100%, $E$9)</f>
        <v>3.7294</v>
      </c>
      <c r="C17" s="17">
        <f>CHOOSE(CONTROL!$C$42, 3.7374, 3.7374) * CHOOSE(CONTROL!$C$21, $C$9, 100%, $E$9)</f>
        <v>3.7374000000000001</v>
      </c>
      <c r="D17" s="17">
        <f>CHOOSE(CONTROL!$C$42, 3.9639, 3.9639) * CHOOSE(CONTROL!$C$21, $C$9, 100%, $E$9)</f>
        <v>3.9639000000000002</v>
      </c>
      <c r="E17" s="17">
        <f>CHOOSE(CONTROL!$C$42, 3.9954, 3.9954) * CHOOSE(CONTROL!$C$21, $C$9, 100%, $E$9)</f>
        <v>3.9954000000000001</v>
      </c>
      <c r="F17" s="17">
        <f>CHOOSE(CONTROL!$C$42, 3.7351, 3.7351)*CHOOSE(CONTROL!$C$21, $C$9, 100%, $E$9)</f>
        <v>3.7351000000000001</v>
      </c>
      <c r="G17" s="17">
        <f>CHOOSE(CONTROL!$C$42, 3.7502, 3.7502)*CHOOSE(CONTROL!$C$21, $C$9, 100%, $E$9)</f>
        <v>3.7502</v>
      </c>
      <c r="H17" s="17">
        <f>CHOOSE(CONTROL!$C$42, 3.984, 3.984) * CHOOSE(CONTROL!$C$21, $C$9, 100%, $E$9)</f>
        <v>3.984</v>
      </c>
      <c r="I17" s="17">
        <f>CHOOSE(CONTROL!$C$42, 3.7573, 3.7573)* CHOOSE(CONTROL!$C$21, $C$9, 100%, $E$9)</f>
        <v>3.7572999999999999</v>
      </c>
      <c r="J17" s="17">
        <f>CHOOSE(CONTROL!$C$42, 3.7281, 3.7281)* CHOOSE(CONTROL!$C$21, $C$9, 100%, $E$9)</f>
        <v>3.7281</v>
      </c>
      <c r="K17" s="52"/>
      <c r="L17" s="17">
        <f>CHOOSE(CONTROL!$C$42, 4.571, 4.571) * CHOOSE(CONTROL!$C$21, $C$9, 100%, $E$9)</f>
        <v>4.5709999999999997</v>
      </c>
      <c r="M17" s="17">
        <f>CHOOSE(CONTROL!$C$42, 3.6688, 3.6688) * CHOOSE(CONTROL!$C$21, $C$9, 100%, $E$9)</f>
        <v>3.6688000000000001</v>
      </c>
      <c r="N17" s="17">
        <f>CHOOSE(CONTROL!$C$42, 3.6836, 3.6836) * CHOOSE(CONTROL!$C$21, $C$9, 100%, $E$9)</f>
        <v>3.6836000000000002</v>
      </c>
      <c r="O17" s="17">
        <f>CHOOSE(CONTROL!$C$42, 3.9201, 3.9201) * CHOOSE(CONTROL!$C$21, $C$9, 100%, $E$9)</f>
        <v>3.9201000000000001</v>
      </c>
      <c r="P17" s="17">
        <f>CHOOSE(CONTROL!$C$42, 3.6972, 3.6972) * CHOOSE(CONTROL!$C$21, $C$9, 100%, $E$9)</f>
        <v>3.6972</v>
      </c>
      <c r="Q17" s="17">
        <f>CHOOSE(CONTROL!$C$42, 4.5148, 4.5148) * CHOOSE(CONTROL!$C$21, $C$9, 100%, $E$9)</f>
        <v>4.5148000000000001</v>
      </c>
      <c r="R17" s="17">
        <f>CHOOSE(CONTROL!$C$42, 5.113, 5.113) * CHOOSE(CONTROL!$C$21, $C$9, 100%, $E$9)</f>
        <v>5.1130000000000004</v>
      </c>
      <c r="S17" s="17">
        <f>CHOOSE(CONTROL!$C$42, 3.5729, 3.5729) * CHOOSE(CONTROL!$C$21, $C$9, 100%, $E$9)</f>
        <v>3.5729000000000002</v>
      </c>
      <c r="T17" s="57">
        <f>((((430000*CHOOSE(CONTROL!$C$42, 0.4694, 0.4694)+(874000-430000)*CHOOSE(CONTROL!$C$42, 0.7185, 0.7185)+400000*CHOOSE(CONTROL!$C$42, 1.14, 1.14)+30000*0.98)*CHOOSE(CONTROL!$C$42, 31, 31))/1000000))+CHOOSE(CONTROL!$C$42, 0.188, 0.188)+CHOOSE(CONTROL!$C$42, 0, 0)</f>
        <v>31.381936</v>
      </c>
      <c r="U17" s="56">
        <f>(1000*CHOOSE(CONTROL!$C$42, 695, 695)*CHOOSE(CONTROL!$C$42, 0.5599, 0.5599)*CHOOSE(CONTROL!$C$42, 31, 31))/1000000</f>
        <v>12.063045499999998</v>
      </c>
      <c r="V17" s="56">
        <f>(1000*CHOOSE(CONTROL!$C$42, 580, 580)*CHOOSE(CONTROL!$C$42, 0.275, 0.275)*CHOOSE(CONTROL!$C$42, 31, 31))/1000000</f>
        <v>4.9444999999999997</v>
      </c>
      <c r="W17" s="56">
        <f>(1000*CHOOSE(CONTROL!$C$42, 0.1146, 0.1146)*CHOOSE(CONTROL!$C$42, 200, 200)*CHOOSE(CONTROL!$C$42, 31, 31))/1000000</f>
        <v>0.71052000000000004</v>
      </c>
      <c r="X17" s="56">
        <f>31*0.1790888*145000/1000000</f>
        <v>0.80500415599999997</v>
      </c>
      <c r="Y17" s="56">
        <f t="shared" si="0"/>
        <v>0.4</v>
      </c>
      <c r="Z17" s="17">
        <f>CHOOSE(CONTROL!$C$42, 3.6773, 3.6773) * CHOOSE(CONTROL!$C$21, $C$9, 100%, $E$9)</f>
        <v>3.6772999999999998</v>
      </c>
      <c r="AA17" s="55">
        <f>(131500*31*(6/31))/1000000</f>
        <v>0.78900000000000003</v>
      </c>
      <c r="AB17" s="48">
        <f>(B17*194.205+C17*267.466+D17*133.845+E17*213.484+F17*40+G17*25+H17*30+I17*100+J17*300)/(194.205+267.466+133.845+213.484+30+40+25+100+300)</f>
        <v>3.8069300034509208</v>
      </c>
      <c r="AC17" s="45">
        <f t="shared" si="1"/>
        <v>3.7604136690647483</v>
      </c>
    </row>
    <row r="18" spans="1:29" ht="15.75" x14ac:dyDescent="0.25">
      <c r="A18" s="16">
        <v>41426</v>
      </c>
      <c r="B18" s="17">
        <f>CHOOSE(CONTROL!$C$42, 3.7773, 3.7773) * CHOOSE(CONTROL!$C$21, $C$9, 100%, $E$9)</f>
        <v>3.7772999999999999</v>
      </c>
      <c r="C18" s="17">
        <f>CHOOSE(CONTROL!$C$42, 3.7853, 3.7853) * CHOOSE(CONTROL!$C$21, $C$9, 100%, $E$9)</f>
        <v>3.7852999999999999</v>
      </c>
      <c r="D18" s="17">
        <f>CHOOSE(CONTROL!$C$42, 4.0474, 4.0474) * CHOOSE(CONTROL!$C$21, $C$9, 100%, $E$9)</f>
        <v>4.0473999999999997</v>
      </c>
      <c r="E18" s="17">
        <f>CHOOSE(CONTROL!$C$42, 4.0788, 4.0788) * CHOOSE(CONTROL!$C$21, $C$9, 100%, $E$9)</f>
        <v>4.0788000000000002</v>
      </c>
      <c r="F18" s="17">
        <f>CHOOSE(CONTROL!$C$42, 3.7864, 3.7864)*CHOOSE(CONTROL!$C$21, $C$9, 100%, $E$9)</f>
        <v>3.7864</v>
      </c>
      <c r="G18" s="17">
        <f>CHOOSE(CONTROL!$C$42, 3.8017, 3.8017)*CHOOSE(CONTROL!$C$21, $C$9, 100%, $E$9)</f>
        <v>3.8016999999999999</v>
      </c>
      <c r="H18" s="17">
        <f>CHOOSE(CONTROL!$C$42, 4.0675, 4.0675) * CHOOSE(CONTROL!$C$21, $C$9, 100%, $E$9)</f>
        <v>4.0674999999999999</v>
      </c>
      <c r="I18" s="17">
        <f>CHOOSE(CONTROL!$C$42, 3.8053, 3.8053)* CHOOSE(CONTROL!$C$21, $C$9, 100%, $E$9)</f>
        <v>3.8052999999999999</v>
      </c>
      <c r="J18" s="17">
        <f>CHOOSE(CONTROL!$C$42, 3.7794, 3.7794)* CHOOSE(CONTROL!$C$21, $C$9, 100%, $E$9)</f>
        <v>3.7793999999999999</v>
      </c>
      <c r="K18" s="52"/>
      <c r="L18" s="17">
        <f>CHOOSE(CONTROL!$C$42, 4.6545, 4.6545) * CHOOSE(CONTROL!$C$21, $C$9, 100%, $E$9)</f>
        <v>4.6544999999999996</v>
      </c>
      <c r="M18" s="17">
        <f>CHOOSE(CONTROL!$C$42, 3.7192, 3.7192) * CHOOSE(CONTROL!$C$21, $C$9, 100%, $E$9)</f>
        <v>3.7191999999999998</v>
      </c>
      <c r="N18" s="17">
        <f>CHOOSE(CONTROL!$C$42, 3.7342, 3.7342) * CHOOSE(CONTROL!$C$21, $C$9, 100%, $E$9)</f>
        <v>3.7342</v>
      </c>
      <c r="O18" s="17">
        <f>CHOOSE(CONTROL!$C$42, 4.002, 4.002) * CHOOSE(CONTROL!$C$21, $C$9, 100%, $E$9)</f>
        <v>4.0019999999999998</v>
      </c>
      <c r="P18" s="17">
        <f>CHOOSE(CONTROL!$C$42, 3.7444, 3.7444) * CHOOSE(CONTROL!$C$21, $C$9, 100%, $E$9)</f>
        <v>3.7444000000000002</v>
      </c>
      <c r="Q18" s="17">
        <f>CHOOSE(CONTROL!$C$42, 4.5967, 4.5967) * CHOOSE(CONTROL!$C$21, $C$9, 100%, $E$9)</f>
        <v>4.5967000000000002</v>
      </c>
      <c r="R18" s="17">
        <f>CHOOSE(CONTROL!$C$42, 5.1952, 5.1952) * CHOOSE(CONTROL!$C$21, $C$9, 100%, $E$9)</f>
        <v>5.1951999999999998</v>
      </c>
      <c r="S18" s="17">
        <f>CHOOSE(CONTROL!$C$42, 3.6189, 3.6189) * CHOOSE(CONTROL!$C$21, $C$9, 100%, $E$9)</f>
        <v>3.6189</v>
      </c>
      <c r="T18" s="57">
        <f>((((430000*CHOOSE(CONTROL!$C$42, 0.4694, 0.4694)+(874000-430000)*CHOOSE(CONTROL!$C$42, 0.7185, 0.7185)+400000*CHOOSE(CONTROL!$C$42, 1.14, 1.14)+30000*0.98)*CHOOSE(CONTROL!$C$42, 30, 30))/1000000))+CHOOSE(CONTROL!$C$42, 0.1616, 0.1616)+CHOOSE(CONTROL!$C$42, 0.5074, 0.5074)</f>
        <v>30.856680000000001</v>
      </c>
      <c r="U18" s="56">
        <f>(1000*CHOOSE(CONTROL!$C$42, 695, 695)*CHOOSE(CONTROL!$C$42, 0.5599, 0.5599)*CHOOSE(CONTROL!$C$42, 30, 30))/1000000</f>
        <v>11.673914999999997</v>
      </c>
      <c r="V18" s="56">
        <f>(1000*CHOOSE(CONTROL!$C$42, 580, 580)*CHOOSE(CONTROL!$C$42, 0.275, 0.275)*CHOOSE(CONTROL!$C$42, 30, 30))/1000000</f>
        <v>4.7850000000000001</v>
      </c>
      <c r="W18" s="56">
        <f>(1000*CHOOSE(CONTROL!$C$42, 0.1146, 0.1146)*CHOOSE(CONTROL!$C$42, 200, 200)*CHOOSE(CONTROL!$C$42, 30, 30))/1000000</f>
        <v>0.68759999999999999</v>
      </c>
      <c r="X18" s="56">
        <f>30*0.1790888*145000/1000000</f>
        <v>0.77903627999999991</v>
      </c>
      <c r="Y18" s="56">
        <f t="shared" si="0"/>
        <v>0.4</v>
      </c>
      <c r="Z18" s="17">
        <f>CHOOSE(CONTROL!$C$42, 3.7243, 3.7243) * CHOOSE(CONTROL!$C$21, $C$9, 100%, $E$9)</f>
        <v>3.7242999999999999</v>
      </c>
      <c r="AA18" s="55">
        <f>(131500*30*(6/30))/1000000</f>
        <v>0.78900000000000003</v>
      </c>
      <c r="AB18" s="48">
        <f>(B18*194.205+C18*267.466+D18*133.845+E18*213.484+F18*40+G18*25+H18*30+I18*100+J18*300)/(194.205+267.466+133.845+213.484+30+40+25+100+300)</f>
        <v>3.8660781353527605</v>
      </c>
      <c r="AC18" s="45">
        <f t="shared" si="1"/>
        <v>3.8210388489208631</v>
      </c>
    </row>
    <row r="19" spans="1:29" ht="15.75" x14ac:dyDescent="0.25">
      <c r="A19" s="16">
        <v>41456</v>
      </c>
      <c r="B19" s="17">
        <f>CHOOSE(CONTROL!$C$42, 3.8334, 3.8334) * CHOOSE(CONTROL!$C$21, $C$9, 100%, $E$9)</f>
        <v>3.8334000000000001</v>
      </c>
      <c r="C19" s="17">
        <f>CHOOSE(CONTROL!$C$42, 3.8415, 3.8415) * CHOOSE(CONTROL!$C$21, $C$9, 100%, $E$9)</f>
        <v>3.8414999999999999</v>
      </c>
      <c r="D19" s="17">
        <f>CHOOSE(CONTROL!$C$42, 4.1801, 4.1801) * CHOOSE(CONTROL!$C$21, $C$9, 100%, $E$9)</f>
        <v>4.1801000000000004</v>
      </c>
      <c r="E19" s="17">
        <f>CHOOSE(CONTROL!$C$42, 4.2115, 4.2115) * CHOOSE(CONTROL!$C$21, $C$9, 100%, $E$9)</f>
        <v>4.2115</v>
      </c>
      <c r="F19" s="17">
        <f>CHOOSE(CONTROL!$C$42, 3.8453, 3.8453)*CHOOSE(CONTROL!$C$21, $C$9, 100%, $E$9)</f>
        <v>3.8452999999999999</v>
      </c>
      <c r="G19" s="17">
        <f>CHOOSE(CONTROL!$C$42, 3.8607, 3.8607)*CHOOSE(CONTROL!$C$21, $C$9, 100%, $E$9)</f>
        <v>3.8607</v>
      </c>
      <c r="H19" s="17">
        <f>CHOOSE(CONTROL!$C$42, 4.2002, 4.2002) * CHOOSE(CONTROL!$C$21, $C$9, 100%, $E$9)</f>
        <v>4.2001999999999997</v>
      </c>
      <c r="I19" s="17">
        <f>CHOOSE(CONTROL!$C$42, 3.8617, 3.8617)* CHOOSE(CONTROL!$C$21, $C$9, 100%, $E$9)</f>
        <v>3.8616999999999999</v>
      </c>
      <c r="J19" s="17">
        <f>CHOOSE(CONTROL!$C$42, 3.8383, 3.8383)* CHOOSE(CONTROL!$C$21, $C$9, 100%, $E$9)</f>
        <v>3.8382999999999998</v>
      </c>
      <c r="K19" s="52"/>
      <c r="L19" s="17">
        <f>CHOOSE(CONTROL!$C$42, 4.7872, 4.7872) * CHOOSE(CONTROL!$C$21, $C$9, 100%, $E$9)</f>
        <v>4.7872000000000003</v>
      </c>
      <c r="M19" s="17">
        <f>CHOOSE(CONTROL!$C$42, 3.7769, 3.7769) * CHOOSE(CONTROL!$C$21, $C$9, 100%, $E$9)</f>
        <v>3.7768999999999999</v>
      </c>
      <c r="N19" s="17">
        <f>CHOOSE(CONTROL!$C$42, 3.7921, 3.7921) * CHOOSE(CONTROL!$C$21, $C$9, 100%, $E$9)</f>
        <v>3.7921</v>
      </c>
      <c r="O19" s="17">
        <f>CHOOSE(CONTROL!$C$42, 4.1323, 4.1323) * CHOOSE(CONTROL!$C$21, $C$9, 100%, $E$9)</f>
        <v>4.1322999999999999</v>
      </c>
      <c r="P19" s="17">
        <f>CHOOSE(CONTROL!$C$42, 3.7998, 3.7998) * CHOOSE(CONTROL!$C$21, $C$9, 100%, $E$9)</f>
        <v>3.7997999999999998</v>
      </c>
      <c r="Q19" s="17">
        <f>CHOOSE(CONTROL!$C$42, 4.727, 4.727) * CHOOSE(CONTROL!$C$21, $C$9, 100%, $E$9)</f>
        <v>4.7270000000000003</v>
      </c>
      <c r="R19" s="17">
        <f>CHOOSE(CONTROL!$C$42, 5.3258, 5.3258) * CHOOSE(CONTROL!$C$21, $C$9, 100%, $E$9)</f>
        <v>5.3258000000000001</v>
      </c>
      <c r="S19" s="17">
        <f>CHOOSE(CONTROL!$C$42, 3.6729, 3.6729) * CHOOSE(CONTROL!$C$21, $C$9, 100%, $E$9)</f>
        <v>3.6728999999999998</v>
      </c>
      <c r="T19" s="57">
        <f>((((430000*CHOOSE(CONTROL!$C$42, 0.4694, 0.4694)+(874000-430000)*CHOOSE(CONTROL!$C$42, 0.7185, 0.7185)+400000*CHOOSE(CONTROL!$C$42, 1.14, 1.14)+30000*0.98)*CHOOSE(CONTROL!$C$42, 31, 31))/1000000))+CHOOSE(CONTROL!$C$42, 0.1555, 0.1555)+CHOOSE(CONTROL!$C$42, 0.5217, 0.5217)</f>
        <v>31.871136</v>
      </c>
      <c r="U19" s="56">
        <f>(1000*CHOOSE(CONTROL!$C$42, 695, 695)*CHOOSE(CONTROL!$C$42, 0.5599, 0.5599)*CHOOSE(CONTROL!$C$42, 31, 31))/1000000</f>
        <v>12.063045499999998</v>
      </c>
      <c r="V19" s="56">
        <f>(1000*CHOOSE(CONTROL!$C$42, 580, 580)*CHOOSE(CONTROL!$C$42, 0.275, 0.275)*CHOOSE(CONTROL!$C$42, 31, 31))/1000000</f>
        <v>4.9444999999999997</v>
      </c>
      <c r="W19" s="56">
        <f>(1000*CHOOSE(CONTROL!$C$42, 0.1146, 0.1146)*CHOOSE(CONTROL!$C$42, 200, 200)*CHOOSE(CONTROL!$C$42, 31, 31))/1000000</f>
        <v>0.71052000000000004</v>
      </c>
      <c r="X19" s="56">
        <f>31*0.1790888*145000/1000000</f>
        <v>0.80500415599999997</v>
      </c>
      <c r="Y19" s="56">
        <f t="shared" si="0"/>
        <v>0.4</v>
      </c>
      <c r="Z19" s="17">
        <f>CHOOSE(CONTROL!$C$42, 3.7796, 3.7796) * CHOOSE(CONTROL!$C$21, $C$9, 100%, $E$9)</f>
        <v>3.7795999999999998</v>
      </c>
      <c r="AA19" s="55">
        <f>(131500*31*(6/31))/1000000</f>
        <v>0.78900000000000003</v>
      </c>
      <c r="AB19" s="48">
        <f>(B19*194.205+C19*267.466+D19*133.845+E19*213.484+F19*40+G19*25+H19*30+I19*100+J19*300)/(194.205+267.466+133.845+213.484+30+40+25+100+300)</f>
        <v>3.9451724973159514</v>
      </c>
      <c r="AC19" s="45">
        <f t="shared" si="1"/>
        <v>3.9029906474820146</v>
      </c>
    </row>
    <row r="20" spans="1:29" ht="15.75" x14ac:dyDescent="0.25">
      <c r="A20" s="16">
        <v>41487</v>
      </c>
      <c r="B20" s="17">
        <f>CHOOSE(CONTROL!$C$42, 3.8647, 3.8647) * CHOOSE(CONTROL!$C$21, $C$9, 100%, $E$9)</f>
        <v>3.8647</v>
      </c>
      <c r="C20" s="17">
        <f>CHOOSE(CONTROL!$C$42, 3.8727, 3.8727) * CHOOSE(CONTROL!$C$21, $C$9, 100%, $E$9)</f>
        <v>3.8727</v>
      </c>
      <c r="D20" s="17">
        <f>CHOOSE(CONTROL!$C$42, 4.2113, 4.2113) * CHOOSE(CONTROL!$C$21, $C$9, 100%, $E$9)</f>
        <v>4.2112999999999996</v>
      </c>
      <c r="E20" s="17">
        <f>CHOOSE(CONTROL!$C$42, 4.2428, 4.2428) * CHOOSE(CONTROL!$C$21, $C$9, 100%, $E$9)</f>
        <v>4.2427999999999999</v>
      </c>
      <c r="F20" s="17">
        <f>CHOOSE(CONTROL!$C$42, 3.8797, 3.8797)*CHOOSE(CONTROL!$C$21, $C$9, 100%, $E$9)</f>
        <v>3.8797000000000001</v>
      </c>
      <c r="G20" s="17">
        <f>CHOOSE(CONTROL!$C$42, 3.8953, 3.8953)*CHOOSE(CONTROL!$C$21, $C$9, 100%, $E$9)</f>
        <v>3.8953000000000002</v>
      </c>
      <c r="H20" s="17">
        <f>CHOOSE(CONTROL!$C$42, 4.2314, 4.2314) * CHOOSE(CONTROL!$C$21, $C$9, 100%, $E$9)</f>
        <v>4.2313999999999998</v>
      </c>
      <c r="I20" s="17">
        <f>CHOOSE(CONTROL!$C$42, 3.893, 3.893)* CHOOSE(CONTROL!$C$21, $C$9, 100%, $E$9)</f>
        <v>3.8929999999999998</v>
      </c>
      <c r="J20" s="17">
        <f>CHOOSE(CONTROL!$C$42, 3.8727, 3.8727)* CHOOSE(CONTROL!$C$21, $C$9, 100%, $E$9)</f>
        <v>3.8727</v>
      </c>
      <c r="K20" s="52"/>
      <c r="L20" s="17">
        <f>CHOOSE(CONTROL!$C$42, 4.8184, 4.8184) * CHOOSE(CONTROL!$C$21, $C$9, 100%, $E$9)</f>
        <v>4.8183999999999996</v>
      </c>
      <c r="M20" s="17">
        <f>CHOOSE(CONTROL!$C$42, 3.8108, 3.8108) * CHOOSE(CONTROL!$C$21, $C$9, 100%, $E$9)</f>
        <v>3.8108</v>
      </c>
      <c r="N20" s="17">
        <f>CHOOSE(CONTROL!$C$42, 3.8261, 3.8261) * CHOOSE(CONTROL!$C$21, $C$9, 100%, $E$9)</f>
        <v>3.8260999999999998</v>
      </c>
      <c r="O20" s="17">
        <f>CHOOSE(CONTROL!$C$42, 4.163, 4.163) * CHOOSE(CONTROL!$C$21, $C$9, 100%, $E$9)</f>
        <v>4.1630000000000003</v>
      </c>
      <c r="P20" s="17">
        <f>CHOOSE(CONTROL!$C$42, 3.8305, 3.8305) * CHOOSE(CONTROL!$C$21, $C$9, 100%, $E$9)</f>
        <v>3.8304999999999998</v>
      </c>
      <c r="Q20" s="17">
        <f>CHOOSE(CONTROL!$C$42, 4.7577, 4.7577) * CHOOSE(CONTROL!$C$21, $C$9, 100%, $E$9)</f>
        <v>4.7576999999999998</v>
      </c>
      <c r="R20" s="17">
        <f>CHOOSE(CONTROL!$C$42, 5.3566, 5.3566) * CHOOSE(CONTROL!$C$21, $C$9, 100%, $E$9)</f>
        <v>5.3566000000000003</v>
      </c>
      <c r="S20" s="17">
        <f>CHOOSE(CONTROL!$C$42, 3.7029, 3.7029) * CHOOSE(CONTROL!$C$21, $C$9, 100%, $E$9)</f>
        <v>3.7029000000000001</v>
      </c>
      <c r="T20" s="57">
        <f>((((430000*CHOOSE(CONTROL!$C$42, 0.4694, 0.4694)+(874000-430000)*CHOOSE(CONTROL!$C$42, 0.7185, 0.7185)+400000*CHOOSE(CONTROL!$C$42, 1.14, 1.14)+30000*0.98)*CHOOSE(CONTROL!$C$42, 31, 31))/1000000))+CHOOSE(CONTROL!$C$42, 0.1911, 0.1911)+CHOOSE(CONTROL!$C$42, 0.5131, 0.5131)</f>
        <v>31.898136000000001</v>
      </c>
      <c r="U20" s="56">
        <f>(1000*CHOOSE(CONTROL!$C$42, 695, 695)*CHOOSE(CONTROL!$C$42, 0.5599, 0.5599)*CHOOSE(CONTROL!$C$42, 31, 31))/1000000</f>
        <v>12.063045499999998</v>
      </c>
      <c r="V20" s="56">
        <f>(1000*CHOOSE(CONTROL!$C$42, 580, 580)*CHOOSE(CONTROL!$C$42, 0.275, 0.275)*CHOOSE(CONTROL!$C$42, 31, 31))/1000000</f>
        <v>4.9444999999999997</v>
      </c>
      <c r="W20" s="56">
        <f>(1000*CHOOSE(CONTROL!$C$42, 0.1146, 0.1146)*CHOOSE(CONTROL!$C$42, 200, 200)*CHOOSE(CONTROL!$C$42, 31, 31))/1000000</f>
        <v>0.71052000000000004</v>
      </c>
      <c r="X20" s="56">
        <f>31*0.1790888*145000/1000000</f>
        <v>0.80500415599999997</v>
      </c>
      <c r="Y20" s="56">
        <f t="shared" si="0"/>
        <v>0.4</v>
      </c>
      <c r="Z20" s="17">
        <f>CHOOSE(CONTROL!$C$42, 3.8103, 3.8103) * CHOOSE(CONTROL!$C$21, $C$9, 100%, $E$9)</f>
        <v>3.8102999999999998</v>
      </c>
      <c r="AA20" s="55">
        <f>(131500*31*(6/31))/1000000</f>
        <v>0.78900000000000003</v>
      </c>
      <c r="AB20" s="48">
        <f>(B20*194.205+C20*267.466+D20*133.845+E20*213.484+F20*40+G20*25+H20*30+I20*100+J20*300)/(194.205+267.466+133.845+213.484+30+40+25+100+300)</f>
        <v>3.977310970398773</v>
      </c>
      <c r="AC20" s="45">
        <f t="shared" si="1"/>
        <v>3.9353654676258989</v>
      </c>
    </row>
    <row r="21" spans="1:29" ht="15.75" x14ac:dyDescent="0.25">
      <c r="A21" s="16">
        <v>41518</v>
      </c>
      <c r="B21" s="17">
        <f>CHOOSE(CONTROL!$C$42, 3.8707, 3.8707) * CHOOSE(CONTROL!$C$21, $C$9, 100%, $E$9)</f>
        <v>3.8706999999999998</v>
      </c>
      <c r="C21" s="17">
        <f>CHOOSE(CONTROL!$C$42, 3.8787, 3.8787) * CHOOSE(CONTROL!$C$21, $C$9, 100%, $E$9)</f>
        <v>3.8786999999999998</v>
      </c>
      <c r="D21" s="17">
        <f>CHOOSE(CONTROL!$C$42, 4.1663, 4.1663) * CHOOSE(CONTROL!$C$21, $C$9, 100%, $E$9)</f>
        <v>4.1662999999999997</v>
      </c>
      <c r="E21" s="17">
        <f>CHOOSE(CONTROL!$C$42, 4.1978, 4.1978) * CHOOSE(CONTROL!$C$21, $C$9, 100%, $E$9)</f>
        <v>4.1978</v>
      </c>
      <c r="F21" s="17">
        <f>CHOOSE(CONTROL!$C$42, 3.8858, 3.8858)*CHOOSE(CONTROL!$C$21, $C$9, 100%, $E$9)</f>
        <v>3.8858000000000001</v>
      </c>
      <c r="G21" s="17">
        <f>CHOOSE(CONTROL!$C$42, 3.9014, 3.9014)*CHOOSE(CONTROL!$C$21, $C$9, 100%, $E$9)</f>
        <v>3.9014000000000002</v>
      </c>
      <c r="H21" s="17">
        <f>CHOOSE(CONTROL!$C$42, 4.1864, 4.1864) * CHOOSE(CONTROL!$C$21, $C$9, 100%, $E$9)</f>
        <v>4.1863999999999999</v>
      </c>
      <c r="I21" s="17">
        <f>CHOOSE(CONTROL!$C$42, 3.899, 3.899)* CHOOSE(CONTROL!$C$21, $C$9, 100%, $E$9)</f>
        <v>3.899</v>
      </c>
      <c r="J21" s="17">
        <f>CHOOSE(CONTROL!$C$42, 3.8788, 3.8788)* CHOOSE(CONTROL!$C$21, $C$9, 100%, $E$9)</f>
        <v>3.8788</v>
      </c>
      <c r="K21" s="52"/>
      <c r="L21" s="17">
        <f>CHOOSE(CONTROL!$C$42, 4.7734, 4.7734) * CHOOSE(CONTROL!$C$21, $C$9, 100%, $E$9)</f>
        <v>4.7733999999999996</v>
      </c>
      <c r="M21" s="17">
        <f>CHOOSE(CONTROL!$C$42, 3.8168, 3.8168) * CHOOSE(CONTROL!$C$21, $C$9, 100%, $E$9)</f>
        <v>3.8168000000000002</v>
      </c>
      <c r="N21" s="17">
        <f>CHOOSE(CONTROL!$C$42, 3.8321, 3.8321) * CHOOSE(CONTROL!$C$21, $C$9, 100%, $E$9)</f>
        <v>3.8321000000000001</v>
      </c>
      <c r="O21" s="17">
        <f>CHOOSE(CONTROL!$C$42, 4.1188, 4.1188) * CHOOSE(CONTROL!$C$21, $C$9, 100%, $E$9)</f>
        <v>4.1188000000000002</v>
      </c>
      <c r="P21" s="17">
        <f>CHOOSE(CONTROL!$C$42, 3.8364, 3.8364) * CHOOSE(CONTROL!$C$21, $C$9, 100%, $E$9)</f>
        <v>3.8363999999999998</v>
      </c>
      <c r="Q21" s="17">
        <f>CHOOSE(CONTROL!$C$42, 4.7135, 4.7135) * CHOOSE(CONTROL!$C$21, $C$9, 100%, $E$9)</f>
        <v>4.7134999999999998</v>
      </c>
      <c r="R21" s="17">
        <f>CHOOSE(CONTROL!$C$42, 5.3123, 5.3123) * CHOOSE(CONTROL!$C$21, $C$9, 100%, $E$9)</f>
        <v>5.3122999999999996</v>
      </c>
      <c r="S21" s="17">
        <f>CHOOSE(CONTROL!$C$42, 3.7087, 3.7087) * CHOOSE(CONTROL!$C$21, $C$9, 100%, $E$9)</f>
        <v>3.7086999999999999</v>
      </c>
      <c r="T21" s="57">
        <f>((((430000*CHOOSE(CONTROL!$C$42, 0.4694, 0.4694)+(874000-430000)*CHOOSE(CONTROL!$C$42, 0.7185, 0.7185)+400000*CHOOSE(CONTROL!$C$42, 1.14, 1.14)+30000*0.98)*CHOOSE(CONTROL!$C$42, 30, 30))/1000000))+CHOOSE(CONTROL!$C$42, 0.1717, 0.1717)+CHOOSE(CONTROL!$C$42, 0.4923, 0.4923)</f>
        <v>30.851680000000002</v>
      </c>
      <c r="U21" s="56">
        <f>(1000*CHOOSE(CONTROL!$C$42, 695, 695)*CHOOSE(CONTROL!$C$42, 0.5599, 0.5599)*CHOOSE(CONTROL!$C$42, 30, 30))/1000000</f>
        <v>11.673914999999997</v>
      </c>
      <c r="V21" s="56">
        <f>(1000*CHOOSE(CONTROL!$C$42, 580, 580)*CHOOSE(CONTROL!$C$42, 0.275, 0.275)*CHOOSE(CONTROL!$C$42, 30, 30))/1000000</f>
        <v>4.7850000000000001</v>
      </c>
      <c r="W21" s="56">
        <f>(1000*CHOOSE(CONTROL!$C$42, 0.1146, 0.1146)*CHOOSE(CONTROL!$C$42, 200, 200)*CHOOSE(CONTROL!$C$42, 30, 30))/1000000</f>
        <v>0.68759999999999999</v>
      </c>
      <c r="X21" s="56">
        <f>30*0.1790888*145000/1000000</f>
        <v>0.77903627999999991</v>
      </c>
      <c r="Y21" s="56">
        <f t="shared" si="0"/>
        <v>0.4</v>
      </c>
      <c r="Z21" s="17">
        <f>CHOOSE(CONTROL!$C$42, 3.8162, 3.8162) * CHOOSE(CONTROL!$C$21, $C$9, 100%, $E$9)</f>
        <v>3.8161999999999998</v>
      </c>
      <c r="AA21" s="55">
        <f>(131500*30*(6/30))/1000000</f>
        <v>0.78900000000000003</v>
      </c>
      <c r="AB21" s="48">
        <f>(B21*194.205+C21*267.466+D21*133.845+E21*213.484+F21*40+G21*25+H21*30+I21*100+J21*300)/(194.205+267.466+133.845+213.484+30+40+25+100+300)</f>
        <v>3.9685814619631903</v>
      </c>
      <c r="AC21" s="45">
        <f t="shared" si="1"/>
        <v>3.9243769784172664</v>
      </c>
    </row>
    <row r="22" spans="1:29" ht="15.75" x14ac:dyDescent="0.25">
      <c r="A22" s="16">
        <v>41548</v>
      </c>
      <c r="B22" s="17">
        <f>CHOOSE(CONTROL!$C$42, 3.9001, 3.9001) * CHOOSE(CONTROL!$C$21, $C$9, 100%, $E$9)</f>
        <v>3.9001000000000001</v>
      </c>
      <c r="C22" s="17">
        <f>CHOOSE(CONTROL!$C$42, 3.9055, 3.9055) * CHOOSE(CONTROL!$C$21, $C$9, 100%, $E$9)</f>
        <v>3.9055</v>
      </c>
      <c r="D22" s="17">
        <f>CHOOSE(CONTROL!$C$42, 4.1451, 4.1451) * CHOOSE(CONTROL!$C$21, $C$9, 100%, $E$9)</f>
        <v>4.1451000000000002</v>
      </c>
      <c r="E22" s="17">
        <f>CHOOSE(CONTROL!$C$42, 4.1742, 4.1742) * CHOOSE(CONTROL!$C$21, $C$9, 100%, $E$9)</f>
        <v>4.1741999999999999</v>
      </c>
      <c r="F22" s="17">
        <f>CHOOSE(CONTROL!$C$42, 3.9193, 3.9193)*CHOOSE(CONTROL!$C$21, $C$9, 100%, $E$9)</f>
        <v>3.9192999999999998</v>
      </c>
      <c r="G22" s="17">
        <f>CHOOSE(CONTROL!$C$42, 3.9348, 3.9348)*CHOOSE(CONTROL!$C$21, $C$9, 100%, $E$9)</f>
        <v>3.9348000000000001</v>
      </c>
      <c r="H22" s="17">
        <f>CHOOSE(CONTROL!$C$42, 4.1647, 4.1647) * CHOOSE(CONTROL!$C$21, $C$9, 100%, $E$9)</f>
        <v>4.1646999999999998</v>
      </c>
      <c r="I22" s="17">
        <f>CHOOSE(CONTROL!$C$42, 3.9303, 3.9303)* CHOOSE(CONTROL!$C$21, $C$9, 100%, $E$9)</f>
        <v>3.9302999999999999</v>
      </c>
      <c r="J22" s="17">
        <f>CHOOSE(CONTROL!$C$42, 3.9123, 3.9123)* CHOOSE(CONTROL!$C$21, $C$9, 100%, $E$9)</f>
        <v>3.9123000000000001</v>
      </c>
      <c r="K22" s="52"/>
      <c r="L22" s="17">
        <f>CHOOSE(CONTROL!$C$42, 4.7517, 4.7517) * CHOOSE(CONTROL!$C$21, $C$9, 100%, $E$9)</f>
        <v>4.7516999999999996</v>
      </c>
      <c r="M22" s="17">
        <f>CHOOSE(CONTROL!$C$42, 3.8497, 3.8497) * CHOOSE(CONTROL!$C$21, $C$9, 100%, $E$9)</f>
        <v>3.8496999999999999</v>
      </c>
      <c r="N22" s="17">
        <f>CHOOSE(CONTROL!$C$42, 3.8649, 3.8649) * CHOOSE(CONTROL!$C$21, $C$9, 100%, $E$9)</f>
        <v>3.8649</v>
      </c>
      <c r="O22" s="17">
        <f>CHOOSE(CONTROL!$C$42, 4.0974, 4.0974) * CHOOSE(CONTROL!$C$21, $C$9, 100%, $E$9)</f>
        <v>4.0974000000000004</v>
      </c>
      <c r="P22" s="17">
        <f>CHOOSE(CONTROL!$C$42, 3.8672, 3.8672) * CHOOSE(CONTROL!$C$21, $C$9, 100%, $E$9)</f>
        <v>3.8672</v>
      </c>
      <c r="Q22" s="17">
        <f>CHOOSE(CONTROL!$C$42, 4.6921, 4.6921) * CHOOSE(CONTROL!$C$21, $C$9, 100%, $E$9)</f>
        <v>4.6920999999999999</v>
      </c>
      <c r="R22" s="17">
        <f>CHOOSE(CONTROL!$C$42, 5.2909, 5.2909) * CHOOSE(CONTROL!$C$21, $C$9, 100%, $E$9)</f>
        <v>5.2908999999999997</v>
      </c>
      <c r="S22" s="17">
        <f>CHOOSE(CONTROL!$C$42, 3.7387, 3.7387) * CHOOSE(CONTROL!$C$21, $C$9, 100%, $E$9)</f>
        <v>3.7387000000000001</v>
      </c>
      <c r="T2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2" s="56">
        <f>(1000*CHOOSE(CONTROL!$C$42, 695, 695)*CHOOSE(CONTROL!$C$42, 0.5599, 0.5599)*CHOOSE(CONTROL!$C$42, 31, 31))/1000000</f>
        <v>12.063045499999998</v>
      </c>
      <c r="V22" s="56">
        <f>(1000*CHOOSE(CONTROL!$C$42, 580, 580)*CHOOSE(CONTROL!$C$42, 0.275, 0.275)*CHOOSE(CONTROL!$C$42, 31, 31))/1000000</f>
        <v>4.9444999999999997</v>
      </c>
      <c r="W22" s="56">
        <f>(1000*CHOOSE(CONTROL!$C$42, 0.1146, 0.1146)*CHOOSE(CONTROL!$C$42, 200, 200)*CHOOSE(CONTROL!$C$42, 31, 31))/1000000</f>
        <v>0.71052000000000004</v>
      </c>
      <c r="X22" s="56">
        <f>31*0.1790888*145000/1000000</f>
        <v>0.80500415599999997</v>
      </c>
      <c r="Y22" s="56">
        <f t="shared" si="0"/>
        <v>0.4</v>
      </c>
      <c r="Z22" s="17">
        <f>CHOOSE(CONTROL!$C$42, 3.8469, 3.8469) * CHOOSE(CONTROL!$C$21, $C$9, 100%, $E$9)</f>
        <v>3.8469000000000002</v>
      </c>
      <c r="AA22" s="55">
        <f>(131500*31*(6/31))/1000000</f>
        <v>0.78900000000000003</v>
      </c>
      <c r="AB22" s="48">
        <f>(B22*131.881+C22*277.167+D22*79.08+E22*285.872+F22*40+G22*25+H22*0+I22*100+J22*300)/(131.881+277.167+79.08+285.872+0+40+25+100+300)</f>
        <v>3.9868992873284896</v>
      </c>
      <c r="AC22" s="45">
        <f t="shared" si="1"/>
        <v>3.9385971223021579</v>
      </c>
    </row>
    <row r="23" spans="1:29" ht="15.75" x14ac:dyDescent="0.25">
      <c r="A23" s="16">
        <v>41579</v>
      </c>
      <c r="B23" s="17">
        <f>CHOOSE(CONTROL!$C$42, 4.0017, 4.0017) * CHOOSE(CONTROL!$C$21, $C$9, 100%, $E$9)</f>
        <v>4.0016999999999996</v>
      </c>
      <c r="C23" s="17">
        <f>CHOOSE(CONTROL!$C$42, 4.0068, 4.0068) * CHOOSE(CONTROL!$C$21, $C$9, 100%, $E$9)</f>
        <v>4.0068000000000001</v>
      </c>
      <c r="D23" s="17">
        <f>CHOOSE(CONTROL!$C$42, 4.1252, 4.1252) * CHOOSE(CONTROL!$C$21, $C$9, 100%, $E$9)</f>
        <v>4.1252000000000004</v>
      </c>
      <c r="E23" s="17">
        <f>CHOOSE(CONTROL!$C$42, 4.1593, 4.1593) * CHOOSE(CONTROL!$C$21, $C$9, 100%, $E$9)</f>
        <v>4.1593</v>
      </c>
      <c r="F23" s="17">
        <f>CHOOSE(CONTROL!$C$42, 4.0183, 4.0183)*CHOOSE(CONTROL!$C$21, $C$9, 100%, $E$9)</f>
        <v>4.0183</v>
      </c>
      <c r="G23" s="17">
        <f>CHOOSE(CONTROL!$C$42, 4.0342, 4.0342)*CHOOSE(CONTROL!$C$21, $C$9, 100%, $E$9)</f>
        <v>4.0342000000000002</v>
      </c>
      <c r="H23" s="17">
        <f>CHOOSE(CONTROL!$C$42, 4.1485, 4.1485) * CHOOSE(CONTROL!$C$21, $C$9, 100%, $E$9)</f>
        <v>4.1485000000000003</v>
      </c>
      <c r="I23" s="17">
        <f>CHOOSE(CONTROL!$C$42, 4.0379, 4.0379)* CHOOSE(CONTROL!$C$21, $C$9, 100%, $E$9)</f>
        <v>4.0378999999999996</v>
      </c>
      <c r="J23" s="17">
        <f>CHOOSE(CONTROL!$C$42, 4.0113, 4.0113)* CHOOSE(CONTROL!$C$21, $C$9, 100%, $E$9)</f>
        <v>4.0113000000000003</v>
      </c>
      <c r="K23" s="52"/>
      <c r="L23" s="17">
        <f>CHOOSE(CONTROL!$C$42, 4.7355, 4.7355) * CHOOSE(CONTROL!$C$21, $C$9, 100%, $E$9)</f>
        <v>4.7355</v>
      </c>
      <c r="M23" s="17">
        <f>CHOOSE(CONTROL!$C$42, 3.9469, 3.9469) * CHOOSE(CONTROL!$C$21, $C$9, 100%, $E$9)</f>
        <v>3.9468999999999999</v>
      </c>
      <c r="N23" s="17">
        <f>CHOOSE(CONTROL!$C$42, 3.9624, 3.9624) * CHOOSE(CONTROL!$C$21, $C$9, 100%, $E$9)</f>
        <v>3.9624000000000001</v>
      </c>
      <c r="O23" s="17">
        <f>CHOOSE(CONTROL!$C$42, 4.0816, 4.0816) * CHOOSE(CONTROL!$C$21, $C$9, 100%, $E$9)</f>
        <v>4.0815999999999999</v>
      </c>
      <c r="P23" s="17">
        <f>CHOOSE(CONTROL!$C$42, 3.9728, 3.9728) * CHOOSE(CONTROL!$C$21, $C$9, 100%, $E$9)</f>
        <v>3.9727999999999999</v>
      </c>
      <c r="Q23" s="17">
        <f>CHOOSE(CONTROL!$C$42, 4.6763, 4.6763) * CHOOSE(CONTROL!$C$21, $C$9, 100%, $E$9)</f>
        <v>4.6763000000000003</v>
      </c>
      <c r="R23" s="17">
        <f>CHOOSE(CONTROL!$C$42, 5.275, 5.275) * CHOOSE(CONTROL!$C$21, $C$9, 100%, $E$9)</f>
        <v>5.2750000000000004</v>
      </c>
      <c r="S23" s="17">
        <f>CHOOSE(CONTROL!$C$42, 3.8367, 3.8367) * CHOOSE(CONTROL!$C$21, $C$9, 100%, $E$9)</f>
        <v>3.8367</v>
      </c>
      <c r="T2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3" s="56">
        <f>(1000*CHOOSE(CONTROL!$C$42, 695, 695)*CHOOSE(CONTROL!$C$42, 0.5599, 0.5599)*CHOOSE(CONTROL!$C$42, 30, 30))/1000000</f>
        <v>11.673914999999997</v>
      </c>
      <c r="V23" s="56">
        <f>(1000*CHOOSE(CONTROL!$C$42, 580, 580)*CHOOSE(CONTROL!$C$42, 0.275, 0.275)*CHOOSE(CONTROL!$C$42, 30, 30))/1000000</f>
        <v>4.7850000000000001</v>
      </c>
      <c r="W23" s="56">
        <f>(1000*CHOOSE(CONTROL!$C$42, 0.1146, 0.1146)*CHOOSE(CONTROL!$C$42, 200, 200)*CHOOSE(CONTROL!$C$42, 30, 30))/1000000</f>
        <v>0.68759999999999999</v>
      </c>
      <c r="X23" s="56">
        <v>0</v>
      </c>
      <c r="Y23" s="56">
        <f t="shared" si="0"/>
        <v>0.4</v>
      </c>
      <c r="Z23" s="17">
        <f>CHOOSE(CONTROL!$C$42, 3.9542, 3.9542) * CHOOSE(CONTROL!$C$21, $C$9, 100%, $E$9)</f>
        <v>3.9542000000000002</v>
      </c>
      <c r="AA23" s="55">
        <f>(131500*30*(6/30))/1000000</f>
        <v>0.78900000000000003</v>
      </c>
      <c r="AB23" s="48">
        <f>(B23*122.58+C23*297.941+D23*89.177+E23*200.302+F23*40+G23*0+H23*0+I23*100+J23*300)/(122.58+297.941+89.177+200.302+0+40+0+100+300)</f>
        <v>4.0462777859130439</v>
      </c>
      <c r="AC23" s="45">
        <f>(M23*240+N23*0+O23*355+P23*100)/(240+0+355+100)</f>
        <v>4.0194302158273381</v>
      </c>
    </row>
    <row r="24" spans="1:29" ht="15.75" x14ac:dyDescent="0.25">
      <c r="A24" s="16">
        <v>41609</v>
      </c>
      <c r="B24" s="17">
        <f>CHOOSE(CONTROL!$C$42, 4.1974, 4.1974) * CHOOSE(CONTROL!$C$21, $C$9, 100%, $E$9)</f>
        <v>4.1974</v>
      </c>
      <c r="C24" s="17">
        <f>CHOOSE(CONTROL!$C$42, 4.2024, 4.2024) * CHOOSE(CONTROL!$C$21, $C$9, 100%, $E$9)</f>
        <v>4.2023999999999999</v>
      </c>
      <c r="D24" s="17">
        <f>CHOOSE(CONTROL!$C$42, 4.3209, 4.3209) * CHOOSE(CONTROL!$C$21, $C$9, 100%, $E$9)</f>
        <v>4.3209</v>
      </c>
      <c r="E24" s="17">
        <f>CHOOSE(CONTROL!$C$42, 4.355, 4.355) * CHOOSE(CONTROL!$C$21, $C$9, 100%, $E$9)</f>
        <v>4.3550000000000004</v>
      </c>
      <c r="F24" s="17">
        <f>CHOOSE(CONTROL!$C$42, 4.2165, 4.2165)*CHOOSE(CONTROL!$C$21, $C$9, 100%, $E$9)</f>
        <v>4.2164999999999999</v>
      </c>
      <c r="G24" s="17">
        <f>CHOOSE(CONTROL!$C$42, 4.233, 4.233)*CHOOSE(CONTROL!$C$21, $C$9, 100%, $E$9)</f>
        <v>4.2329999999999997</v>
      </c>
      <c r="H24" s="17">
        <f>CHOOSE(CONTROL!$C$42, 4.3442, 4.3442) * CHOOSE(CONTROL!$C$21, $C$9, 100%, $E$9)</f>
        <v>4.3441999999999998</v>
      </c>
      <c r="I24" s="17">
        <f>CHOOSE(CONTROL!$C$42, 4.2341, 4.2341)* CHOOSE(CONTROL!$C$21, $C$9, 100%, $E$9)</f>
        <v>4.2340999999999998</v>
      </c>
      <c r="J24" s="17">
        <f>CHOOSE(CONTROL!$C$42, 4.2095, 4.2095)* CHOOSE(CONTROL!$C$21, $C$9, 100%, $E$9)</f>
        <v>4.2095000000000002</v>
      </c>
      <c r="K24" s="52"/>
      <c r="L24" s="17">
        <f>CHOOSE(CONTROL!$C$42, 4.9312, 4.9312) * CHOOSE(CONTROL!$C$21, $C$9, 100%, $E$9)</f>
        <v>4.9311999999999996</v>
      </c>
      <c r="M24" s="17">
        <f>CHOOSE(CONTROL!$C$42, 4.1415, 4.1415) * CHOOSE(CONTROL!$C$21, $C$9, 100%, $E$9)</f>
        <v>4.1414999999999997</v>
      </c>
      <c r="N24" s="17">
        <f>CHOOSE(CONTROL!$C$42, 4.1577, 4.1577) * CHOOSE(CONTROL!$C$21, $C$9, 100%, $E$9)</f>
        <v>4.1577000000000002</v>
      </c>
      <c r="O24" s="17">
        <f>CHOOSE(CONTROL!$C$42, 4.2737, 4.2737) * CHOOSE(CONTROL!$C$21, $C$9, 100%, $E$9)</f>
        <v>4.2736999999999998</v>
      </c>
      <c r="P24" s="17">
        <f>CHOOSE(CONTROL!$C$42, 4.1655, 4.1655) * CHOOSE(CONTROL!$C$21, $C$9, 100%, $E$9)</f>
        <v>4.1654999999999998</v>
      </c>
      <c r="Q24" s="17">
        <f>CHOOSE(CONTROL!$C$42, 4.8684, 4.8684) * CHOOSE(CONTROL!$C$21, $C$9, 100%, $E$9)</f>
        <v>4.8684000000000003</v>
      </c>
      <c r="R24" s="17">
        <f>CHOOSE(CONTROL!$C$42, 5.4676, 5.4676) * CHOOSE(CONTROL!$C$21, $C$9, 100%, $E$9)</f>
        <v>5.4676</v>
      </c>
      <c r="S24" s="17">
        <f>CHOOSE(CONTROL!$C$42, 4.0247, 4.0247) * CHOOSE(CONTROL!$C$21, $C$9, 100%, $E$9)</f>
        <v>4.0247000000000002</v>
      </c>
      <c r="T2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4" s="56">
        <f>(1000*CHOOSE(CONTROL!$C$42, 695, 695)*CHOOSE(CONTROL!$C$42, 0.5599, 0.5599)*CHOOSE(CONTROL!$C$42, 31, 31))/1000000</f>
        <v>12.063045499999998</v>
      </c>
      <c r="V24" s="56">
        <f>(1000*CHOOSE(CONTROL!$C$42, 580, 580)*CHOOSE(CONTROL!$C$42, 0.275, 0.275)*CHOOSE(CONTROL!$C$42, 31, 31))/1000000</f>
        <v>4.9444999999999997</v>
      </c>
      <c r="W24" s="56">
        <f>(1000*CHOOSE(CONTROL!$C$42, 0.1146, 0.1146)*CHOOSE(CONTROL!$C$42, 200, 200)*CHOOSE(CONTROL!$C$42, 31, 31))/1000000</f>
        <v>0.71052000000000004</v>
      </c>
      <c r="X24" s="56">
        <v>0</v>
      </c>
      <c r="Y24" s="56">
        <f t="shared" si="0"/>
        <v>0.4</v>
      </c>
      <c r="Z24" s="17">
        <f>CHOOSE(CONTROL!$C$42, 4.1467, 4.1467) * CHOOSE(CONTROL!$C$21, $C$9, 100%, $E$9)</f>
        <v>4.1467000000000001</v>
      </c>
      <c r="AA24" s="55">
        <f>(131500*31*(6/31))/1000000</f>
        <v>0.78900000000000003</v>
      </c>
      <c r="AB24" s="48">
        <f>(B24*122.58+C24*297.941+D24*89.177+E24*200.302+F24*40+G24*0+H24*0+I24*100+J24*300)/(122.58+297.941+89.177+200.302+0+40+0+100+300)</f>
        <v>4.2427344866956522</v>
      </c>
      <c r="AC24" s="45">
        <f>(M24*240+N24*0+O24*355+P24*100)/(240+0+355+100)</f>
        <v>4.2124798561151078</v>
      </c>
    </row>
    <row r="25" spans="1:29" ht="15" x14ac:dyDescent="0.2">
      <c r="A25" s="16">
        <v>41640</v>
      </c>
      <c r="B25" s="17">
        <f>CHOOSE(CONTROL!$C$42, 4.2962, 4.2962) * CHOOSE(CONTROL!$C$21, $C$9, 100%, $E$9)</f>
        <v>4.2961999999999998</v>
      </c>
      <c r="C25" s="17">
        <f>CHOOSE(CONTROL!$C$42, 4.3013, 4.3013) * CHOOSE(CONTROL!$C$21, $C$9, 100%, $E$9)</f>
        <v>4.3013000000000003</v>
      </c>
      <c r="D25" s="17">
        <f>CHOOSE(CONTROL!$C$42, 4.4197, 4.4197) * CHOOSE(CONTROL!$C$21, $C$9, 100%, $E$9)</f>
        <v>4.4196999999999997</v>
      </c>
      <c r="E25" s="17">
        <f>CHOOSE(CONTROL!$C$42, 4.4538, 4.4538) * CHOOSE(CONTROL!$C$21, $C$9, 100%, $E$9)</f>
        <v>4.4538000000000002</v>
      </c>
      <c r="F25" s="17">
        <f>CHOOSE(CONTROL!$C$42, 4.3166, 4.3166)*CHOOSE(CONTROL!$C$21, $C$9, 100%, $E$9)</f>
        <v>4.3166000000000002</v>
      </c>
      <c r="G25" s="17">
        <f>CHOOSE(CONTROL!$C$42, 4.3335, 4.3335)*CHOOSE(CONTROL!$C$21, $C$9, 100%, $E$9)</f>
        <v>4.3334999999999999</v>
      </c>
      <c r="H25" s="17">
        <f>CHOOSE(CONTROL!$C$42, 4.443, 4.443) * CHOOSE(CONTROL!$C$21, $C$9, 100%, $E$9)</f>
        <v>4.4429999999999996</v>
      </c>
      <c r="I25" s="17">
        <f>CHOOSE(CONTROL!$C$42, 4.3333, 4.3333)* CHOOSE(CONTROL!$C$21, $C$9, 100%, $E$9)</f>
        <v>4.3333000000000004</v>
      </c>
      <c r="J25" s="17">
        <f>CHOOSE(CONTROL!$C$42, 4.3096, 4.3096)* CHOOSE(CONTROL!$C$21, $C$9, 100%, $E$9)</f>
        <v>4.3095999999999997</v>
      </c>
      <c r="K25" s="58"/>
      <c r="L25" s="17">
        <f>CHOOSE(CONTROL!$C$42, 5.03, 5.03) * CHOOSE(CONTROL!$C$21, $C$9, 100%, $E$9)</f>
        <v>5.03</v>
      </c>
      <c r="M25" s="17">
        <f>CHOOSE(CONTROL!$C$42, 4.2398, 4.2398) * CHOOSE(CONTROL!$C$21, $C$9, 100%, $E$9)</f>
        <v>4.2397999999999998</v>
      </c>
      <c r="N25" s="17">
        <f>CHOOSE(CONTROL!$C$42, 4.2563, 4.2563) * CHOOSE(CONTROL!$C$21, $C$9, 100%, $E$9)</f>
        <v>4.2563000000000004</v>
      </c>
      <c r="O25" s="17">
        <f>CHOOSE(CONTROL!$C$42, 4.3708, 4.3708) * CHOOSE(CONTROL!$C$21, $C$9, 100%, $E$9)</f>
        <v>4.3708</v>
      </c>
      <c r="P25" s="17">
        <f>CHOOSE(CONTROL!$C$42, 4.2629, 4.2629) * CHOOSE(CONTROL!$C$21, $C$9, 100%, $E$9)</f>
        <v>4.2629000000000001</v>
      </c>
      <c r="Q25" s="17">
        <f>CHOOSE(CONTROL!$C$42, 4.9655, 4.9655) * CHOOSE(CONTROL!$C$21, $C$9, 100%, $E$9)</f>
        <v>4.9654999999999996</v>
      </c>
      <c r="R25" s="17">
        <f>CHOOSE(CONTROL!$C$42, 5.5649, 5.5649) * CHOOSE(CONTROL!$C$21, $C$9, 100%, $E$9)</f>
        <v>5.5648999999999997</v>
      </c>
      <c r="S25" s="17">
        <f>CHOOSE(CONTROL!$C$42, 4.1197, 4.1197) * CHOOSE(CONTROL!$C$21, $C$9, 100%, $E$9)</f>
        <v>4.1196999999999999</v>
      </c>
      <c r="T2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5" s="56">
        <f>(1000*CHOOSE(CONTROL!$C$42, 695, 695)*CHOOSE(CONTROL!$C$42, 0.5599, 0.5599)*CHOOSE(CONTROL!$C$42, 31, 31))/1000000</f>
        <v>12.063045499999998</v>
      </c>
      <c r="V25" s="56">
        <f>(1000*CHOOSE(CONTROL!$C$42, 580, 580)*CHOOSE(CONTROL!$C$42, 0.275, 0.275)*CHOOSE(CONTROL!$C$42, 31, 31))/1000000</f>
        <v>4.9444999999999997</v>
      </c>
      <c r="W25" s="56">
        <f>(1000*CHOOSE(CONTROL!$C$42, 0.1146, 0.1146)*CHOOSE(CONTROL!$C$42, 200, 200)*CHOOSE(CONTROL!$C$42, 31, 31))/1000000</f>
        <v>0.71052000000000004</v>
      </c>
      <c r="X25" s="56">
        <v>0</v>
      </c>
      <c r="Y25" s="56">
        <f t="shared" si="0"/>
        <v>0.4</v>
      </c>
      <c r="Z25" s="17">
        <f>CHOOSE(CONTROL!$C$42, 4.2439, 4.2439) * CHOOSE(CONTROL!$C$21, $C$9, 100%, $E$9)</f>
        <v>4.2439</v>
      </c>
      <c r="AA25" s="55">
        <f>(131500*31*(6/31))/1000000</f>
        <v>0.78900000000000003</v>
      </c>
      <c r="AB25" s="48">
        <f>(B25*122.58+C25*297.941+D25*89.177+E25*200.302+F25*40+G25*0+H25*0+I25*100+J25*300)/(122.58+297.941+89.177+200.302+0+40+0+100+300)</f>
        <v>4.3419795250434783</v>
      </c>
      <c r="AC25" s="45">
        <f>(M25*240+N25*0+O25*355+P25*100)/(240+0+355+100)</f>
        <v>4.3100374100719421</v>
      </c>
    </row>
    <row r="26" spans="1:29" ht="15" x14ac:dyDescent="0.2">
      <c r="A26" s="16">
        <v>41671</v>
      </c>
      <c r="B26" s="17">
        <f>CHOOSE(CONTROL!$C$42, 4.2941, 4.2941) * CHOOSE(CONTROL!$C$21, $C$9, 100%, $E$9)</f>
        <v>4.2941000000000003</v>
      </c>
      <c r="C26" s="17">
        <f>CHOOSE(CONTROL!$C$42, 4.2992, 4.2992) * CHOOSE(CONTROL!$C$21, $C$9, 100%, $E$9)</f>
        <v>4.2991999999999999</v>
      </c>
      <c r="D26" s="17">
        <f>CHOOSE(CONTROL!$C$42, 4.4177, 4.4177) * CHOOSE(CONTROL!$C$21, $C$9, 100%, $E$9)</f>
        <v>4.4177</v>
      </c>
      <c r="E26" s="17">
        <f>CHOOSE(CONTROL!$C$42, 4.4518, 4.4518) * CHOOSE(CONTROL!$C$21, $C$9, 100%, $E$9)</f>
        <v>4.4518000000000004</v>
      </c>
      <c r="F26" s="17">
        <f>CHOOSE(CONTROL!$C$42, 4.3145, 4.3145)*CHOOSE(CONTROL!$C$21, $C$9, 100%, $E$9)</f>
        <v>4.3144999999999998</v>
      </c>
      <c r="G26" s="17">
        <f>CHOOSE(CONTROL!$C$42, 4.3313, 4.3313)*CHOOSE(CONTROL!$C$21, $C$9, 100%, $E$9)</f>
        <v>4.3312999999999997</v>
      </c>
      <c r="H26" s="17">
        <f>CHOOSE(CONTROL!$C$42, 4.441, 4.441) * CHOOSE(CONTROL!$C$21, $C$9, 100%, $E$9)</f>
        <v>4.4409999999999998</v>
      </c>
      <c r="I26" s="17">
        <f>CHOOSE(CONTROL!$C$42, 4.3312, 4.3312)* CHOOSE(CONTROL!$C$21, $C$9, 100%, $E$9)</f>
        <v>4.3311999999999999</v>
      </c>
      <c r="J26" s="17">
        <f>CHOOSE(CONTROL!$C$42, 4.3075, 4.3075)* CHOOSE(CONTROL!$C$21, $C$9, 100%, $E$9)</f>
        <v>4.3075000000000001</v>
      </c>
      <c r="K26" s="58"/>
      <c r="L26" s="17">
        <f>CHOOSE(CONTROL!$C$42, 5.028, 5.028) * CHOOSE(CONTROL!$C$21, $C$9, 100%, $E$9)</f>
        <v>5.0279999999999996</v>
      </c>
      <c r="M26" s="17">
        <f>CHOOSE(CONTROL!$C$42, 4.2377, 4.2377) * CHOOSE(CONTROL!$C$21, $C$9, 100%, $E$9)</f>
        <v>4.2377000000000002</v>
      </c>
      <c r="N26" s="17">
        <f>CHOOSE(CONTROL!$C$42, 4.2543, 4.2543) * CHOOSE(CONTROL!$C$21, $C$9, 100%, $E$9)</f>
        <v>4.2542999999999997</v>
      </c>
      <c r="O26" s="17">
        <f>CHOOSE(CONTROL!$C$42, 4.3688, 4.3688) * CHOOSE(CONTROL!$C$21, $C$9, 100%, $E$9)</f>
        <v>4.3688000000000002</v>
      </c>
      <c r="P26" s="17">
        <f>CHOOSE(CONTROL!$C$42, 4.2608, 4.2608) * CHOOSE(CONTROL!$C$21, $C$9, 100%, $E$9)</f>
        <v>4.2607999999999997</v>
      </c>
      <c r="Q26" s="17">
        <f>CHOOSE(CONTROL!$C$42, 4.9635, 4.9635) * CHOOSE(CONTROL!$C$21, $C$9, 100%, $E$9)</f>
        <v>4.9634999999999998</v>
      </c>
      <c r="R26" s="17">
        <f>CHOOSE(CONTROL!$C$42, 5.5629, 5.5629) * CHOOSE(CONTROL!$C$21, $C$9, 100%, $E$9)</f>
        <v>5.5629</v>
      </c>
      <c r="S26" s="17">
        <f>CHOOSE(CONTROL!$C$42, 4.1177, 4.1177) * CHOOSE(CONTROL!$C$21, $C$9, 100%, $E$9)</f>
        <v>4.1177000000000001</v>
      </c>
      <c r="T2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6" s="56">
        <f>(1000*CHOOSE(CONTROL!$C$42, 695, 695)*CHOOSE(CONTROL!$C$42, 0.5599, 0.5599)*CHOOSE(CONTROL!$C$42, 28, 28))/1000000</f>
        <v>10.895653999999999</v>
      </c>
      <c r="V26" s="56">
        <f>(1000*CHOOSE(CONTROL!$C$42, 580, 580)*CHOOSE(CONTROL!$C$42, 0.275, 0.275)*CHOOSE(CONTROL!$C$42, 28, 28))/1000000</f>
        <v>4.4660000000000002</v>
      </c>
      <c r="W26" s="56">
        <f>(1000*CHOOSE(CONTROL!$C$42, 0.1146, 0.1146)*CHOOSE(CONTROL!$C$42, 200, 200)*CHOOSE(CONTROL!$C$42, 28, 28))/1000000</f>
        <v>0.64176</v>
      </c>
      <c r="X26" s="56">
        <v>0</v>
      </c>
      <c r="Y26" s="56">
        <f t="shared" si="0"/>
        <v>0.4</v>
      </c>
      <c r="Z26" s="17">
        <f>CHOOSE(CONTROL!$C$42, 4.2419, 4.2419) * CHOOSE(CONTROL!$C$21, $C$9, 100%, $E$9)</f>
        <v>4.2419000000000002</v>
      </c>
      <c r="AA26" s="55">
        <f>(131500*28*(6/28))/1000000</f>
        <v>0.78900000000000003</v>
      </c>
      <c r="AB26" s="48">
        <f>(B26*122.58+C26*297.941+D26*89.177+E26*200.302+F26*40+G26*0+H26*0+I26*100+J26*300)/(122.58+297.941+89.177+200.302+0+40+0+100+300)</f>
        <v>4.3399046971304349</v>
      </c>
      <c r="AC26" s="45">
        <f>(M26*240+N26*0+O26*355+P26*100)/(240+0+355+100)</f>
        <v>4.3079884892086326</v>
      </c>
    </row>
    <row r="27" spans="1:29" ht="15" x14ac:dyDescent="0.2">
      <c r="A27" s="16">
        <v>41699</v>
      </c>
      <c r="B27" s="17">
        <f>CHOOSE(CONTROL!$C$42, 4.2421, 4.2421) * CHOOSE(CONTROL!$C$21, $C$9, 100%, $E$9)</f>
        <v>4.2420999999999998</v>
      </c>
      <c r="C27" s="17">
        <f>CHOOSE(CONTROL!$C$42, 4.2472, 4.2472) * CHOOSE(CONTROL!$C$21, $C$9, 100%, $E$9)</f>
        <v>4.2472000000000003</v>
      </c>
      <c r="D27" s="17">
        <f>CHOOSE(CONTROL!$C$42, 4.3656, 4.3656) * CHOOSE(CONTROL!$C$21, $C$9, 100%, $E$9)</f>
        <v>4.3655999999999997</v>
      </c>
      <c r="E27" s="17">
        <f>CHOOSE(CONTROL!$C$42, 4.3997, 4.3997) * CHOOSE(CONTROL!$C$21, $C$9, 100%, $E$9)</f>
        <v>4.3997000000000002</v>
      </c>
      <c r="F27" s="17">
        <f>CHOOSE(CONTROL!$C$42, 4.2618, 4.2618)*CHOOSE(CONTROL!$C$21, $C$9, 100%, $E$9)</f>
        <v>4.2618</v>
      </c>
      <c r="G27" s="17">
        <f>CHOOSE(CONTROL!$C$42, 4.2785, 4.2785)*CHOOSE(CONTROL!$C$21, $C$9, 100%, $E$9)</f>
        <v>4.2785000000000002</v>
      </c>
      <c r="H27" s="17">
        <f>CHOOSE(CONTROL!$C$42, 4.3889, 4.3889) * CHOOSE(CONTROL!$C$21, $C$9, 100%, $E$9)</f>
        <v>4.3888999999999996</v>
      </c>
      <c r="I27" s="17">
        <f>CHOOSE(CONTROL!$C$42, 4.279, 4.279)* CHOOSE(CONTROL!$C$21, $C$9, 100%, $E$9)</f>
        <v>4.2789999999999999</v>
      </c>
      <c r="J27" s="17">
        <f>CHOOSE(CONTROL!$C$42, 4.2548, 4.2548)* CHOOSE(CONTROL!$C$21, $C$9, 100%, $E$9)</f>
        <v>4.2548000000000004</v>
      </c>
      <c r="K27" s="58"/>
      <c r="L27" s="17">
        <f>CHOOSE(CONTROL!$C$42, 4.9759, 4.9759) * CHOOSE(CONTROL!$C$21, $C$9, 100%, $E$9)</f>
        <v>4.9759000000000002</v>
      </c>
      <c r="M27" s="17">
        <f>CHOOSE(CONTROL!$C$42, 4.186, 4.186) * CHOOSE(CONTROL!$C$21, $C$9, 100%, $E$9)</f>
        <v>4.1859999999999999</v>
      </c>
      <c r="N27" s="17">
        <f>CHOOSE(CONTROL!$C$42, 4.2023, 4.2023) * CHOOSE(CONTROL!$C$21, $C$9, 100%, $E$9)</f>
        <v>4.2023000000000001</v>
      </c>
      <c r="O27" s="17">
        <f>CHOOSE(CONTROL!$C$42, 4.3177, 4.3177) * CHOOSE(CONTROL!$C$21, $C$9, 100%, $E$9)</f>
        <v>4.3177000000000003</v>
      </c>
      <c r="P27" s="17">
        <f>CHOOSE(CONTROL!$C$42, 4.2096, 4.2096) * CHOOSE(CONTROL!$C$21, $C$9, 100%, $E$9)</f>
        <v>4.2096</v>
      </c>
      <c r="Q27" s="17">
        <f>CHOOSE(CONTROL!$C$42, 4.9124, 4.9124) * CHOOSE(CONTROL!$C$21, $C$9, 100%, $E$9)</f>
        <v>4.9123999999999999</v>
      </c>
      <c r="R27" s="17">
        <f>CHOOSE(CONTROL!$C$42, 5.5117, 5.5117) * CHOOSE(CONTROL!$C$21, $C$9, 100%, $E$9)</f>
        <v>5.5117000000000003</v>
      </c>
      <c r="S27" s="17">
        <f>CHOOSE(CONTROL!$C$42, 4.0677, 4.0677) * CHOOSE(CONTROL!$C$21, $C$9, 100%, $E$9)</f>
        <v>4.0677000000000003</v>
      </c>
      <c r="T2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7" s="56">
        <f>(1000*CHOOSE(CONTROL!$C$42, 695, 695)*CHOOSE(CONTROL!$C$42, 0.5599, 0.5599)*CHOOSE(CONTROL!$C$42, 31, 31))/1000000</f>
        <v>12.063045499999998</v>
      </c>
      <c r="V27" s="56">
        <f>(1000*CHOOSE(CONTROL!$C$42, 580, 580)*CHOOSE(CONTROL!$C$42, 0.275, 0.275)*CHOOSE(CONTROL!$C$42, 31, 31))/1000000</f>
        <v>4.9444999999999997</v>
      </c>
      <c r="W27" s="56">
        <f>(1000*CHOOSE(CONTROL!$C$42, 0.1146, 0.1146)*CHOOSE(CONTROL!$C$42, 200, 200)*CHOOSE(CONTROL!$C$42, 31, 31))/1000000</f>
        <v>0.71052000000000004</v>
      </c>
      <c r="X27" s="56">
        <v>0</v>
      </c>
      <c r="Y27" s="56">
        <f t="shared" si="0"/>
        <v>0.4</v>
      </c>
      <c r="Z27" s="17">
        <f>CHOOSE(CONTROL!$C$42, 4.1907, 4.1907) * CHOOSE(CONTROL!$C$21, $C$9, 100%, $E$9)</f>
        <v>4.1906999999999996</v>
      </c>
      <c r="AA27" s="55">
        <f>(131500*31*(6/31))/1000000</f>
        <v>0.78900000000000003</v>
      </c>
      <c r="AB27" s="48">
        <f>(B27*122.58+C27*297.941+D27*89.177+E27*200.302+F27*40+G27*0+H27*0+I27*100+J27*300)/(122.58+297.941+89.177+200.302+0+40+0+100+300)</f>
        <v>4.2876551772173919</v>
      </c>
      <c r="AC27" s="45">
        <f>(M27*240+N27*0+O27*355+P27*100)/(240+0+355+100)</f>
        <v>4.2566669064748197</v>
      </c>
    </row>
    <row r="28" spans="1:29" ht="15" x14ac:dyDescent="0.2">
      <c r="A28" s="16">
        <v>41730</v>
      </c>
      <c r="B28" s="17">
        <f>CHOOSE(CONTROL!$C$42, 4.1505, 4.1505) * CHOOSE(CONTROL!$C$21, $C$9, 100%, $E$9)</f>
        <v>4.1505000000000001</v>
      </c>
      <c r="C28" s="17">
        <f>CHOOSE(CONTROL!$C$42, 4.155, 4.155) * CHOOSE(CONTROL!$C$21, $C$9, 100%, $E$9)</f>
        <v>4.1550000000000002</v>
      </c>
      <c r="D28" s="17">
        <f>CHOOSE(CONTROL!$C$42, 4.4292, 4.4292) * CHOOSE(CONTROL!$C$21, $C$9, 100%, $E$9)</f>
        <v>4.4291999999999998</v>
      </c>
      <c r="E28" s="17">
        <f>CHOOSE(CONTROL!$C$42, 4.4613, 4.4613) * CHOOSE(CONTROL!$C$21, $C$9, 100%, $E$9)</f>
        <v>4.4612999999999996</v>
      </c>
      <c r="F28" s="17">
        <f>CHOOSE(CONTROL!$C$42, 4.1698, 4.1698)*CHOOSE(CONTROL!$C$21, $C$9, 100%, $E$9)</f>
        <v>4.1698000000000004</v>
      </c>
      <c r="G28" s="17">
        <f>CHOOSE(CONTROL!$C$42, 4.1862, 4.1862)*CHOOSE(CONTROL!$C$21, $C$9, 100%, $E$9)</f>
        <v>4.1862000000000004</v>
      </c>
      <c r="H28" s="17">
        <f>CHOOSE(CONTROL!$C$42, 4.4511, 4.4511) * CHOOSE(CONTROL!$C$21, $C$9, 100%, $E$9)</f>
        <v>4.4511000000000003</v>
      </c>
      <c r="I28" s="17">
        <f>CHOOSE(CONTROL!$C$42, 4.1848, 4.1848)* CHOOSE(CONTROL!$C$21, $C$9, 100%, $E$9)</f>
        <v>4.1848000000000001</v>
      </c>
      <c r="J28" s="17">
        <f>CHOOSE(CONTROL!$C$42, 4.1628, 4.1628)* CHOOSE(CONTROL!$C$21, $C$9, 100%, $E$9)</f>
        <v>4.1627999999999998</v>
      </c>
      <c r="K28" s="58"/>
      <c r="L28" s="17">
        <f>CHOOSE(CONTROL!$C$42, 5.0381, 5.0381) * CHOOSE(CONTROL!$C$21, $C$9, 100%, $E$9)</f>
        <v>5.0381</v>
      </c>
      <c r="M28" s="17">
        <f>CHOOSE(CONTROL!$C$42, 4.0956, 4.0956) * CHOOSE(CONTROL!$C$21, $C$9, 100%, $E$9)</f>
        <v>4.0956000000000001</v>
      </c>
      <c r="N28" s="17">
        <f>CHOOSE(CONTROL!$C$42, 4.1117, 4.1117) * CHOOSE(CONTROL!$C$21, $C$9, 100%, $E$9)</f>
        <v>4.1116999999999999</v>
      </c>
      <c r="O28" s="17">
        <f>CHOOSE(CONTROL!$C$42, 4.3787, 4.3787) * CHOOSE(CONTROL!$C$21, $C$9, 100%, $E$9)</f>
        <v>4.3787000000000003</v>
      </c>
      <c r="P28" s="17">
        <f>CHOOSE(CONTROL!$C$42, 4.117, 4.117) * CHOOSE(CONTROL!$C$21, $C$9, 100%, $E$9)</f>
        <v>4.117</v>
      </c>
      <c r="Q28" s="17">
        <f>CHOOSE(CONTROL!$C$42, 4.9734, 4.9734) * CHOOSE(CONTROL!$C$21, $C$9, 100%, $E$9)</f>
        <v>4.9733999999999998</v>
      </c>
      <c r="R28" s="17">
        <f>CHOOSE(CONTROL!$C$42, 5.5728, 5.5728) * CHOOSE(CONTROL!$C$21, $C$9, 100%, $E$9)</f>
        <v>5.5728</v>
      </c>
      <c r="S28" s="17">
        <f>CHOOSE(CONTROL!$C$42, 3.9789, 3.9789) * CHOOSE(CONTROL!$C$21, $C$9, 100%, $E$9)</f>
        <v>3.9788999999999999</v>
      </c>
      <c r="T2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8" s="56">
        <f>(1000*CHOOSE(CONTROL!$C$42, 695, 695)*CHOOSE(CONTROL!$C$42, 0.5599, 0.5599)*CHOOSE(CONTROL!$C$42, 30, 30))/1000000</f>
        <v>11.673914999999997</v>
      </c>
      <c r="V28" s="56">
        <f>(1000*CHOOSE(CONTROL!$C$42, 580, 580)*CHOOSE(CONTROL!$C$42, 0.275, 0.275)*CHOOSE(CONTROL!$C$42, 30, 30))/1000000</f>
        <v>4.7850000000000001</v>
      </c>
      <c r="W28" s="56">
        <f>(1000*CHOOSE(CONTROL!$C$42, 0.1146, 0.1146)*CHOOSE(CONTROL!$C$42, 200, 200)*CHOOSE(CONTROL!$C$42, 30, 30))/1000000</f>
        <v>0.68759999999999999</v>
      </c>
      <c r="X28" s="56">
        <f>30*0.1790888*145000/1000000</f>
        <v>0.77903627999999991</v>
      </c>
      <c r="Y28" s="56"/>
      <c r="Z28" s="17">
        <f>CHOOSE(CONTROL!$C$42, 4.0896, 4.0896) * CHOOSE(CONTROL!$C$21, $C$9, 100%, $E$9)</f>
        <v>4.0895999999999999</v>
      </c>
      <c r="AA28" s="55">
        <f>(131500*30*(6/30))/1000000</f>
        <v>0.78900000000000003</v>
      </c>
      <c r="AB28" s="48">
        <f>(B28*141.293+C28*267.993+D28*115.016+E28*249.698+F28*40+G28*25+H28*0+I28*100+J28*300)/(141.293+267.993+115.016+249.698+0+40+25+100+300)</f>
        <v>4.2470710783696521</v>
      </c>
      <c r="AC28" s="45">
        <f t="shared" ref="AC28:AC34" si="2">(M28*240+N28*120+O28*235+P28*100)/(240+120+235+100)</f>
        <v>4.1971834532374093</v>
      </c>
    </row>
    <row r="29" spans="1:29" ht="15" x14ac:dyDescent="0.2">
      <c r="A29" s="16">
        <v>41760</v>
      </c>
      <c r="B29" s="17">
        <f>CHOOSE(CONTROL!$C$42, 4.1706, 4.1706) * CHOOSE(CONTROL!$C$21, $C$9, 100%, $E$9)</f>
        <v>4.1706000000000003</v>
      </c>
      <c r="C29" s="17">
        <f>CHOOSE(CONTROL!$C$42, 4.1787, 4.1787) * CHOOSE(CONTROL!$C$21, $C$9, 100%, $E$9)</f>
        <v>4.1787000000000001</v>
      </c>
      <c r="D29" s="17">
        <f>CHOOSE(CONTROL!$C$42, 4.4497, 4.4497) * CHOOSE(CONTROL!$C$21, $C$9, 100%, $E$9)</f>
        <v>4.4497</v>
      </c>
      <c r="E29" s="17">
        <f>CHOOSE(CONTROL!$C$42, 4.4812, 4.4812) * CHOOSE(CONTROL!$C$21, $C$9, 100%, $E$9)</f>
        <v>4.4812000000000003</v>
      </c>
      <c r="F29" s="17">
        <f>CHOOSE(CONTROL!$C$42, 4.1888, 4.1888)*CHOOSE(CONTROL!$C$21, $C$9, 100%, $E$9)</f>
        <v>4.1887999999999996</v>
      </c>
      <c r="G29" s="17">
        <f>CHOOSE(CONTROL!$C$42, 4.2054, 4.2054)*CHOOSE(CONTROL!$C$21, $C$9, 100%, $E$9)</f>
        <v>4.2054</v>
      </c>
      <c r="H29" s="17">
        <f>CHOOSE(CONTROL!$C$42, 4.4698, 4.4698) * CHOOSE(CONTROL!$C$21, $C$9, 100%, $E$9)</f>
        <v>4.4698000000000002</v>
      </c>
      <c r="I29" s="17">
        <f>CHOOSE(CONTROL!$C$42, 4.2036, 4.2036)* CHOOSE(CONTROL!$C$21, $C$9, 100%, $E$9)</f>
        <v>4.2035999999999998</v>
      </c>
      <c r="J29" s="17">
        <f>CHOOSE(CONTROL!$C$42, 4.1818, 4.1818)* CHOOSE(CONTROL!$C$21, $C$9, 100%, $E$9)</f>
        <v>4.1818</v>
      </c>
      <c r="K29" s="58"/>
      <c r="L29" s="17">
        <f>CHOOSE(CONTROL!$C$42, 5.0568, 5.0568) * CHOOSE(CONTROL!$C$21, $C$9, 100%, $E$9)</f>
        <v>5.0568</v>
      </c>
      <c r="M29" s="17">
        <f>CHOOSE(CONTROL!$C$42, 4.1143, 4.1143) * CHOOSE(CONTROL!$C$21, $C$9, 100%, $E$9)</f>
        <v>4.1143000000000001</v>
      </c>
      <c r="N29" s="17">
        <f>CHOOSE(CONTROL!$C$42, 4.1306, 4.1306) * CHOOSE(CONTROL!$C$21, $C$9, 100%, $E$9)</f>
        <v>4.1306000000000003</v>
      </c>
      <c r="O29" s="17">
        <f>CHOOSE(CONTROL!$C$42, 4.3971, 4.3971) * CHOOSE(CONTROL!$C$21, $C$9, 100%, $E$9)</f>
        <v>4.3971</v>
      </c>
      <c r="P29" s="17">
        <f>CHOOSE(CONTROL!$C$42, 4.1355, 4.1355) * CHOOSE(CONTROL!$C$21, $C$9, 100%, $E$9)</f>
        <v>4.1355000000000004</v>
      </c>
      <c r="Q29" s="17">
        <f>CHOOSE(CONTROL!$C$42, 4.9918, 4.9918) * CHOOSE(CONTROL!$C$21, $C$9, 100%, $E$9)</f>
        <v>4.9917999999999996</v>
      </c>
      <c r="R29" s="17">
        <f>CHOOSE(CONTROL!$C$42, 5.5913, 5.5913) * CHOOSE(CONTROL!$C$21, $C$9, 100%, $E$9)</f>
        <v>5.5913000000000004</v>
      </c>
      <c r="S29" s="17">
        <f>CHOOSE(CONTROL!$C$42, 3.9969, 3.9969) * CHOOSE(CONTROL!$C$21, $C$9, 100%, $E$9)</f>
        <v>3.9969000000000001</v>
      </c>
      <c r="T29" s="57">
        <f>((((430000*CHOOSE(CONTROL!$C$42, 0.4694, 0.4694)+(874000-430000)*CHOOSE(CONTROL!$C$42, 0.7185, 0.7185)+400000*CHOOSE(CONTROL!$C$42, 1.14, 1.14)+50000*0.98)*CHOOSE(CONTROL!$C$42, 31, 31))/1000000))+CHOOSE(CONTROL!$C$42, 0.188, 0.188)+CHOOSE(CONTROL!$C$42, 0.5154, 0.5154)</f>
        <v>32.504936000000001</v>
      </c>
      <c r="U29" s="56">
        <f>(1000*CHOOSE(CONTROL!$C$42, 695, 695)*CHOOSE(CONTROL!$C$42, 0.5599, 0.5599)*CHOOSE(CONTROL!$C$42, 31, 31))/1000000</f>
        <v>12.063045499999998</v>
      </c>
      <c r="V29" s="56">
        <f>(1000*CHOOSE(CONTROL!$C$42, 580, 580)*CHOOSE(CONTROL!$C$42, 0.275, 0.275)*CHOOSE(CONTROL!$C$42, 31, 31))/1000000</f>
        <v>4.9444999999999997</v>
      </c>
      <c r="W29" s="56">
        <f>(1000*CHOOSE(CONTROL!$C$42, 0.1146, 0.1146)*CHOOSE(CONTROL!$C$42, 200, 200)*CHOOSE(CONTROL!$C$42, 31, 31))/1000000</f>
        <v>0.71052000000000004</v>
      </c>
      <c r="X29" s="56">
        <f>31*0.1790888*145000/1000000</f>
        <v>0.80500415599999997</v>
      </c>
      <c r="Y29" s="56"/>
      <c r="Z29" s="17">
        <f>CHOOSE(CONTROL!$C$42, 4.108, 4.108) * CHOOSE(CONTROL!$C$21, $C$9, 100%, $E$9)</f>
        <v>4.1079999999999997</v>
      </c>
      <c r="AA29" s="55">
        <f>(131500*31*(6/31))/1000000</f>
        <v>0.78900000000000003</v>
      </c>
      <c r="AB29" s="48">
        <f>(B29*194.205+C29*267.466+D29*133.845+E29*213.484+F29*40+G29*25+H29*50+I29*100+J29*300)/(194.205+267.466+133.845+213.484+50+40+25+100+300)</f>
        <v>4.2680688402567979</v>
      </c>
      <c r="AC29" s="45">
        <f t="shared" si="2"/>
        <v>4.215787769784173</v>
      </c>
    </row>
    <row r="30" spans="1:29" ht="15" x14ac:dyDescent="0.2">
      <c r="A30" s="16">
        <v>41791</v>
      </c>
      <c r="B30" s="17">
        <f>CHOOSE(CONTROL!$C$42, 4.1935, 4.1935) * CHOOSE(CONTROL!$C$21, $C$9, 100%, $E$9)</f>
        <v>4.1935000000000002</v>
      </c>
      <c r="C30" s="17">
        <f>CHOOSE(CONTROL!$C$42, 4.2016, 4.2016) * CHOOSE(CONTROL!$C$21, $C$9, 100%, $E$9)</f>
        <v>4.2016</v>
      </c>
      <c r="D30" s="17">
        <f>CHOOSE(CONTROL!$C$42, 4.4726, 4.4726) * CHOOSE(CONTROL!$C$21, $C$9, 100%, $E$9)</f>
        <v>4.4725999999999999</v>
      </c>
      <c r="E30" s="17">
        <f>CHOOSE(CONTROL!$C$42, 4.5041, 4.5041) * CHOOSE(CONTROL!$C$21, $C$9, 100%, $E$9)</f>
        <v>4.5041000000000002</v>
      </c>
      <c r="F30" s="17">
        <f>CHOOSE(CONTROL!$C$42, 4.212, 4.212)*CHOOSE(CONTROL!$C$21, $C$9, 100%, $E$9)</f>
        <v>4.2119999999999997</v>
      </c>
      <c r="G30" s="17">
        <f>CHOOSE(CONTROL!$C$42, 4.2287, 4.2287)*CHOOSE(CONTROL!$C$21, $C$9, 100%, $E$9)</f>
        <v>4.2286999999999999</v>
      </c>
      <c r="H30" s="17">
        <f>CHOOSE(CONTROL!$C$42, 4.4927, 4.4927) * CHOOSE(CONTROL!$C$21, $C$9, 100%, $E$9)</f>
        <v>4.4927000000000001</v>
      </c>
      <c r="I30" s="17">
        <f>CHOOSE(CONTROL!$C$42, 4.2265, 4.2265)* CHOOSE(CONTROL!$C$21, $C$9, 100%, $E$9)</f>
        <v>4.2264999999999997</v>
      </c>
      <c r="J30" s="17">
        <f>CHOOSE(CONTROL!$C$42, 4.205, 4.205)* CHOOSE(CONTROL!$C$21, $C$9, 100%, $E$9)</f>
        <v>4.2050000000000001</v>
      </c>
      <c r="K30" s="58"/>
      <c r="L30" s="17">
        <f>CHOOSE(CONTROL!$C$42, 5.0797, 5.0797) * CHOOSE(CONTROL!$C$21, $C$9, 100%, $E$9)</f>
        <v>5.0796999999999999</v>
      </c>
      <c r="M30" s="17">
        <f>CHOOSE(CONTROL!$C$42, 4.137, 4.137) * CHOOSE(CONTROL!$C$21, $C$9, 100%, $E$9)</f>
        <v>4.1369999999999996</v>
      </c>
      <c r="N30" s="17">
        <f>CHOOSE(CONTROL!$C$42, 4.1534, 4.1534) * CHOOSE(CONTROL!$C$21, $C$9, 100%, $E$9)</f>
        <v>4.1534000000000004</v>
      </c>
      <c r="O30" s="17">
        <f>CHOOSE(CONTROL!$C$42, 4.4196, 4.4196) * CHOOSE(CONTROL!$C$21, $C$9, 100%, $E$9)</f>
        <v>4.4196</v>
      </c>
      <c r="P30" s="17">
        <f>CHOOSE(CONTROL!$C$42, 4.158, 4.158) * CHOOSE(CONTROL!$C$21, $C$9, 100%, $E$9)</f>
        <v>4.1580000000000004</v>
      </c>
      <c r="Q30" s="17">
        <f>CHOOSE(CONTROL!$C$42, 5.0143, 5.0143) * CHOOSE(CONTROL!$C$21, $C$9, 100%, $E$9)</f>
        <v>5.0143000000000004</v>
      </c>
      <c r="R30" s="17">
        <f>CHOOSE(CONTROL!$C$42, 5.6138, 5.6138) * CHOOSE(CONTROL!$C$21, $C$9, 100%, $E$9)</f>
        <v>5.6138000000000003</v>
      </c>
      <c r="S30" s="17">
        <f>CHOOSE(CONTROL!$C$42, 4.0189, 4.0189) * CHOOSE(CONTROL!$C$21, $C$9, 100%, $E$9)</f>
        <v>4.0189000000000004</v>
      </c>
      <c r="T30" s="57">
        <f>((((430000*CHOOSE(CONTROL!$C$42, 0.4694, 0.4694)+(874000-430000)*CHOOSE(CONTROL!$C$42, 0.7185, 0.7185)+400000*CHOOSE(CONTROL!$C$42, 1.14, 1.14)+50000*0.98)*CHOOSE(CONTROL!$C$42, 30, 30))/1000000))+CHOOSE(CONTROL!$C$42, 0.1616, 0.1616)+CHOOSE(CONTROL!$C$42, 0.5074, 0.5074)</f>
        <v>31.444680000000002</v>
      </c>
      <c r="U30" s="56">
        <f>(1000*CHOOSE(CONTROL!$C$42, 695, 695)*CHOOSE(CONTROL!$C$42, 0.5599, 0.5599)*CHOOSE(CONTROL!$C$42, 30, 30))/1000000</f>
        <v>11.673914999999997</v>
      </c>
      <c r="V30" s="56">
        <f>(1000*CHOOSE(CONTROL!$C$42, 580, 580)*CHOOSE(CONTROL!$C$42, 0.275, 0.275)*CHOOSE(CONTROL!$C$42, 30, 30))/1000000</f>
        <v>4.7850000000000001</v>
      </c>
      <c r="W30" s="56">
        <f>(1000*CHOOSE(CONTROL!$C$42, 0.1146, 0.1146)*CHOOSE(CONTROL!$C$42, 200, 200)*CHOOSE(CONTROL!$C$42, 30, 30))/1000000</f>
        <v>0.68759999999999999</v>
      </c>
      <c r="X30" s="56">
        <f>30*0.1790888*145000/1000000</f>
        <v>0.77903627999999991</v>
      </c>
      <c r="Y30" s="56"/>
      <c r="Z30" s="17">
        <f>CHOOSE(CONTROL!$C$42, 4.1305, 4.1305) * CHOOSE(CONTROL!$C$21, $C$9, 100%, $E$9)</f>
        <v>4.1304999999999996</v>
      </c>
      <c r="AA30" s="55">
        <f>(131500*30*(6/30))/1000000</f>
        <v>0.78900000000000003</v>
      </c>
      <c r="AB30" s="48">
        <f>(B30*194.205+C30*267.466+D30*133.845+E30*213.484+F30*40+G30*25+H30*50+I30*100+J30*300)/(194.205+267.466+133.845+213.484+50+40+25+100+300)</f>
        <v>4.2910534324018128</v>
      </c>
      <c r="AC30" s="45">
        <f t="shared" si="2"/>
        <v>4.2384086330935258</v>
      </c>
    </row>
    <row r="31" spans="1:29" ht="15" x14ac:dyDescent="0.2">
      <c r="A31" s="16">
        <v>41821</v>
      </c>
      <c r="B31" s="17">
        <f>CHOOSE(CONTROL!$C$42, 4.2258, 4.2258) * CHOOSE(CONTROL!$C$21, $C$9, 100%, $E$9)</f>
        <v>4.2257999999999996</v>
      </c>
      <c r="C31" s="17">
        <f>CHOOSE(CONTROL!$C$42, 4.2338, 4.2338) * CHOOSE(CONTROL!$C$21, $C$9, 100%, $E$9)</f>
        <v>4.2337999999999996</v>
      </c>
      <c r="D31" s="17">
        <f>CHOOSE(CONTROL!$C$42, 4.5049, 4.5049) * CHOOSE(CONTROL!$C$21, $C$9, 100%, $E$9)</f>
        <v>4.5049000000000001</v>
      </c>
      <c r="E31" s="17">
        <f>CHOOSE(CONTROL!$C$42, 4.5363, 4.5363) * CHOOSE(CONTROL!$C$21, $C$9, 100%, $E$9)</f>
        <v>4.5362999999999998</v>
      </c>
      <c r="F31" s="17">
        <f>CHOOSE(CONTROL!$C$42, 4.2447, 4.2447)*CHOOSE(CONTROL!$C$21, $C$9, 100%, $E$9)</f>
        <v>4.2446999999999999</v>
      </c>
      <c r="G31" s="17">
        <f>CHOOSE(CONTROL!$C$42, 4.2615, 4.2615)*CHOOSE(CONTROL!$C$21, $C$9, 100%, $E$9)</f>
        <v>4.2614999999999998</v>
      </c>
      <c r="H31" s="17">
        <f>CHOOSE(CONTROL!$C$42, 4.525, 4.525) * CHOOSE(CONTROL!$C$21, $C$9, 100%, $E$9)</f>
        <v>4.5250000000000004</v>
      </c>
      <c r="I31" s="17">
        <f>CHOOSE(CONTROL!$C$42, 4.2589, 4.2589)* CHOOSE(CONTROL!$C$21, $C$9, 100%, $E$9)</f>
        <v>4.2588999999999997</v>
      </c>
      <c r="J31" s="17">
        <f>CHOOSE(CONTROL!$C$42, 4.2377, 4.2377)* CHOOSE(CONTROL!$C$21, $C$9, 100%, $E$9)</f>
        <v>4.2377000000000002</v>
      </c>
      <c r="K31" s="58"/>
      <c r="L31" s="17">
        <f>CHOOSE(CONTROL!$C$42, 5.112, 5.112) * CHOOSE(CONTROL!$C$21, $C$9, 100%, $E$9)</f>
        <v>5.1120000000000001</v>
      </c>
      <c r="M31" s="17">
        <f>CHOOSE(CONTROL!$C$42, 4.1691, 4.1691) * CHOOSE(CONTROL!$C$21, $C$9, 100%, $E$9)</f>
        <v>4.1691000000000003</v>
      </c>
      <c r="N31" s="17">
        <f>CHOOSE(CONTROL!$C$42, 4.1856, 4.1856) * CHOOSE(CONTROL!$C$21, $C$9, 100%, $E$9)</f>
        <v>4.1856</v>
      </c>
      <c r="O31" s="17">
        <f>CHOOSE(CONTROL!$C$42, 4.4513, 4.4513) * CHOOSE(CONTROL!$C$21, $C$9, 100%, $E$9)</f>
        <v>4.4512999999999998</v>
      </c>
      <c r="P31" s="17">
        <f>CHOOSE(CONTROL!$C$42, 4.1898, 4.1898) * CHOOSE(CONTROL!$C$21, $C$9, 100%, $E$9)</f>
        <v>4.1898</v>
      </c>
      <c r="Q31" s="17">
        <f>CHOOSE(CONTROL!$C$42, 5.046, 5.046) * CHOOSE(CONTROL!$C$21, $C$9, 100%, $E$9)</f>
        <v>5.0460000000000003</v>
      </c>
      <c r="R31" s="17">
        <f>CHOOSE(CONTROL!$C$42, 5.6456, 5.6456) * CHOOSE(CONTROL!$C$21, $C$9, 100%, $E$9)</f>
        <v>5.6456</v>
      </c>
      <c r="S31" s="17">
        <f>CHOOSE(CONTROL!$C$42, 4.0499, 4.0499) * CHOOSE(CONTROL!$C$21, $C$9, 100%, $E$9)</f>
        <v>4.0499000000000001</v>
      </c>
      <c r="T31" s="57">
        <f>((((430000*CHOOSE(CONTROL!$C$42, 0.4694, 0.4694)+(874000-430000)*CHOOSE(CONTROL!$C$42, 0.7185, 0.7185)+400000*CHOOSE(CONTROL!$C$42, 1.14, 1.14)+50000*0.98)*CHOOSE(CONTROL!$C$42, 31, 31))/1000000))+CHOOSE(CONTROL!$C$42, 0.1555, 0.1555)+CHOOSE(CONTROL!$C$42, 0.5217, 0.5217)</f>
        <v>32.478735999999998</v>
      </c>
      <c r="U31" s="56">
        <f>(1000*CHOOSE(CONTROL!$C$42, 695, 695)*CHOOSE(CONTROL!$C$42, 0.5599, 0.5599)*CHOOSE(CONTROL!$C$42, 31, 31))/1000000</f>
        <v>12.063045499999998</v>
      </c>
      <c r="V31" s="56">
        <f>(1000*CHOOSE(CONTROL!$C$42, 580, 580)*CHOOSE(CONTROL!$C$42, 0.275, 0.275)*CHOOSE(CONTROL!$C$42, 31, 31))/1000000</f>
        <v>4.9444999999999997</v>
      </c>
      <c r="W31" s="56">
        <f>(1000*CHOOSE(CONTROL!$C$42, 0.1146, 0.1146)*CHOOSE(CONTROL!$C$42, 200, 200)*CHOOSE(CONTROL!$C$42, 31, 31))/1000000</f>
        <v>0.71052000000000004</v>
      </c>
      <c r="X31" s="56">
        <f>31*0.1790888*145000/1000000</f>
        <v>0.80500415599999997</v>
      </c>
      <c r="Y31" s="56"/>
      <c r="Z31" s="17">
        <f>CHOOSE(CONTROL!$C$42, 4.1623, 4.1623) * CHOOSE(CONTROL!$C$21, $C$9, 100%, $E$9)</f>
        <v>4.1623000000000001</v>
      </c>
      <c r="AA31" s="55">
        <f>(131500*31*(6/31))/1000000</f>
        <v>0.78900000000000003</v>
      </c>
      <c r="AB31" s="48">
        <f>(B31*194.205+C31*267.466+D31*133.845+E31*213.484+F31*40+G31*25+H31*50+I31*100+J31*300)/(194.205+267.466+133.845+213.484+50+40+25+100+300)</f>
        <v>4.3234368198640478</v>
      </c>
      <c r="AC31" s="45">
        <f t="shared" si="2"/>
        <v>4.2703474820143885</v>
      </c>
    </row>
    <row r="32" spans="1:29" ht="15" x14ac:dyDescent="0.2">
      <c r="A32" s="16">
        <v>41852</v>
      </c>
      <c r="B32" s="17">
        <f>CHOOSE(CONTROL!$C$42, 4.2456, 4.2456) * CHOOSE(CONTROL!$C$21, $C$9, 100%, $E$9)</f>
        <v>4.2455999999999996</v>
      </c>
      <c r="C32" s="17">
        <f>CHOOSE(CONTROL!$C$42, 4.2536, 4.2536) * CHOOSE(CONTROL!$C$21, $C$9, 100%, $E$9)</f>
        <v>4.2535999999999996</v>
      </c>
      <c r="D32" s="17">
        <f>CHOOSE(CONTROL!$C$42, 4.5246, 4.5246) * CHOOSE(CONTROL!$C$21, $C$9, 100%, $E$9)</f>
        <v>4.5246000000000004</v>
      </c>
      <c r="E32" s="17">
        <f>CHOOSE(CONTROL!$C$42, 4.5561, 4.5561) * CHOOSE(CONTROL!$C$21, $C$9, 100%, $E$9)</f>
        <v>4.5560999999999998</v>
      </c>
      <c r="F32" s="17">
        <f>CHOOSE(CONTROL!$C$42, 4.2647, 4.2647)*CHOOSE(CONTROL!$C$21, $C$9, 100%, $E$9)</f>
        <v>4.2647000000000004</v>
      </c>
      <c r="G32" s="17">
        <f>CHOOSE(CONTROL!$C$42, 4.2816, 4.2816)*CHOOSE(CONTROL!$C$21, $C$9, 100%, $E$9)</f>
        <v>4.2816000000000001</v>
      </c>
      <c r="H32" s="17">
        <f>CHOOSE(CONTROL!$C$42, 4.5447, 4.5447) * CHOOSE(CONTROL!$C$21, $C$9, 100%, $E$9)</f>
        <v>4.5446999999999997</v>
      </c>
      <c r="I32" s="17">
        <f>CHOOSE(CONTROL!$C$42, 4.2787, 4.2787)* CHOOSE(CONTROL!$C$21, $C$9, 100%, $E$9)</f>
        <v>4.2786999999999997</v>
      </c>
      <c r="J32" s="17">
        <f>CHOOSE(CONTROL!$C$42, 4.2577, 4.2577)* CHOOSE(CONTROL!$C$21, $C$9, 100%, $E$9)</f>
        <v>4.2576999999999998</v>
      </c>
      <c r="K32" s="58"/>
      <c r="L32" s="17">
        <f>CHOOSE(CONTROL!$C$42, 5.1317, 5.1317) * CHOOSE(CONTROL!$C$21, $C$9, 100%, $E$9)</f>
        <v>5.1317000000000004</v>
      </c>
      <c r="M32" s="17">
        <f>CHOOSE(CONTROL!$C$42, 4.1888, 4.1888) * CHOOSE(CONTROL!$C$21, $C$9, 100%, $E$9)</f>
        <v>4.1887999999999996</v>
      </c>
      <c r="N32" s="17">
        <f>CHOOSE(CONTROL!$C$42, 4.2054, 4.2054) * CHOOSE(CONTROL!$C$21, $C$9, 100%, $E$9)</f>
        <v>4.2054</v>
      </c>
      <c r="O32" s="17">
        <f>CHOOSE(CONTROL!$C$42, 4.4707, 4.4707) * CHOOSE(CONTROL!$C$21, $C$9, 100%, $E$9)</f>
        <v>4.4706999999999999</v>
      </c>
      <c r="P32" s="17">
        <f>CHOOSE(CONTROL!$C$42, 4.2093, 4.2093) * CHOOSE(CONTROL!$C$21, $C$9, 100%, $E$9)</f>
        <v>4.2092999999999998</v>
      </c>
      <c r="Q32" s="17">
        <f>CHOOSE(CONTROL!$C$42, 5.0654, 5.0654) * CHOOSE(CONTROL!$C$21, $C$9, 100%, $E$9)</f>
        <v>5.0654000000000003</v>
      </c>
      <c r="R32" s="17">
        <f>CHOOSE(CONTROL!$C$42, 5.6651, 5.6651) * CHOOSE(CONTROL!$C$21, $C$9, 100%, $E$9)</f>
        <v>5.6650999999999998</v>
      </c>
      <c r="S32" s="17">
        <f>CHOOSE(CONTROL!$C$42, 4.0689, 4.0689) * CHOOSE(CONTROL!$C$21, $C$9, 100%, $E$9)</f>
        <v>4.0689000000000002</v>
      </c>
      <c r="T32" s="57">
        <f>((((430000*CHOOSE(CONTROL!$C$42, 0.4694, 0.4694)+(874000-430000)*CHOOSE(CONTROL!$C$42, 0.7185, 0.7185)+400000*CHOOSE(CONTROL!$C$42, 1.14, 1.14)+50000*0.98)*CHOOSE(CONTROL!$C$42, 31, 31))/1000000))+CHOOSE(CONTROL!$C$42, 0.1911, 0.1911)+CHOOSE(CONTROL!$C$42, 0.5131, 0.5131)</f>
        <v>32.505735999999999</v>
      </c>
      <c r="U32" s="56">
        <f>(1000*CHOOSE(CONTROL!$C$42, 695, 695)*CHOOSE(CONTROL!$C$42, 0.5599, 0.5599)*CHOOSE(CONTROL!$C$42, 31, 31))/1000000</f>
        <v>12.063045499999998</v>
      </c>
      <c r="V32" s="56">
        <f>(1000*CHOOSE(CONTROL!$C$42, 580, 580)*CHOOSE(CONTROL!$C$42, 0.275, 0.275)*CHOOSE(CONTROL!$C$42, 31, 31))/1000000</f>
        <v>4.9444999999999997</v>
      </c>
      <c r="W32" s="56">
        <f>(1000*CHOOSE(CONTROL!$C$42, 0.1146, 0.1146)*CHOOSE(CONTROL!$C$42, 200, 200)*CHOOSE(CONTROL!$C$42, 31, 31))/1000000</f>
        <v>0.71052000000000004</v>
      </c>
      <c r="X32" s="56">
        <f>31*0.1790888*145000/1000000</f>
        <v>0.80500415599999997</v>
      </c>
      <c r="Y32" s="56"/>
      <c r="Z32" s="17">
        <f>CHOOSE(CONTROL!$C$42, 4.1817, 4.1817) * CHOOSE(CONTROL!$C$21, $C$9, 100%, $E$9)</f>
        <v>4.1817000000000002</v>
      </c>
      <c r="AA32" s="55">
        <f>(131500*31*(6/31))/1000000</f>
        <v>0.78900000000000003</v>
      </c>
      <c r="AB32" s="48">
        <f>(B32*194.205+C32*267.466+D32*133.845+E32*213.484+F32*40+G32*25+H32*50+I32*100+J32*300)/(194.205+267.466+133.845+213.484+50+40+25+100+300)</f>
        <v>4.3432799584592141</v>
      </c>
      <c r="AC32" s="45">
        <f t="shared" si="2"/>
        <v>4.2899345323741001</v>
      </c>
    </row>
    <row r="33" spans="1:29" ht="15" x14ac:dyDescent="0.2">
      <c r="A33" s="16">
        <v>41883</v>
      </c>
      <c r="B33" s="17">
        <f>CHOOSE(CONTROL!$C$42, 4.2505, 4.2505) * CHOOSE(CONTROL!$C$21, $C$9, 100%, $E$9)</f>
        <v>4.2504999999999997</v>
      </c>
      <c r="C33" s="17">
        <f>CHOOSE(CONTROL!$C$42, 4.2586, 4.2586) * CHOOSE(CONTROL!$C$21, $C$9, 100%, $E$9)</f>
        <v>4.2586000000000004</v>
      </c>
      <c r="D33" s="17">
        <f>CHOOSE(CONTROL!$C$42, 4.5296, 4.5296) * CHOOSE(CONTROL!$C$21, $C$9, 100%, $E$9)</f>
        <v>4.5296000000000003</v>
      </c>
      <c r="E33" s="17">
        <f>CHOOSE(CONTROL!$C$42, 4.5611, 4.5611) * CHOOSE(CONTROL!$C$21, $C$9, 100%, $E$9)</f>
        <v>4.5610999999999997</v>
      </c>
      <c r="F33" s="17">
        <f>CHOOSE(CONTROL!$C$42, 4.2697, 4.2697)*CHOOSE(CONTROL!$C$21, $C$9, 100%, $E$9)</f>
        <v>4.2697000000000003</v>
      </c>
      <c r="G33" s="17">
        <f>CHOOSE(CONTROL!$C$42, 4.2866, 4.2866)*CHOOSE(CONTROL!$C$21, $C$9, 100%, $E$9)</f>
        <v>4.2866</v>
      </c>
      <c r="H33" s="17">
        <f>CHOOSE(CONTROL!$C$42, 4.5497, 4.5497) * CHOOSE(CONTROL!$C$21, $C$9, 100%, $E$9)</f>
        <v>4.5496999999999996</v>
      </c>
      <c r="I33" s="17">
        <f>CHOOSE(CONTROL!$C$42, 4.2837, 4.2837)* CHOOSE(CONTROL!$C$21, $C$9, 100%, $E$9)</f>
        <v>4.2836999999999996</v>
      </c>
      <c r="J33" s="17">
        <f>CHOOSE(CONTROL!$C$42, 4.2627, 4.2627)* CHOOSE(CONTROL!$C$21, $C$9, 100%, $E$9)</f>
        <v>4.2626999999999997</v>
      </c>
      <c r="K33" s="58"/>
      <c r="L33" s="17">
        <f>CHOOSE(CONTROL!$C$42, 5.1367, 5.1367) * CHOOSE(CONTROL!$C$21, $C$9, 100%, $E$9)</f>
        <v>5.1367000000000003</v>
      </c>
      <c r="M33" s="17">
        <f>CHOOSE(CONTROL!$C$42, 4.1937, 4.1937) * CHOOSE(CONTROL!$C$21, $C$9, 100%, $E$9)</f>
        <v>4.1936999999999998</v>
      </c>
      <c r="N33" s="17">
        <f>CHOOSE(CONTROL!$C$42, 4.2103, 4.2103) * CHOOSE(CONTROL!$C$21, $C$9, 100%, $E$9)</f>
        <v>4.2103000000000002</v>
      </c>
      <c r="O33" s="17">
        <f>CHOOSE(CONTROL!$C$42, 4.4756, 4.4756) * CHOOSE(CONTROL!$C$21, $C$9, 100%, $E$9)</f>
        <v>4.4756</v>
      </c>
      <c r="P33" s="17">
        <f>CHOOSE(CONTROL!$C$42, 4.2142, 4.2142) * CHOOSE(CONTROL!$C$21, $C$9, 100%, $E$9)</f>
        <v>4.2141999999999999</v>
      </c>
      <c r="Q33" s="17">
        <f>CHOOSE(CONTROL!$C$42, 5.0703, 5.0703) * CHOOSE(CONTROL!$C$21, $C$9, 100%, $E$9)</f>
        <v>5.0702999999999996</v>
      </c>
      <c r="R33" s="17">
        <f>CHOOSE(CONTROL!$C$42, 5.67, 5.67) * CHOOSE(CONTROL!$C$21, $C$9, 100%, $E$9)</f>
        <v>5.67</v>
      </c>
      <c r="S33" s="17">
        <f>CHOOSE(CONTROL!$C$42, 4.0737, 4.0737) * CHOOSE(CONTROL!$C$21, $C$9, 100%, $E$9)</f>
        <v>4.0736999999999997</v>
      </c>
      <c r="T33" s="57">
        <f>((((430000*CHOOSE(CONTROL!$C$42, 0.4694, 0.4694)+(874000-430000)*CHOOSE(CONTROL!$C$42, 0.7185, 0.7185)+400000*CHOOSE(CONTROL!$C$42, 1.14, 1.14)+50000*0.98)*CHOOSE(CONTROL!$C$42, 30, 30))/1000000))+CHOOSE(CONTROL!$C$42, 0.1717, 0.1717)+CHOOSE(CONTROL!$C$42, 0.4923, 0.4923)</f>
        <v>31.439680000000003</v>
      </c>
      <c r="U33" s="56">
        <f>(1000*CHOOSE(CONTROL!$C$42, 695, 695)*CHOOSE(CONTROL!$C$42, 0.5599, 0.5599)*CHOOSE(CONTROL!$C$42, 30, 30))/1000000</f>
        <v>11.673914999999997</v>
      </c>
      <c r="V33" s="56">
        <f>(1000*CHOOSE(CONTROL!$C$42, 580, 580)*CHOOSE(CONTROL!$C$42, 0.275, 0.275)*CHOOSE(CONTROL!$C$42, 30, 30))/1000000</f>
        <v>4.7850000000000001</v>
      </c>
      <c r="W33" s="56">
        <f>(1000*CHOOSE(CONTROL!$C$42, 0.1146, 0.1146)*CHOOSE(CONTROL!$C$42, 200, 200)*CHOOSE(CONTROL!$C$42, 30, 30))/1000000</f>
        <v>0.68759999999999999</v>
      </c>
      <c r="X33" s="56">
        <f>30*0.1790888*145000/1000000</f>
        <v>0.77903627999999991</v>
      </c>
      <c r="Y33" s="56"/>
      <c r="Z33" s="17">
        <f>CHOOSE(CONTROL!$C$42, 4.1866, 4.1866) * CHOOSE(CONTROL!$C$21, $C$9, 100%, $E$9)</f>
        <v>4.1866000000000003</v>
      </c>
      <c r="AA33" s="55">
        <f>(131500*30*(6/30))/1000000</f>
        <v>0.78900000000000003</v>
      </c>
      <c r="AB33" s="48">
        <f>(B33*194.205+C33*267.466+D33*133.845+E33*213.484+F33*40+G33*25+H33*50+I33*100+J33*300)/(194.205+267.466+133.845+213.484+50+40+25+100+300)</f>
        <v>4.3482652904078547</v>
      </c>
      <c r="AC33" s="45">
        <f t="shared" si="2"/>
        <v>4.2948345323741002</v>
      </c>
    </row>
    <row r="34" spans="1:29" ht="15" x14ac:dyDescent="0.2">
      <c r="A34" s="16">
        <v>41913</v>
      </c>
      <c r="B34" s="17">
        <f>CHOOSE(CONTROL!$C$42, 4.2842, 4.2842) * CHOOSE(CONTROL!$C$21, $C$9, 100%, $E$9)</f>
        <v>4.2842000000000002</v>
      </c>
      <c r="C34" s="17">
        <f>CHOOSE(CONTROL!$C$42, 4.2895, 4.2895) * CHOOSE(CONTROL!$C$21, $C$9, 100%, $E$9)</f>
        <v>4.2895000000000003</v>
      </c>
      <c r="D34" s="17">
        <f>CHOOSE(CONTROL!$C$42, 4.5655, 4.5655) * CHOOSE(CONTROL!$C$21, $C$9, 100%, $E$9)</f>
        <v>4.5655000000000001</v>
      </c>
      <c r="E34" s="17">
        <f>CHOOSE(CONTROL!$C$42, 4.5946, 4.5946) * CHOOSE(CONTROL!$C$21, $C$9, 100%, $E$9)</f>
        <v>4.5945999999999998</v>
      </c>
      <c r="F34" s="17">
        <f>CHOOSE(CONTROL!$C$42, 4.3056, 4.3056)*CHOOSE(CONTROL!$C$21, $C$9, 100%, $E$9)</f>
        <v>4.3056000000000001</v>
      </c>
      <c r="G34" s="17">
        <f>CHOOSE(CONTROL!$C$42, 4.3224, 4.3224)*CHOOSE(CONTROL!$C$21, $C$9, 100%, $E$9)</f>
        <v>4.3224</v>
      </c>
      <c r="H34" s="17">
        <f>CHOOSE(CONTROL!$C$42, 4.5851, 4.5851) * CHOOSE(CONTROL!$C$21, $C$9, 100%, $E$9)</f>
        <v>4.5850999999999997</v>
      </c>
      <c r="I34" s="17">
        <f>CHOOSE(CONTROL!$C$42, 4.3192, 4.3192)* CHOOSE(CONTROL!$C$21, $C$9, 100%, $E$9)</f>
        <v>4.3192000000000004</v>
      </c>
      <c r="J34" s="17">
        <f>CHOOSE(CONTROL!$C$42, 4.2986, 4.2986)* CHOOSE(CONTROL!$C$21, $C$9, 100%, $E$9)</f>
        <v>4.2986000000000004</v>
      </c>
      <c r="K34" s="58"/>
      <c r="L34" s="17">
        <f>CHOOSE(CONTROL!$C$42, 5.1721, 5.1721) * CHOOSE(CONTROL!$C$21, $C$9, 100%, $E$9)</f>
        <v>5.1721000000000004</v>
      </c>
      <c r="M34" s="17">
        <f>CHOOSE(CONTROL!$C$42, 4.2289, 4.2289) * CHOOSE(CONTROL!$C$21, $C$9, 100%, $E$9)</f>
        <v>4.2289000000000003</v>
      </c>
      <c r="N34" s="17">
        <f>CHOOSE(CONTROL!$C$42, 4.2454, 4.2454) * CHOOSE(CONTROL!$C$21, $C$9, 100%, $E$9)</f>
        <v>4.2454000000000001</v>
      </c>
      <c r="O34" s="17">
        <f>CHOOSE(CONTROL!$C$42, 4.5103, 4.5103) * CHOOSE(CONTROL!$C$21, $C$9, 100%, $E$9)</f>
        <v>4.5103</v>
      </c>
      <c r="P34" s="17">
        <f>CHOOSE(CONTROL!$C$42, 4.249, 4.249) * CHOOSE(CONTROL!$C$21, $C$9, 100%, $E$9)</f>
        <v>4.2489999999999997</v>
      </c>
      <c r="Q34" s="17">
        <f>CHOOSE(CONTROL!$C$42, 5.105, 5.105) * CHOOSE(CONTROL!$C$21, $C$9, 100%, $E$9)</f>
        <v>5.1050000000000004</v>
      </c>
      <c r="R34" s="17">
        <f>CHOOSE(CONTROL!$C$42, 5.7048, 5.7048) * CHOOSE(CONTROL!$C$21, $C$9, 100%, $E$9)</f>
        <v>5.7047999999999996</v>
      </c>
      <c r="S34" s="17">
        <f>CHOOSE(CONTROL!$C$42, 4.1077, 4.1077) * CHOOSE(CONTROL!$C$21, $C$9, 100%, $E$9)</f>
        <v>4.1077000000000004</v>
      </c>
      <c r="T3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4" s="56">
        <f>(1000*CHOOSE(CONTROL!$C$42, 695, 695)*CHOOSE(CONTROL!$C$42, 0.5599, 0.5599)*CHOOSE(CONTROL!$C$42, 31, 31))/1000000</f>
        <v>12.063045499999998</v>
      </c>
      <c r="V34" s="56">
        <f>(1000*CHOOSE(CONTROL!$C$42, 580, 580)*CHOOSE(CONTROL!$C$42, 0.275, 0.275)*CHOOSE(CONTROL!$C$42, 31, 31))/1000000</f>
        <v>4.9444999999999997</v>
      </c>
      <c r="W34" s="56">
        <f>(1000*CHOOSE(CONTROL!$C$42, 0.1146, 0.1146)*CHOOSE(CONTROL!$C$42, 200, 200)*CHOOSE(CONTROL!$C$42, 31, 31))/1000000</f>
        <v>0.71052000000000004</v>
      </c>
      <c r="X34" s="56">
        <f>31*0.1790888*145000/1000000</f>
        <v>0.80500415599999997</v>
      </c>
      <c r="Y34" s="56"/>
      <c r="Z34" s="17">
        <f>CHOOSE(CONTROL!$C$42, 4.2214, 4.2214) * CHOOSE(CONTROL!$C$21, $C$9, 100%, $E$9)</f>
        <v>4.2214</v>
      </c>
      <c r="AA34" s="55">
        <f>(131500*31*(6/31))/1000000</f>
        <v>0.78900000000000003</v>
      </c>
      <c r="AB34" s="48">
        <f>(B34*131.881+C34*277.167+D34*79.08+E34*285.872+F34*40+G34*25+H34*0+I34*100+J34*300)/(131.881+277.167+79.08+285.872+0+40+25+100+300)</f>
        <v>4.3827309587570626</v>
      </c>
      <c r="AC34" s="45">
        <f t="shared" si="2"/>
        <v>4.3297906474820147</v>
      </c>
    </row>
    <row r="35" spans="1:29" ht="15" x14ac:dyDescent="0.2">
      <c r="A35" s="16">
        <v>41944</v>
      </c>
      <c r="B35" s="17">
        <f>CHOOSE(CONTROL!$C$42, 4.3639, 4.3639) * CHOOSE(CONTROL!$C$21, $C$9, 100%, $E$9)</f>
        <v>4.3639000000000001</v>
      </c>
      <c r="C35" s="17">
        <f>CHOOSE(CONTROL!$C$42, 4.3689, 4.3689) * CHOOSE(CONTROL!$C$21, $C$9, 100%, $E$9)</f>
        <v>4.3689</v>
      </c>
      <c r="D35" s="17">
        <f>CHOOSE(CONTROL!$C$42, 4.464, 4.464) * CHOOSE(CONTROL!$C$21, $C$9, 100%, $E$9)</f>
        <v>4.4640000000000004</v>
      </c>
      <c r="E35" s="17">
        <f>CHOOSE(CONTROL!$C$42, 4.4981, 4.4981) * CHOOSE(CONTROL!$C$21, $C$9, 100%, $E$9)</f>
        <v>4.4981</v>
      </c>
      <c r="F35" s="17">
        <f>CHOOSE(CONTROL!$C$42, 4.3878, 4.3878)*CHOOSE(CONTROL!$C$21, $C$9, 100%, $E$9)</f>
        <v>4.3878000000000004</v>
      </c>
      <c r="G35" s="17">
        <f>CHOOSE(CONTROL!$C$42, 4.4048, 4.4048)*CHOOSE(CONTROL!$C$21, $C$9, 100%, $E$9)</f>
        <v>4.4047999999999998</v>
      </c>
      <c r="H35" s="17">
        <f>CHOOSE(CONTROL!$C$42, 4.4873, 4.4873) * CHOOSE(CONTROL!$C$21, $C$9, 100%, $E$9)</f>
        <v>4.4873000000000003</v>
      </c>
      <c r="I35" s="17">
        <f>CHOOSE(CONTROL!$C$42, 4.3975, 4.3975)* CHOOSE(CONTROL!$C$21, $C$9, 100%, $E$9)</f>
        <v>4.3975</v>
      </c>
      <c r="J35" s="17">
        <f>CHOOSE(CONTROL!$C$42, 4.3808, 4.3808)* CHOOSE(CONTROL!$C$21, $C$9, 100%, $E$9)</f>
        <v>4.3807999999999998</v>
      </c>
      <c r="K35" s="58"/>
      <c r="L35" s="17">
        <f>CHOOSE(CONTROL!$C$42, 5.0743, 5.0743) * CHOOSE(CONTROL!$C$21, $C$9, 100%, $E$9)</f>
        <v>5.0743</v>
      </c>
      <c r="M35" s="17">
        <f>CHOOSE(CONTROL!$C$42, 4.3097, 4.3097) * CHOOSE(CONTROL!$C$21, $C$9, 100%, $E$9)</f>
        <v>4.3097000000000003</v>
      </c>
      <c r="N35" s="17">
        <f>CHOOSE(CONTROL!$C$42, 4.3264, 4.3264) * CHOOSE(CONTROL!$C$21, $C$9, 100%, $E$9)</f>
        <v>4.3263999999999996</v>
      </c>
      <c r="O35" s="17">
        <f>CHOOSE(CONTROL!$C$42, 4.4143, 4.4143) * CHOOSE(CONTROL!$C$21, $C$9, 100%, $E$9)</f>
        <v>4.4142999999999999</v>
      </c>
      <c r="P35" s="17">
        <f>CHOOSE(CONTROL!$C$42, 4.3259, 4.3259) * CHOOSE(CONTROL!$C$21, $C$9, 100%, $E$9)</f>
        <v>4.3258999999999999</v>
      </c>
      <c r="Q35" s="17">
        <f>CHOOSE(CONTROL!$C$42, 5.009, 5.009) * CHOOSE(CONTROL!$C$21, $C$9, 100%, $E$9)</f>
        <v>5.0090000000000003</v>
      </c>
      <c r="R35" s="17">
        <f>CHOOSE(CONTROL!$C$42, 5.6085, 5.6085) * CHOOSE(CONTROL!$C$21, $C$9, 100%, $E$9)</f>
        <v>5.6085000000000003</v>
      </c>
      <c r="S35" s="17">
        <f>CHOOSE(CONTROL!$C$42, 4.1847, 4.1847) * CHOOSE(CONTROL!$C$21, $C$9, 100%, $E$9)</f>
        <v>4.1847000000000003</v>
      </c>
      <c r="T3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5" s="56">
        <f>(1000*CHOOSE(CONTROL!$C$42, 695, 695)*CHOOSE(CONTROL!$C$42, 0.5599, 0.5599)*CHOOSE(CONTROL!$C$42, 30, 30))/1000000</f>
        <v>11.673914999999997</v>
      </c>
      <c r="V35" s="56">
        <f>(1000*CHOOSE(CONTROL!$C$42, 580, 580)*CHOOSE(CONTROL!$C$42, 0.275, 0.275)*CHOOSE(CONTROL!$C$42, 30, 30))/1000000</f>
        <v>4.7850000000000001</v>
      </c>
      <c r="W35" s="56">
        <f>(1000*CHOOSE(CONTROL!$C$42, 0.1146, 0.1146)*CHOOSE(CONTROL!$C$42, 200, 200)*CHOOSE(CONTROL!$C$42, 30, 30))/1000000</f>
        <v>0.68759999999999999</v>
      </c>
      <c r="X35" s="56">
        <v>0</v>
      </c>
      <c r="Y35" s="56"/>
      <c r="Z35" s="17">
        <f>CHOOSE(CONTROL!$C$42, 4.3104, 4.3104) * CHOOSE(CONTROL!$C$21, $C$9, 100%, $E$9)</f>
        <v>4.3103999999999996</v>
      </c>
      <c r="AA35" s="55">
        <f>(131500*30*(6/30))/1000000</f>
        <v>0.78900000000000003</v>
      </c>
      <c r="AB35" s="48">
        <f>(B35*122.58+C35*297.941+D35*89.177+E35*200.302+F35*40+G35*0+H35*0+I35*100+J35*300)/(122.58+297.941+89.177+200.302+0+40+0+100+300)</f>
        <v>4.4044937835652176</v>
      </c>
      <c r="AC35" s="45">
        <f>(M35*240+N35*0+O35*355+P35*100)/(240+0+355+100)</f>
        <v>4.3654597122302157</v>
      </c>
    </row>
    <row r="36" spans="1:29" ht="15" x14ac:dyDescent="0.2">
      <c r="A36" s="16">
        <v>41974</v>
      </c>
      <c r="B36" s="17">
        <f>CHOOSE(CONTROL!$C$42, 4.546, 4.546) * CHOOSE(CONTROL!$C$21, $C$9, 100%, $E$9)</f>
        <v>4.5460000000000003</v>
      </c>
      <c r="C36" s="17">
        <f>CHOOSE(CONTROL!$C$42, 4.5511, 4.5511) * CHOOSE(CONTROL!$C$21, $C$9, 100%, $E$9)</f>
        <v>4.5510999999999999</v>
      </c>
      <c r="D36" s="17">
        <f>CHOOSE(CONTROL!$C$42, 4.6461, 4.6461) * CHOOSE(CONTROL!$C$21, $C$9, 100%, $E$9)</f>
        <v>4.6460999999999997</v>
      </c>
      <c r="E36" s="17">
        <f>CHOOSE(CONTROL!$C$42, 4.6802, 4.6802) * CHOOSE(CONTROL!$C$21, $C$9, 100%, $E$9)</f>
        <v>4.6802000000000001</v>
      </c>
      <c r="F36" s="17">
        <f>CHOOSE(CONTROL!$C$42, 4.5722, 4.5722)*CHOOSE(CONTROL!$C$21, $C$9, 100%, $E$9)</f>
        <v>4.5721999999999996</v>
      </c>
      <c r="G36" s="17">
        <f>CHOOSE(CONTROL!$C$42, 4.5899, 4.5899)*CHOOSE(CONTROL!$C$21, $C$9, 100%, $E$9)</f>
        <v>4.5899000000000001</v>
      </c>
      <c r="H36" s="17">
        <f>CHOOSE(CONTROL!$C$42, 4.6694, 4.6694) * CHOOSE(CONTROL!$C$21, $C$9, 100%, $E$9)</f>
        <v>4.6694000000000004</v>
      </c>
      <c r="I36" s="17">
        <f>CHOOSE(CONTROL!$C$42, 4.5802, 4.5802)* CHOOSE(CONTROL!$C$21, $C$9, 100%, $E$9)</f>
        <v>4.5801999999999996</v>
      </c>
      <c r="J36" s="17">
        <f>CHOOSE(CONTROL!$C$42, 4.5652, 4.5652)* CHOOSE(CONTROL!$C$21, $C$9, 100%, $E$9)</f>
        <v>4.5651999999999999</v>
      </c>
      <c r="K36" s="58"/>
      <c r="L36" s="17">
        <f>CHOOSE(CONTROL!$C$42, 5.2564, 5.2564) * CHOOSE(CONTROL!$C$21, $C$9, 100%, $E$9)</f>
        <v>5.2564000000000002</v>
      </c>
      <c r="M36" s="17">
        <f>CHOOSE(CONTROL!$C$42, 4.4908, 4.4908) * CHOOSE(CONTROL!$C$21, $C$9, 100%, $E$9)</f>
        <v>4.4908000000000001</v>
      </c>
      <c r="N36" s="17">
        <f>CHOOSE(CONTROL!$C$42, 4.5082, 4.5082) * CHOOSE(CONTROL!$C$21, $C$9, 100%, $E$9)</f>
        <v>4.5082000000000004</v>
      </c>
      <c r="O36" s="17">
        <f>CHOOSE(CONTROL!$C$42, 4.5931, 4.5931) * CHOOSE(CONTROL!$C$21, $C$9, 100%, $E$9)</f>
        <v>4.5930999999999997</v>
      </c>
      <c r="P36" s="17">
        <f>CHOOSE(CONTROL!$C$42, 4.5053, 4.5053) * CHOOSE(CONTROL!$C$21, $C$9, 100%, $E$9)</f>
        <v>4.5053000000000001</v>
      </c>
      <c r="Q36" s="17">
        <f>CHOOSE(CONTROL!$C$42, 5.1878, 5.1878) * CHOOSE(CONTROL!$C$21, $C$9, 100%, $E$9)</f>
        <v>5.1878000000000002</v>
      </c>
      <c r="R36" s="17">
        <f>CHOOSE(CONTROL!$C$42, 5.7878, 5.7878) * CHOOSE(CONTROL!$C$21, $C$9, 100%, $E$9)</f>
        <v>5.7877999999999998</v>
      </c>
      <c r="S36" s="17">
        <f>CHOOSE(CONTROL!$C$42, 4.3597, 4.3597) * CHOOSE(CONTROL!$C$21, $C$9, 100%, $E$9)</f>
        <v>4.3597000000000001</v>
      </c>
      <c r="T3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6" s="56">
        <f>(1000*CHOOSE(CONTROL!$C$42, 695, 695)*CHOOSE(CONTROL!$C$42, 0.5599, 0.5599)*CHOOSE(CONTROL!$C$42, 31, 31))/1000000</f>
        <v>12.063045499999998</v>
      </c>
      <c r="V36" s="56">
        <f>(1000*CHOOSE(CONTROL!$C$42, 580, 580)*CHOOSE(CONTROL!$C$42, 0.275, 0.275)*CHOOSE(CONTROL!$C$42, 31, 31))/1000000</f>
        <v>4.9444999999999997</v>
      </c>
      <c r="W36" s="56">
        <f>(1000*CHOOSE(CONTROL!$C$42, 0.1146, 0.1146)*CHOOSE(CONTROL!$C$42, 200, 200)*CHOOSE(CONTROL!$C$42, 31, 31))/1000000</f>
        <v>0.71052000000000004</v>
      </c>
      <c r="X36" s="56">
        <v>0</v>
      </c>
      <c r="Y36" s="56"/>
      <c r="Z36" s="17">
        <f>CHOOSE(CONTROL!$C$42, 4.4896, 4.4896) * CHOOSE(CONTROL!$C$21, $C$9, 100%, $E$9)</f>
        <v>4.4896000000000003</v>
      </c>
      <c r="AA36" s="55">
        <f>(131500*31*(6/31))/1000000</f>
        <v>0.78900000000000003</v>
      </c>
      <c r="AB36" s="48">
        <f>(B36*122.58+C36*297.941+D36*89.177+E36*200.302+F36*40+G36*0+H36*0+I36*100+J36*300)/(122.58+297.941+89.177+200.302+0+40+0+100+300)</f>
        <v>4.5873518653913044</v>
      </c>
      <c r="AC36" s="45">
        <f>(M36*240+N36*0+O36*355+P36*100)/(240+0+355+100)</f>
        <v>4.545140287769784</v>
      </c>
    </row>
    <row r="37" spans="1:29" ht="15.75" x14ac:dyDescent="0.25">
      <c r="A37" s="16">
        <v>42005</v>
      </c>
      <c r="B37" s="17">
        <f>CHOOSE(CONTROL!$C$42, 4.6417, 4.6417) * CHOOSE(CONTROL!$C$21, $C$9, 100%, $E$9)</f>
        <v>4.6417000000000002</v>
      </c>
      <c r="C37" s="17">
        <f>CHOOSE(CONTROL!$C$42, 4.6468, 4.6468) * CHOOSE(CONTROL!$C$21, $C$9, 100%, $E$9)</f>
        <v>4.6467999999999998</v>
      </c>
      <c r="D37" s="17">
        <f>CHOOSE(CONTROL!$C$42, 4.7653, 4.7653) * CHOOSE(CONTROL!$C$21, $C$9, 100%, $E$9)</f>
        <v>4.7652999999999999</v>
      </c>
      <c r="E37" s="17">
        <f>CHOOSE(CONTROL!$C$42, 4.7994, 4.7994) * CHOOSE(CONTROL!$C$21, $C$9, 100%, $E$9)</f>
        <v>4.7994000000000003</v>
      </c>
      <c r="F37" s="17">
        <f>CHOOSE(CONTROL!$C$42, 4.6621, 4.6621)*CHOOSE(CONTROL!$C$21, $C$9, 100%, $E$9)</f>
        <v>4.6620999999999997</v>
      </c>
      <c r="G37" s="17">
        <f>CHOOSE(CONTROL!$C$42, 4.679, 4.679)*CHOOSE(CONTROL!$C$21, $C$9, 100%, $E$9)</f>
        <v>4.6790000000000003</v>
      </c>
      <c r="H37" s="17">
        <f>CHOOSE(CONTROL!$C$42, 4.7886, 4.7886) * CHOOSE(CONTROL!$C$21, $C$9, 100%, $E$9)</f>
        <v>4.7885999999999997</v>
      </c>
      <c r="I37" s="17">
        <f>CHOOSE(CONTROL!$C$42, 4.6799, 4.6799)* CHOOSE(CONTROL!$C$21, $C$9, 100%, $E$9)</f>
        <v>4.6798999999999999</v>
      </c>
      <c r="J37" s="17">
        <f>CHOOSE(CONTROL!$C$42, 4.6551, 4.6551)* CHOOSE(CONTROL!$C$21, $C$9, 100%, $E$9)</f>
        <v>4.6551</v>
      </c>
      <c r="K37" s="52"/>
      <c r="L37" s="17">
        <f>CHOOSE(CONTROL!$C$42, 5.3756, 5.3756) * CHOOSE(CONTROL!$C$21, $C$9, 100%, $E$9)</f>
        <v>5.3756000000000004</v>
      </c>
      <c r="M37" s="17">
        <f>CHOOSE(CONTROL!$C$42, 4.5791, 4.5791) * CHOOSE(CONTROL!$C$21, $C$9, 100%, $E$9)</f>
        <v>4.5791000000000004</v>
      </c>
      <c r="N37" s="17">
        <f>CHOOSE(CONTROL!$C$42, 4.5956, 4.5956) * CHOOSE(CONTROL!$C$21, $C$9, 100%, $E$9)</f>
        <v>4.5956000000000001</v>
      </c>
      <c r="O37" s="17">
        <f>CHOOSE(CONTROL!$C$42, 4.7101, 4.7101) * CHOOSE(CONTROL!$C$21, $C$9, 100%, $E$9)</f>
        <v>4.7100999999999997</v>
      </c>
      <c r="P37" s="17">
        <f>CHOOSE(CONTROL!$C$42, 4.6032, 4.6032) * CHOOSE(CONTROL!$C$21, $C$9, 100%, $E$9)</f>
        <v>4.6032000000000002</v>
      </c>
      <c r="Q37" s="17">
        <f>CHOOSE(CONTROL!$C$42, 5.3048, 5.3048) * CHOOSE(CONTROL!$C$21, $C$9, 100%, $E$9)</f>
        <v>5.3048000000000002</v>
      </c>
      <c r="R37" s="17">
        <f>CHOOSE(CONTROL!$C$42, 5.9051, 5.9051) * CHOOSE(CONTROL!$C$21, $C$9, 100%, $E$9)</f>
        <v>5.9051</v>
      </c>
      <c r="S37" s="17">
        <f>CHOOSE(CONTROL!$C$42, 4.4517, 4.4517) * CHOOSE(CONTROL!$C$21, $C$9, 100%, $E$9)</f>
        <v>4.4516999999999998</v>
      </c>
      <c r="T3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7" s="56">
        <f>(1000*CHOOSE(CONTROL!$C$42, 695, 695)*CHOOSE(CONTROL!$C$42, 0.5599, 0.5599)*CHOOSE(CONTROL!$C$42, 31, 31))/1000000</f>
        <v>12.063045499999998</v>
      </c>
      <c r="V37" s="56">
        <f>(1000*CHOOSE(CONTROL!$C$42, 580, 580)*CHOOSE(CONTROL!$C$42, 0.275, 0.275)*CHOOSE(CONTROL!$C$42, 31, 31))/1000000</f>
        <v>4.9444999999999997</v>
      </c>
      <c r="W37" s="56">
        <f>(1000*CHOOSE(CONTROL!$C$42, 0.1146, 0.1146)*CHOOSE(CONTROL!$C$42, 200, 200)*CHOOSE(CONTROL!$C$42, 31, 31))/1000000</f>
        <v>0.71052000000000004</v>
      </c>
      <c r="X37" s="56">
        <v>0</v>
      </c>
      <c r="Y37" s="56"/>
      <c r="Z37" s="17">
        <f>CHOOSE(CONTROL!$C$42, 4.5837, 4.5837) * CHOOSE(CONTROL!$C$21, $C$9, 100%, $E$9)</f>
        <v>4.5837000000000003</v>
      </c>
      <c r="AA37" s="55">
        <f>(131500*31*(6/31))/1000000</f>
        <v>0.78900000000000003</v>
      </c>
      <c r="AB37" s="48">
        <f>(B37*122.58+C37*297.941+D37*89.177+E37*200.302+F37*40+G37*0+H37*0+I37*100+J37*300)/(122.58+297.941+89.177+200.302+0+40+0+100+300)</f>
        <v>4.6876003493043479</v>
      </c>
      <c r="AC37" s="45">
        <f>(M37*240+N37*0+O37*355+P37*100)/(240+0+355+100)</f>
        <v>4.649481294964029</v>
      </c>
    </row>
    <row r="38" spans="1:29" ht="15.75" x14ac:dyDescent="0.25">
      <c r="A38" s="16">
        <v>42036</v>
      </c>
      <c r="B38" s="17">
        <f>CHOOSE(CONTROL!$C$42, 4.6272, 4.6272) * CHOOSE(CONTROL!$C$21, $C$9, 100%, $E$9)</f>
        <v>4.6272000000000002</v>
      </c>
      <c r="C38" s="17">
        <f>CHOOSE(CONTROL!$C$42, 4.6322, 4.6322) * CHOOSE(CONTROL!$C$21, $C$9, 100%, $E$9)</f>
        <v>4.6322000000000001</v>
      </c>
      <c r="D38" s="17">
        <f>CHOOSE(CONTROL!$C$42, 4.7507, 4.7507) * CHOOSE(CONTROL!$C$21, $C$9, 100%, $E$9)</f>
        <v>4.7507000000000001</v>
      </c>
      <c r="E38" s="17">
        <f>CHOOSE(CONTROL!$C$42, 4.7848, 4.7848) * CHOOSE(CONTROL!$C$21, $C$9, 100%, $E$9)</f>
        <v>4.7847999999999997</v>
      </c>
      <c r="F38" s="17">
        <f>CHOOSE(CONTROL!$C$42, 4.6475, 4.6475)*CHOOSE(CONTROL!$C$21, $C$9, 100%, $E$9)</f>
        <v>4.6475</v>
      </c>
      <c r="G38" s="17">
        <f>CHOOSE(CONTROL!$C$42, 4.6644, 4.6644)*CHOOSE(CONTROL!$C$21, $C$9, 100%, $E$9)</f>
        <v>4.6643999999999997</v>
      </c>
      <c r="H38" s="17">
        <f>CHOOSE(CONTROL!$C$42, 4.774, 4.774) * CHOOSE(CONTROL!$C$21, $C$9, 100%, $E$9)</f>
        <v>4.774</v>
      </c>
      <c r="I38" s="17">
        <f>CHOOSE(CONTROL!$C$42, 4.6653, 4.6653)* CHOOSE(CONTROL!$C$21, $C$9, 100%, $E$9)</f>
        <v>4.6653000000000002</v>
      </c>
      <c r="J38" s="17">
        <f>CHOOSE(CONTROL!$C$42, 4.6405, 4.6405)* CHOOSE(CONTROL!$C$21, $C$9, 100%, $E$9)</f>
        <v>4.6405000000000003</v>
      </c>
      <c r="K38" s="52"/>
      <c r="L38" s="17">
        <f>CHOOSE(CONTROL!$C$42, 5.361, 5.361) * CHOOSE(CONTROL!$C$21, $C$9, 100%, $E$9)</f>
        <v>5.3609999999999998</v>
      </c>
      <c r="M38" s="17">
        <f>CHOOSE(CONTROL!$C$42, 4.5648, 4.5648) * CHOOSE(CONTROL!$C$21, $C$9, 100%, $E$9)</f>
        <v>4.5648</v>
      </c>
      <c r="N38" s="17">
        <f>CHOOSE(CONTROL!$C$42, 4.5813, 4.5813) * CHOOSE(CONTROL!$C$21, $C$9, 100%, $E$9)</f>
        <v>4.5812999999999997</v>
      </c>
      <c r="O38" s="17">
        <f>CHOOSE(CONTROL!$C$42, 4.6958, 4.6958) * CHOOSE(CONTROL!$C$21, $C$9, 100%, $E$9)</f>
        <v>4.6958000000000002</v>
      </c>
      <c r="P38" s="17">
        <f>CHOOSE(CONTROL!$C$42, 4.5889, 4.5889) * CHOOSE(CONTROL!$C$21, $C$9, 100%, $E$9)</f>
        <v>4.5888999999999998</v>
      </c>
      <c r="Q38" s="17">
        <f>CHOOSE(CONTROL!$C$42, 5.2905, 5.2905) * CHOOSE(CONTROL!$C$21, $C$9, 100%, $E$9)</f>
        <v>5.2904999999999998</v>
      </c>
      <c r="R38" s="17">
        <f>CHOOSE(CONTROL!$C$42, 5.8907, 5.8907) * CHOOSE(CONTROL!$C$21, $C$9, 100%, $E$9)</f>
        <v>5.8906999999999998</v>
      </c>
      <c r="S38" s="17">
        <f>CHOOSE(CONTROL!$C$42, 4.4377, 4.4377) * CHOOSE(CONTROL!$C$21, $C$9, 100%, $E$9)</f>
        <v>4.4377000000000004</v>
      </c>
      <c r="T3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8" s="56">
        <f>(1000*CHOOSE(CONTROL!$C$42, 695, 695)*CHOOSE(CONTROL!$C$42, 0.5599, 0.5599)*CHOOSE(CONTROL!$C$42, 28, 28))/1000000</f>
        <v>10.895653999999999</v>
      </c>
      <c r="V38" s="56">
        <f>(1000*CHOOSE(CONTROL!$C$42, 580, 580)*CHOOSE(CONTROL!$C$42, 0.275, 0.275)*CHOOSE(CONTROL!$C$42, 28, 28))/1000000</f>
        <v>4.4660000000000002</v>
      </c>
      <c r="W38" s="56">
        <f>(1000*CHOOSE(CONTROL!$C$42, 0.1146, 0.1146)*CHOOSE(CONTROL!$C$42, 200, 200)*CHOOSE(CONTROL!$C$42, 28, 28))/1000000</f>
        <v>0.64176</v>
      </c>
      <c r="X38" s="56">
        <v>0</v>
      </c>
      <c r="Y38" s="56"/>
      <c r="Z38" s="17">
        <f>CHOOSE(CONTROL!$C$42, 4.5694, 4.5694) * CHOOSE(CONTROL!$C$21, $C$9, 100%, $E$9)</f>
        <v>4.5693999999999999</v>
      </c>
      <c r="AA38" s="55">
        <f>(131500*28*(6/28))/1000000</f>
        <v>0.78900000000000003</v>
      </c>
      <c r="AB38" s="48">
        <f>(B38*122.58+C38*297.941+D38*89.177+E38*200.302+F38*40+G38*0+H38*0+I38*100+J38*300)/(122.58+297.941+89.177+200.302+0+40+0+100+300)</f>
        <v>4.6730110084347833</v>
      </c>
      <c r="AC38" s="45">
        <f>(M38*240+N38*0+O38*355+P38*100)/(240+0+355+100)</f>
        <v>4.6351812949640285</v>
      </c>
    </row>
    <row r="39" spans="1:29" ht="15.75" x14ac:dyDescent="0.25">
      <c r="A39" s="16">
        <v>42064</v>
      </c>
      <c r="B39" s="17">
        <f>CHOOSE(CONTROL!$C$42, 4.5356, 4.5356) * CHOOSE(CONTROL!$C$21, $C$9, 100%, $E$9)</f>
        <v>4.5355999999999996</v>
      </c>
      <c r="C39" s="17">
        <f>CHOOSE(CONTROL!$C$42, 4.5407, 4.5407) * CHOOSE(CONTROL!$C$21, $C$9, 100%, $E$9)</f>
        <v>4.5407000000000002</v>
      </c>
      <c r="D39" s="17">
        <f>CHOOSE(CONTROL!$C$42, 4.6591, 4.6591) * CHOOSE(CONTROL!$C$21, $C$9, 100%, $E$9)</f>
        <v>4.6590999999999996</v>
      </c>
      <c r="E39" s="17">
        <f>CHOOSE(CONTROL!$C$42, 4.6932, 4.6932) * CHOOSE(CONTROL!$C$21, $C$9, 100%, $E$9)</f>
        <v>4.6932</v>
      </c>
      <c r="F39" s="17">
        <f>CHOOSE(CONTROL!$C$42, 4.5553, 4.5553)*CHOOSE(CONTROL!$C$21, $C$9, 100%, $E$9)</f>
        <v>4.5552999999999999</v>
      </c>
      <c r="G39" s="17">
        <f>CHOOSE(CONTROL!$C$42, 4.5719, 4.5719)*CHOOSE(CONTROL!$C$21, $C$9, 100%, $E$9)</f>
        <v>4.5719000000000003</v>
      </c>
      <c r="H39" s="17">
        <f>CHOOSE(CONTROL!$C$42, 4.6824, 4.6824) * CHOOSE(CONTROL!$C$21, $C$9, 100%, $E$9)</f>
        <v>4.6824000000000003</v>
      </c>
      <c r="I39" s="17">
        <f>CHOOSE(CONTROL!$C$42, 4.5734, 4.5734)* CHOOSE(CONTROL!$C$21, $C$9, 100%, $E$9)</f>
        <v>4.5734000000000004</v>
      </c>
      <c r="J39" s="17">
        <f>CHOOSE(CONTROL!$C$42, 4.5483, 4.5483)* CHOOSE(CONTROL!$C$21, $C$9, 100%, $E$9)</f>
        <v>4.5483000000000002</v>
      </c>
      <c r="K39" s="52"/>
      <c r="L39" s="17">
        <f>CHOOSE(CONTROL!$C$42, 5.2694, 5.2694) * CHOOSE(CONTROL!$C$21, $C$9, 100%, $E$9)</f>
        <v>5.2694000000000001</v>
      </c>
      <c r="M39" s="17">
        <f>CHOOSE(CONTROL!$C$42, 4.4742, 4.4742) * CHOOSE(CONTROL!$C$21, $C$9, 100%, $E$9)</f>
        <v>4.4741999999999997</v>
      </c>
      <c r="N39" s="17">
        <f>CHOOSE(CONTROL!$C$42, 4.4905, 4.4905) * CHOOSE(CONTROL!$C$21, $C$9, 100%, $E$9)</f>
        <v>4.4904999999999999</v>
      </c>
      <c r="O39" s="17">
        <f>CHOOSE(CONTROL!$C$42, 4.6059, 4.6059) * CHOOSE(CONTROL!$C$21, $C$9, 100%, $E$9)</f>
        <v>4.6059000000000001</v>
      </c>
      <c r="P39" s="17">
        <f>CHOOSE(CONTROL!$C$42, 4.4987, 4.4987) * CHOOSE(CONTROL!$C$21, $C$9, 100%, $E$9)</f>
        <v>4.4987000000000004</v>
      </c>
      <c r="Q39" s="17">
        <f>CHOOSE(CONTROL!$C$42, 5.2006, 5.2006) * CHOOSE(CONTROL!$C$21, $C$9, 100%, $E$9)</f>
        <v>5.2005999999999997</v>
      </c>
      <c r="R39" s="17">
        <f>CHOOSE(CONTROL!$C$42, 5.8006, 5.8006) * CHOOSE(CONTROL!$C$21, $C$9, 100%, $E$9)</f>
        <v>5.8006000000000002</v>
      </c>
      <c r="S39" s="17">
        <f>CHOOSE(CONTROL!$C$42, 4.3497, 4.3497) * CHOOSE(CONTROL!$C$21, $C$9, 100%, $E$9)</f>
        <v>4.3497000000000003</v>
      </c>
      <c r="T3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9" s="56">
        <f>(1000*CHOOSE(CONTROL!$C$42, 695, 695)*CHOOSE(CONTROL!$C$42, 0.5599, 0.5599)*CHOOSE(CONTROL!$C$42, 31, 31))/1000000</f>
        <v>12.063045499999998</v>
      </c>
      <c r="V39" s="56">
        <f>(1000*CHOOSE(CONTROL!$C$42, 580, 580)*CHOOSE(CONTROL!$C$42, 0.275, 0.275)*CHOOSE(CONTROL!$C$42, 31, 31))/1000000</f>
        <v>4.9444999999999997</v>
      </c>
      <c r="W39" s="56">
        <f>(1000*CHOOSE(CONTROL!$C$42, 0.1146, 0.1146)*CHOOSE(CONTROL!$C$42, 200, 200)*CHOOSE(CONTROL!$C$42, 31, 31))/1000000</f>
        <v>0.71052000000000004</v>
      </c>
      <c r="X39" s="56">
        <v>0</v>
      </c>
      <c r="Y39" s="56"/>
      <c r="Z39" s="17">
        <f>CHOOSE(CONTROL!$C$42, 4.4793, 4.4793) * CHOOSE(CONTROL!$C$21, $C$9, 100%, $E$9)</f>
        <v>4.4793000000000003</v>
      </c>
      <c r="AA39" s="55">
        <f>(131500*31*(6/31))/1000000</f>
        <v>0.78900000000000003</v>
      </c>
      <c r="AB39" s="48">
        <f>(B39*122.58+C39*297.941+D39*89.177+E39*200.302+F39*40+G39*0+H39*0+I39*100+J39*300)/(122.58+297.941+89.177+200.302+0+40+0+100+300)</f>
        <v>4.5812334380869562</v>
      </c>
      <c r="AC39" s="45">
        <f>(M39*240+N39*0+O39*355+P39*100)/(240+0+355+100)</f>
        <v>4.5449964028776977</v>
      </c>
    </row>
    <row r="40" spans="1:29" ht="15.75" x14ac:dyDescent="0.25">
      <c r="A40" s="16">
        <v>42095</v>
      </c>
      <c r="B40" s="17">
        <f>CHOOSE(CONTROL!$C$42, 4.3233, 4.3233) * CHOOSE(CONTROL!$C$21, $C$9, 100%, $E$9)</f>
        <v>4.3232999999999997</v>
      </c>
      <c r="C40" s="17">
        <f>CHOOSE(CONTROL!$C$42, 4.3277, 4.3277) * CHOOSE(CONTROL!$C$21, $C$9, 100%, $E$9)</f>
        <v>4.3277000000000001</v>
      </c>
      <c r="D40" s="17">
        <f>CHOOSE(CONTROL!$C$42, 4.6019, 4.6019) * CHOOSE(CONTROL!$C$21, $C$9, 100%, $E$9)</f>
        <v>4.6018999999999997</v>
      </c>
      <c r="E40" s="17">
        <f>CHOOSE(CONTROL!$C$42, 4.6341, 4.6341) * CHOOSE(CONTROL!$C$21, $C$9, 100%, $E$9)</f>
        <v>4.6341000000000001</v>
      </c>
      <c r="F40" s="17">
        <f>CHOOSE(CONTROL!$C$42, 4.3426, 4.3426)*CHOOSE(CONTROL!$C$21, $C$9, 100%, $E$9)</f>
        <v>4.3426</v>
      </c>
      <c r="G40" s="17">
        <f>CHOOSE(CONTROL!$C$42, 4.3589, 4.3589)*CHOOSE(CONTROL!$C$21, $C$9, 100%, $E$9)</f>
        <v>4.3589000000000002</v>
      </c>
      <c r="H40" s="17">
        <f>CHOOSE(CONTROL!$C$42, 4.6238, 4.6238) * CHOOSE(CONTROL!$C$21, $C$9, 100%, $E$9)</f>
        <v>4.6238000000000001</v>
      </c>
      <c r="I40" s="17">
        <f>CHOOSE(CONTROL!$C$42, 4.3581, 4.3581)* CHOOSE(CONTROL!$C$21, $C$9, 100%, $E$9)</f>
        <v>4.3581000000000003</v>
      </c>
      <c r="J40" s="17">
        <f>CHOOSE(CONTROL!$C$42, 4.3356, 4.3356)* CHOOSE(CONTROL!$C$21, $C$9, 100%, $E$9)</f>
        <v>4.3356000000000003</v>
      </c>
      <c r="K40" s="52"/>
      <c r="L40" s="17">
        <f>CHOOSE(CONTROL!$C$42, 5.2108, 5.2108) * CHOOSE(CONTROL!$C$21, $C$9, 100%, $E$9)</f>
        <v>5.2107999999999999</v>
      </c>
      <c r="M40" s="17">
        <f>CHOOSE(CONTROL!$C$42, 4.2653, 4.2653) * CHOOSE(CONTROL!$C$21, $C$9, 100%, $E$9)</f>
        <v>4.2652999999999999</v>
      </c>
      <c r="N40" s="17">
        <f>CHOOSE(CONTROL!$C$42, 4.2813, 4.2813) * CHOOSE(CONTROL!$C$21, $C$9, 100%, $E$9)</f>
        <v>4.2812999999999999</v>
      </c>
      <c r="O40" s="17">
        <f>CHOOSE(CONTROL!$C$42, 4.5484, 4.5484) * CHOOSE(CONTROL!$C$21, $C$9, 100%, $E$9)</f>
        <v>4.5484</v>
      </c>
      <c r="P40" s="17">
        <f>CHOOSE(CONTROL!$C$42, 4.2872, 4.2872) * CHOOSE(CONTROL!$C$21, $C$9, 100%, $E$9)</f>
        <v>4.2872000000000003</v>
      </c>
      <c r="Q40" s="17">
        <f>CHOOSE(CONTROL!$C$42, 5.1431, 5.1431) * CHOOSE(CONTROL!$C$21, $C$9, 100%, $E$9)</f>
        <v>5.1430999999999996</v>
      </c>
      <c r="R40" s="17">
        <f>CHOOSE(CONTROL!$C$42, 5.7429, 5.7429) * CHOOSE(CONTROL!$C$21, $C$9, 100%, $E$9)</f>
        <v>5.7428999999999997</v>
      </c>
      <c r="S40" s="17">
        <f>CHOOSE(CONTROL!$C$42, 4.1449, 4.1449) * CHOOSE(CONTROL!$C$21, $C$9, 100%, $E$9)</f>
        <v>4.1448999999999998</v>
      </c>
      <c r="T4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0" s="56">
        <f>(1000*CHOOSE(CONTROL!$C$42, 695, 695)*CHOOSE(CONTROL!$C$42, 0.5599, 0.5599)*CHOOSE(CONTROL!$C$42, 30, 30))/1000000</f>
        <v>11.673914999999997</v>
      </c>
      <c r="V40" s="56">
        <f>(1000*CHOOSE(CONTROL!$C$42, 580, 580)*CHOOSE(CONTROL!$C$42, 0.275, 0.275)*CHOOSE(CONTROL!$C$42, 30, 30))/1000000</f>
        <v>4.7850000000000001</v>
      </c>
      <c r="W40" s="56">
        <f>(1000*CHOOSE(CONTROL!$C$42, 0.1146, 0.1146)*CHOOSE(CONTROL!$C$42, 200, 200)*CHOOSE(CONTROL!$C$42, 30, 30))/1000000</f>
        <v>0.68759999999999999</v>
      </c>
      <c r="X40" s="56">
        <f>(30*0.1790888*145000/1000000)+(30*0.2374*100000/1000000)</f>
        <v>1.4912362799999999</v>
      </c>
      <c r="Y40" s="56"/>
      <c r="Z40" s="17">
        <f>CHOOSE(CONTROL!$C$42, 4.2595, 4.2595) * CHOOSE(CONTROL!$C$21, $C$9, 100%, $E$9)</f>
        <v>4.2595000000000001</v>
      </c>
      <c r="AA40" s="55">
        <f>(131500*30*(6/30))/1000000</f>
        <v>0.78900000000000003</v>
      </c>
      <c r="AB40" s="48">
        <f>(B40*141.293+C40*267.993+D40*115.016+E40*189.698+F40*40+G40*85+H40*0+I40*100+J40*300)/(141.293+267.993+115.016+189.698+0+40+85+100+300)</f>
        <v>4.4065516264729627</v>
      </c>
      <c r="AC40" s="45">
        <f t="shared" ref="AC40:AC46" si="3">(M40*240+N40*160+O40*195+P40*100)/(240+160+195+100)</f>
        <v>4.3515654676258988</v>
      </c>
    </row>
    <row r="41" spans="1:29" ht="15.75" x14ac:dyDescent="0.25">
      <c r="A41" s="16">
        <v>42125</v>
      </c>
      <c r="B41" s="17">
        <f>CHOOSE(CONTROL!$C$42, 4.333, 4.333) * CHOOSE(CONTROL!$C$21, $C$9, 100%, $E$9)</f>
        <v>4.3330000000000002</v>
      </c>
      <c r="C41" s="17">
        <f>CHOOSE(CONTROL!$C$42, 4.341, 4.341) * CHOOSE(CONTROL!$C$21, $C$9, 100%, $E$9)</f>
        <v>4.3410000000000002</v>
      </c>
      <c r="D41" s="17">
        <f>CHOOSE(CONTROL!$C$42, 4.6121, 4.6121) * CHOOSE(CONTROL!$C$21, $C$9, 100%, $E$9)</f>
        <v>4.6120999999999999</v>
      </c>
      <c r="E41" s="17">
        <f>CHOOSE(CONTROL!$C$42, 4.6435, 4.6435) * CHOOSE(CONTROL!$C$21, $C$9, 100%, $E$9)</f>
        <v>4.6435000000000004</v>
      </c>
      <c r="F41" s="17">
        <f>CHOOSE(CONTROL!$C$42, 4.3511, 4.3511)*CHOOSE(CONTROL!$C$21, $C$9, 100%, $E$9)</f>
        <v>4.3510999999999997</v>
      </c>
      <c r="G41" s="17">
        <f>CHOOSE(CONTROL!$C$42, 4.3678, 4.3678)*CHOOSE(CONTROL!$C$21, $C$9, 100%, $E$9)</f>
        <v>4.3677999999999999</v>
      </c>
      <c r="H41" s="17">
        <f>CHOOSE(CONTROL!$C$42, 4.6322, 4.6322) * CHOOSE(CONTROL!$C$21, $C$9, 100%, $E$9)</f>
        <v>4.6322000000000001</v>
      </c>
      <c r="I41" s="17">
        <f>CHOOSE(CONTROL!$C$42, 4.3664, 4.3664)* CHOOSE(CONTROL!$C$21, $C$9, 100%, $E$9)</f>
        <v>4.3663999999999996</v>
      </c>
      <c r="J41" s="17">
        <f>CHOOSE(CONTROL!$C$42, 4.3441, 4.3441)* CHOOSE(CONTROL!$C$21, $C$9, 100%, $E$9)</f>
        <v>4.3441000000000001</v>
      </c>
      <c r="K41" s="52"/>
      <c r="L41" s="17">
        <f>CHOOSE(CONTROL!$C$42, 5.2192, 5.2192) * CHOOSE(CONTROL!$C$21, $C$9, 100%, $E$9)</f>
        <v>5.2191999999999998</v>
      </c>
      <c r="M41" s="17">
        <f>CHOOSE(CONTROL!$C$42, 4.2737, 4.2737) * CHOOSE(CONTROL!$C$21, $C$9, 100%, $E$9)</f>
        <v>4.2736999999999998</v>
      </c>
      <c r="N41" s="17">
        <f>CHOOSE(CONTROL!$C$42, 4.29, 4.29) * CHOOSE(CONTROL!$C$21, $C$9, 100%, $E$9)</f>
        <v>4.29</v>
      </c>
      <c r="O41" s="17">
        <f>CHOOSE(CONTROL!$C$42, 4.5565, 4.5565) * CHOOSE(CONTROL!$C$21, $C$9, 100%, $E$9)</f>
        <v>4.5564999999999998</v>
      </c>
      <c r="P41" s="17">
        <f>CHOOSE(CONTROL!$C$42, 4.2954, 4.2954) * CHOOSE(CONTROL!$C$21, $C$9, 100%, $E$9)</f>
        <v>4.2953999999999999</v>
      </c>
      <c r="Q41" s="17">
        <f>CHOOSE(CONTROL!$C$42, 5.1512, 5.1512) * CHOOSE(CONTROL!$C$21, $C$9, 100%, $E$9)</f>
        <v>5.1512000000000002</v>
      </c>
      <c r="R41" s="17">
        <f>CHOOSE(CONTROL!$C$42, 5.7511, 5.7511) * CHOOSE(CONTROL!$C$21, $C$9, 100%, $E$9)</f>
        <v>5.7511000000000001</v>
      </c>
      <c r="S41" s="17">
        <f>CHOOSE(CONTROL!$C$42, 4.1529, 4.1529) * CHOOSE(CONTROL!$C$21, $C$9, 100%, $E$9)</f>
        <v>4.1528999999999998</v>
      </c>
      <c r="T41" s="57">
        <f>((((430000*CHOOSE(CONTROL!$C$42, 0.4694, 0.4694)+(874000-430000)*CHOOSE(CONTROL!$C$42, 0.7185, 0.7185)+400000*CHOOSE(CONTROL!$C$42, 1.14, 1.14)+50000*0.98)*CHOOSE(CONTROL!$C$42, 31, 31))/1000000))+CHOOSE(CONTROL!$C$42, 0.188, 0.188)+CHOOSE(CONTROL!$C$42, 0.5154, 0.5154)</f>
        <v>32.504936000000001</v>
      </c>
      <c r="U41" s="56">
        <f>(1000*CHOOSE(CONTROL!$C$42, 695, 695)*CHOOSE(CONTROL!$C$42, 0.5599, 0.5599)*CHOOSE(CONTROL!$C$42, 31, 31))/1000000</f>
        <v>12.063045499999998</v>
      </c>
      <c r="V41" s="56">
        <f>(1000*CHOOSE(CONTROL!$C$42, 580, 580)*CHOOSE(CONTROL!$C$42, 0.275, 0.275)*CHOOSE(CONTROL!$C$42, 31, 31))/1000000</f>
        <v>4.9444999999999997</v>
      </c>
      <c r="W41" s="56">
        <f>(1000*CHOOSE(CONTROL!$C$42, 0.1146, 0.1146)*CHOOSE(CONTROL!$C$42, 200, 200)*CHOOSE(CONTROL!$C$42, 31, 31))/1000000</f>
        <v>0.71052000000000004</v>
      </c>
      <c r="X41" s="56">
        <f>(31*0.1790888*145000/1000000)+(31*0.2374*100000/1000000)</f>
        <v>1.5409441560000001</v>
      </c>
      <c r="Y41" s="56"/>
      <c r="Z41" s="17">
        <f>CHOOSE(CONTROL!$C$42, 4.2677, 4.2677) * CHOOSE(CONTROL!$C$21, $C$9, 100%, $E$9)</f>
        <v>4.2676999999999996</v>
      </c>
      <c r="AA41" s="55">
        <f>(131500*31*(6/31))/1000000</f>
        <v>0.78900000000000003</v>
      </c>
      <c r="AB41" s="48">
        <f>(B41*194.205+C41*267.466+D41*133.845+E41*153.484+F41*40+G41*85+H41*50+I41*100+J41*300)/(194.205+267.466+133.845+153.484+50+40+85+100+300)</f>
        <v>4.417943088746223</v>
      </c>
      <c r="AC41" s="45">
        <f t="shared" si="3"/>
        <v>4.3599215827338123</v>
      </c>
    </row>
    <row r="42" spans="1:29" ht="15.75" x14ac:dyDescent="0.25">
      <c r="A42" s="16">
        <v>42156</v>
      </c>
      <c r="B42" s="17">
        <f>CHOOSE(CONTROL!$C$42, 4.3528, 4.3528) * CHOOSE(CONTROL!$C$21, $C$9, 100%, $E$9)</f>
        <v>4.3528000000000002</v>
      </c>
      <c r="C42" s="17">
        <f>CHOOSE(CONTROL!$C$42, 4.3608, 4.3608) * CHOOSE(CONTROL!$C$21, $C$9, 100%, $E$9)</f>
        <v>4.3608000000000002</v>
      </c>
      <c r="D42" s="17">
        <f>CHOOSE(CONTROL!$C$42, 4.6318, 4.6318) * CHOOSE(CONTROL!$C$21, $C$9, 100%, $E$9)</f>
        <v>4.6318000000000001</v>
      </c>
      <c r="E42" s="17">
        <f>CHOOSE(CONTROL!$C$42, 4.6633, 4.6633) * CHOOSE(CONTROL!$C$21, $C$9, 100%, $E$9)</f>
        <v>4.6632999999999996</v>
      </c>
      <c r="F42" s="17">
        <f>CHOOSE(CONTROL!$C$42, 4.3712, 4.3712)*CHOOSE(CONTROL!$C$21, $C$9, 100%, $E$9)</f>
        <v>4.3712</v>
      </c>
      <c r="G42" s="17">
        <f>CHOOSE(CONTROL!$C$42, 4.3879, 4.3879)*CHOOSE(CONTROL!$C$21, $C$9, 100%, $E$9)</f>
        <v>4.3879000000000001</v>
      </c>
      <c r="H42" s="17">
        <f>CHOOSE(CONTROL!$C$42, 4.6519, 4.6519) * CHOOSE(CONTROL!$C$21, $C$9, 100%, $E$9)</f>
        <v>4.6519000000000004</v>
      </c>
      <c r="I42" s="17">
        <f>CHOOSE(CONTROL!$C$42, 4.3862, 4.3862)* CHOOSE(CONTROL!$C$21, $C$9, 100%, $E$9)</f>
        <v>4.3861999999999997</v>
      </c>
      <c r="J42" s="17">
        <f>CHOOSE(CONTROL!$C$42, 4.3642, 4.3642)* CHOOSE(CONTROL!$C$21, $C$9, 100%, $E$9)</f>
        <v>4.3642000000000003</v>
      </c>
      <c r="K42" s="52"/>
      <c r="L42" s="17">
        <f>CHOOSE(CONTROL!$C$42, 5.2389, 5.2389) * CHOOSE(CONTROL!$C$21, $C$9, 100%, $E$9)</f>
        <v>5.2389000000000001</v>
      </c>
      <c r="M42" s="17">
        <f>CHOOSE(CONTROL!$C$42, 4.2934, 4.2934) * CHOOSE(CONTROL!$C$21, $C$9, 100%, $E$9)</f>
        <v>4.2934000000000001</v>
      </c>
      <c r="N42" s="17">
        <f>CHOOSE(CONTROL!$C$42, 4.3098, 4.3098) * CHOOSE(CONTROL!$C$21, $C$9, 100%, $E$9)</f>
        <v>4.3098000000000001</v>
      </c>
      <c r="O42" s="17">
        <f>CHOOSE(CONTROL!$C$42, 4.576, 4.576) * CHOOSE(CONTROL!$C$21, $C$9, 100%, $E$9)</f>
        <v>4.5759999999999996</v>
      </c>
      <c r="P42" s="17">
        <f>CHOOSE(CONTROL!$C$42, 4.3149, 4.3149) * CHOOSE(CONTROL!$C$21, $C$9, 100%, $E$9)</f>
        <v>4.3148999999999997</v>
      </c>
      <c r="Q42" s="17">
        <f>CHOOSE(CONTROL!$C$42, 5.1707, 5.1707) * CHOOSE(CONTROL!$C$21, $C$9, 100%, $E$9)</f>
        <v>5.1707000000000001</v>
      </c>
      <c r="R42" s="17">
        <f>CHOOSE(CONTROL!$C$42, 5.7706, 5.7706) * CHOOSE(CONTROL!$C$21, $C$9, 100%, $E$9)</f>
        <v>5.7706</v>
      </c>
      <c r="S42" s="17">
        <f>CHOOSE(CONTROL!$C$42, 4.1719, 4.1719) * CHOOSE(CONTROL!$C$21, $C$9, 100%, $E$9)</f>
        <v>4.1718999999999999</v>
      </c>
      <c r="T42" s="57">
        <f>((((430000*CHOOSE(CONTROL!$C$42, 0.4694, 0.4694)+(874000-430000)*CHOOSE(CONTROL!$C$42, 0.7185, 0.7185)+400000*CHOOSE(CONTROL!$C$42, 1.14, 1.14)+50000*0.98)*CHOOSE(CONTROL!$C$42, 30, 30))/1000000))+CHOOSE(CONTROL!$C$42, 0.1616, 0.1616)+CHOOSE(CONTROL!$C$42, 0.5074, 0.5074)</f>
        <v>31.444680000000002</v>
      </c>
      <c r="U42" s="56">
        <f>(1000*CHOOSE(CONTROL!$C$42, 695, 695)*CHOOSE(CONTROL!$C$42, 0.5599, 0.5599)*CHOOSE(CONTROL!$C$42, 30, 30))/1000000</f>
        <v>11.673914999999997</v>
      </c>
      <c r="V42" s="56">
        <f>(1000*CHOOSE(CONTROL!$C$42, 580, 580)*CHOOSE(CONTROL!$C$42, 0.275, 0.275)*CHOOSE(CONTROL!$C$42, 30, 30))/1000000</f>
        <v>4.7850000000000001</v>
      </c>
      <c r="W42" s="56">
        <f>(1000*CHOOSE(CONTROL!$C$42, 0.1146, 0.1146)*CHOOSE(CONTROL!$C$42, 200, 200)*CHOOSE(CONTROL!$C$42, 30, 30))/1000000</f>
        <v>0.68759999999999999</v>
      </c>
      <c r="X42" s="56">
        <f>(30*0.1790888*145000/1000000)+(30*0.2374*100000/1000000)</f>
        <v>1.4912362799999999</v>
      </c>
      <c r="Y42" s="56"/>
      <c r="Z42" s="17">
        <f>CHOOSE(CONTROL!$C$42, 4.2871, 4.2871) * CHOOSE(CONTROL!$C$21, $C$9, 100%, $E$9)</f>
        <v>4.2870999999999997</v>
      </c>
      <c r="AA42" s="55">
        <f>(131500*30*(6/30))/1000000</f>
        <v>0.78900000000000003</v>
      </c>
      <c r="AB42" s="48">
        <f>(B42*194.205+C42*267.466+D42*133.845+E42*153.484+F42*40+G42*85+H42*50+I42*100+J42*300)/(194.205+267.466+133.845+153.484+50+40+85+100+300)</f>
        <v>4.437825502265861</v>
      </c>
      <c r="AC42" s="45">
        <f t="shared" si="3"/>
        <v>4.3795597122302157</v>
      </c>
    </row>
    <row r="43" spans="1:29" ht="15.75" x14ac:dyDescent="0.25">
      <c r="A43" s="16">
        <v>42186</v>
      </c>
      <c r="B43" s="17">
        <f>CHOOSE(CONTROL!$C$42, 4.3881, 4.3881) * CHOOSE(CONTROL!$C$21, $C$9, 100%, $E$9)</f>
        <v>4.3880999999999997</v>
      </c>
      <c r="C43" s="17">
        <f>CHOOSE(CONTROL!$C$42, 4.3962, 4.3962) * CHOOSE(CONTROL!$C$21, $C$9, 100%, $E$9)</f>
        <v>4.3962000000000003</v>
      </c>
      <c r="D43" s="17">
        <f>CHOOSE(CONTROL!$C$42, 4.6672, 4.6672) * CHOOSE(CONTROL!$C$21, $C$9, 100%, $E$9)</f>
        <v>4.6672000000000002</v>
      </c>
      <c r="E43" s="17">
        <f>CHOOSE(CONTROL!$C$42, 4.6987, 4.6987) * CHOOSE(CONTROL!$C$21, $C$9, 100%, $E$9)</f>
        <v>4.6986999999999997</v>
      </c>
      <c r="F43" s="17">
        <f>CHOOSE(CONTROL!$C$42, 4.407, 4.407)*CHOOSE(CONTROL!$C$21, $C$9, 100%, $E$9)</f>
        <v>4.407</v>
      </c>
      <c r="G43" s="17">
        <f>CHOOSE(CONTROL!$C$42, 4.4238, 4.4238)*CHOOSE(CONTROL!$C$21, $C$9, 100%, $E$9)</f>
        <v>4.4238</v>
      </c>
      <c r="H43" s="17">
        <f>CHOOSE(CONTROL!$C$42, 4.6873, 4.6873) * CHOOSE(CONTROL!$C$21, $C$9, 100%, $E$9)</f>
        <v>4.6872999999999996</v>
      </c>
      <c r="I43" s="17">
        <f>CHOOSE(CONTROL!$C$42, 4.4217, 4.4217)* CHOOSE(CONTROL!$C$21, $C$9, 100%, $E$9)</f>
        <v>4.4217000000000004</v>
      </c>
      <c r="J43" s="17">
        <f>CHOOSE(CONTROL!$C$42, 4.4, 4.4)* CHOOSE(CONTROL!$C$21, $C$9, 100%, $E$9)</f>
        <v>4.4000000000000004</v>
      </c>
      <c r="K43" s="52"/>
      <c r="L43" s="17">
        <f>CHOOSE(CONTROL!$C$42, 5.2743, 5.2743) * CHOOSE(CONTROL!$C$21, $C$9, 100%, $E$9)</f>
        <v>5.2743000000000002</v>
      </c>
      <c r="M43" s="17">
        <f>CHOOSE(CONTROL!$C$42, 4.3286, 4.3286) * CHOOSE(CONTROL!$C$21, $C$9, 100%, $E$9)</f>
        <v>4.3285999999999998</v>
      </c>
      <c r="N43" s="17">
        <f>CHOOSE(CONTROL!$C$42, 4.3451, 4.3451) * CHOOSE(CONTROL!$C$21, $C$9, 100%, $E$9)</f>
        <v>4.3451000000000004</v>
      </c>
      <c r="O43" s="17">
        <f>CHOOSE(CONTROL!$C$42, 4.6107, 4.6107) * CHOOSE(CONTROL!$C$21, $C$9, 100%, $E$9)</f>
        <v>4.6106999999999996</v>
      </c>
      <c r="P43" s="17">
        <f>CHOOSE(CONTROL!$C$42, 4.3497, 4.3497) * CHOOSE(CONTROL!$C$21, $C$9, 100%, $E$9)</f>
        <v>4.3497000000000003</v>
      </c>
      <c r="Q43" s="17">
        <f>CHOOSE(CONTROL!$C$42, 5.2054, 5.2054) * CHOOSE(CONTROL!$C$21, $C$9, 100%, $E$9)</f>
        <v>5.2054</v>
      </c>
      <c r="R43" s="17">
        <f>CHOOSE(CONTROL!$C$42, 5.8054, 5.8054) * CHOOSE(CONTROL!$C$21, $C$9, 100%, $E$9)</f>
        <v>5.8053999999999997</v>
      </c>
      <c r="S43" s="17">
        <f>CHOOSE(CONTROL!$C$42, 4.2059, 4.2059) * CHOOSE(CONTROL!$C$21, $C$9, 100%, $E$9)</f>
        <v>4.2058999999999997</v>
      </c>
      <c r="T43" s="57">
        <f>((((430000*CHOOSE(CONTROL!$C$42, 0.4694, 0.4694)+(874000-430000)*CHOOSE(CONTROL!$C$42, 0.7185, 0.7185)+400000*CHOOSE(CONTROL!$C$42, 1.14, 1.14)+50000*0.98)*CHOOSE(CONTROL!$C$42, 31, 31))/1000000))+CHOOSE(CONTROL!$C$42, 0.1555, 0.1555)+CHOOSE(CONTROL!$C$42, 0.5217, 0.5217)</f>
        <v>32.478735999999998</v>
      </c>
      <c r="U43" s="56">
        <f>(1000*CHOOSE(CONTROL!$C$42, 695, 695)*CHOOSE(CONTROL!$C$42, 0.5599, 0.5599)*CHOOSE(CONTROL!$C$42, 31, 31))/1000000</f>
        <v>12.063045499999998</v>
      </c>
      <c r="V43" s="56">
        <f>(1000*CHOOSE(CONTROL!$C$42, 580, 580)*CHOOSE(CONTROL!$C$42, 0.275, 0.275)*CHOOSE(CONTROL!$C$42, 31, 31))/1000000</f>
        <v>4.9444999999999997</v>
      </c>
      <c r="W43" s="56">
        <f>(1000*CHOOSE(CONTROL!$C$42, 0.1146, 0.1146)*CHOOSE(CONTROL!$C$42, 200, 200)*CHOOSE(CONTROL!$C$42, 31, 31))/1000000</f>
        <v>0.71052000000000004</v>
      </c>
      <c r="X43" s="56">
        <f>(31*0.1790888*145000/1000000)+(31*0.2374*100000/1000000)</f>
        <v>1.5409441560000001</v>
      </c>
      <c r="Y43" s="56"/>
      <c r="Z43" s="17">
        <f>CHOOSE(CONTROL!$C$42, 4.3219, 4.3219) * CHOOSE(CONTROL!$C$21, $C$9, 100%, $E$9)</f>
        <v>4.3219000000000003</v>
      </c>
      <c r="AA43" s="55">
        <f>(131500*31*(6/31))/1000000</f>
        <v>0.78900000000000003</v>
      </c>
      <c r="AB43" s="48">
        <f>(B43*194.205+C43*267.466+D43*133.845+E43*153.484+F43*40+G43*85+H43*50+I43*100+J43*300)/(194.205+267.466+133.845+153.484+50+40+85+100+300)</f>
        <v>4.4733532058157097</v>
      </c>
      <c r="AC43" s="45">
        <f t="shared" si="3"/>
        <v>4.4145848920863315</v>
      </c>
    </row>
    <row r="44" spans="1:29" ht="15.75" x14ac:dyDescent="0.25">
      <c r="A44" s="16">
        <v>42217</v>
      </c>
      <c r="B44" s="17">
        <f>CHOOSE(CONTROL!$C$42, 4.4069, 4.4069) * CHOOSE(CONTROL!$C$21, $C$9, 100%, $E$9)</f>
        <v>4.4069000000000003</v>
      </c>
      <c r="C44" s="17">
        <f>CHOOSE(CONTROL!$C$42, 4.4149, 4.4149) * CHOOSE(CONTROL!$C$21, $C$9, 100%, $E$9)</f>
        <v>4.4149000000000003</v>
      </c>
      <c r="D44" s="17">
        <f>CHOOSE(CONTROL!$C$42, 4.686, 4.686) * CHOOSE(CONTROL!$C$21, $C$9, 100%, $E$9)</f>
        <v>4.6859999999999999</v>
      </c>
      <c r="E44" s="17">
        <f>CHOOSE(CONTROL!$C$42, 4.7174, 4.7174) * CHOOSE(CONTROL!$C$21, $C$9, 100%, $E$9)</f>
        <v>4.7173999999999996</v>
      </c>
      <c r="F44" s="17">
        <f>CHOOSE(CONTROL!$C$42, 4.426, 4.426)*CHOOSE(CONTROL!$C$21, $C$9, 100%, $E$9)</f>
        <v>4.4260000000000002</v>
      </c>
      <c r="G44" s="17">
        <f>CHOOSE(CONTROL!$C$42, 4.4429, 4.4429)*CHOOSE(CONTROL!$C$21, $C$9, 100%, $E$9)</f>
        <v>4.4428999999999998</v>
      </c>
      <c r="H44" s="17">
        <f>CHOOSE(CONTROL!$C$42, 4.7061, 4.7061) * CHOOSE(CONTROL!$C$21, $C$9, 100%, $E$9)</f>
        <v>4.7061000000000002</v>
      </c>
      <c r="I44" s="17">
        <f>CHOOSE(CONTROL!$C$42, 4.4405, 4.4405)* CHOOSE(CONTROL!$C$21, $C$9, 100%, $E$9)</f>
        <v>4.4405000000000001</v>
      </c>
      <c r="J44" s="17">
        <f>CHOOSE(CONTROL!$C$42, 4.419, 4.419)* CHOOSE(CONTROL!$C$21, $C$9, 100%, $E$9)</f>
        <v>4.4189999999999996</v>
      </c>
      <c r="K44" s="52"/>
      <c r="L44" s="17">
        <f>CHOOSE(CONTROL!$C$42, 5.2931, 5.2931) * CHOOSE(CONTROL!$C$21, $C$9, 100%, $E$9)</f>
        <v>5.2930999999999999</v>
      </c>
      <c r="M44" s="17">
        <f>CHOOSE(CONTROL!$C$42, 4.3472, 4.3472) * CHOOSE(CONTROL!$C$21, $C$9, 100%, $E$9)</f>
        <v>4.3472</v>
      </c>
      <c r="N44" s="17">
        <f>CHOOSE(CONTROL!$C$42, 4.3638, 4.3638) * CHOOSE(CONTROL!$C$21, $C$9, 100%, $E$9)</f>
        <v>4.3638000000000003</v>
      </c>
      <c r="O44" s="17">
        <f>CHOOSE(CONTROL!$C$42, 4.6291, 4.6291) * CHOOSE(CONTROL!$C$21, $C$9, 100%, $E$9)</f>
        <v>4.6291000000000002</v>
      </c>
      <c r="P44" s="17">
        <f>CHOOSE(CONTROL!$C$42, 4.3682, 4.3682) * CHOOSE(CONTROL!$C$21, $C$9, 100%, $E$9)</f>
        <v>4.3681999999999999</v>
      </c>
      <c r="Q44" s="17">
        <f>CHOOSE(CONTROL!$C$42, 5.2238, 5.2238) * CHOOSE(CONTROL!$C$21, $C$9, 100%, $E$9)</f>
        <v>5.2237999999999998</v>
      </c>
      <c r="R44" s="17">
        <f>CHOOSE(CONTROL!$C$42, 5.8239, 5.8239) * CHOOSE(CONTROL!$C$21, $C$9, 100%, $E$9)</f>
        <v>5.8239000000000001</v>
      </c>
      <c r="S44" s="17">
        <f>CHOOSE(CONTROL!$C$42, 4.2239, 4.2239) * CHOOSE(CONTROL!$C$21, $C$9, 100%, $E$9)</f>
        <v>4.2239000000000004</v>
      </c>
      <c r="T44" s="57">
        <f>((((430000*CHOOSE(CONTROL!$C$42, 0.4694, 0.4694)+(874000-430000)*CHOOSE(CONTROL!$C$42, 0.7185, 0.7185)+400000*CHOOSE(CONTROL!$C$42, 1.14, 1.14)+50000*0.98)*CHOOSE(CONTROL!$C$42, 31, 31))/1000000))+CHOOSE(CONTROL!$C$42, 0.1911, 0.1911)+CHOOSE(CONTROL!$C$42, 0.5131, 0.5131)</f>
        <v>32.505735999999999</v>
      </c>
      <c r="U44" s="56">
        <f>(1000*CHOOSE(CONTROL!$C$42, 695, 695)*CHOOSE(CONTROL!$C$42, 0.5599, 0.5599)*CHOOSE(CONTROL!$C$42, 31, 31))/1000000</f>
        <v>12.063045499999998</v>
      </c>
      <c r="V44" s="56">
        <f>(1000*CHOOSE(CONTROL!$C$42, 580, 580)*CHOOSE(CONTROL!$C$42, 0.275, 0.275)*CHOOSE(CONTROL!$C$42, 31, 31))/1000000</f>
        <v>4.9444999999999997</v>
      </c>
      <c r="W44" s="56">
        <f>(1000*CHOOSE(CONTROL!$C$42, 0.1146, 0.1146)*CHOOSE(CONTROL!$C$42, 200, 200)*CHOOSE(CONTROL!$C$42, 31, 31))/1000000</f>
        <v>0.71052000000000004</v>
      </c>
      <c r="X44" s="56">
        <f>(31*0.1790888*145000/1000000)+(31*0.2374*100000/1000000)</f>
        <v>1.5409441560000001</v>
      </c>
      <c r="Y44" s="56"/>
      <c r="Z44" s="17">
        <f>CHOOSE(CONTROL!$C$42, 4.3403, 4.3403) * CHOOSE(CONTROL!$C$21, $C$9, 100%, $E$9)</f>
        <v>4.3403</v>
      </c>
      <c r="AA44" s="55">
        <f>(131500*31*(6/31))/1000000</f>
        <v>0.78900000000000003</v>
      </c>
      <c r="AB44" s="48">
        <f>(B44*194.205+C44*267.466+D44*133.845+E44*153.484+F44*40+G44*85+H44*50+I44*100+J44*300)/(194.205+267.466+133.845+153.484+50+40+85+100+300)</f>
        <v>4.4921920313444108</v>
      </c>
      <c r="AC44" s="45">
        <f t="shared" si="3"/>
        <v>4.433137410071943</v>
      </c>
    </row>
    <row r="45" spans="1:29" ht="15.75" x14ac:dyDescent="0.25">
      <c r="A45" s="16">
        <v>42248</v>
      </c>
      <c r="B45" s="17">
        <f>CHOOSE(CONTROL!$C$42, 4.4108, 4.4108) * CHOOSE(CONTROL!$C$21, $C$9, 100%, $E$9)</f>
        <v>4.4108000000000001</v>
      </c>
      <c r="C45" s="17">
        <f>CHOOSE(CONTROL!$C$42, 4.4188, 4.4188) * CHOOSE(CONTROL!$C$21, $C$9, 100%, $E$9)</f>
        <v>4.4188000000000001</v>
      </c>
      <c r="D45" s="17">
        <f>CHOOSE(CONTROL!$C$42, 4.6899, 4.6899) * CHOOSE(CONTROL!$C$21, $C$9, 100%, $E$9)</f>
        <v>4.6898999999999997</v>
      </c>
      <c r="E45" s="17">
        <f>CHOOSE(CONTROL!$C$42, 4.7214, 4.7214) * CHOOSE(CONTROL!$C$21, $C$9, 100%, $E$9)</f>
        <v>4.7214</v>
      </c>
      <c r="F45" s="17">
        <f>CHOOSE(CONTROL!$C$42, 4.43, 4.43)*CHOOSE(CONTROL!$C$21, $C$9, 100%, $E$9)</f>
        <v>4.43</v>
      </c>
      <c r="G45" s="17">
        <f>CHOOSE(CONTROL!$C$42, 4.4469, 4.4469)*CHOOSE(CONTROL!$C$21, $C$9, 100%, $E$9)</f>
        <v>4.4469000000000003</v>
      </c>
      <c r="H45" s="17">
        <f>CHOOSE(CONTROL!$C$42, 4.71, 4.71) * CHOOSE(CONTROL!$C$21, $C$9, 100%, $E$9)</f>
        <v>4.71</v>
      </c>
      <c r="I45" s="17">
        <f>CHOOSE(CONTROL!$C$42, 4.4445, 4.4445)* CHOOSE(CONTROL!$C$21, $C$9, 100%, $E$9)</f>
        <v>4.4444999999999997</v>
      </c>
      <c r="J45" s="17">
        <f>CHOOSE(CONTROL!$C$42, 4.423, 4.423)* CHOOSE(CONTROL!$C$21, $C$9, 100%, $E$9)</f>
        <v>4.423</v>
      </c>
      <c r="K45" s="52"/>
      <c r="L45" s="17">
        <f>CHOOSE(CONTROL!$C$42, 5.297, 5.297) * CHOOSE(CONTROL!$C$21, $C$9, 100%, $E$9)</f>
        <v>5.2969999999999997</v>
      </c>
      <c r="M45" s="17">
        <f>CHOOSE(CONTROL!$C$42, 4.3511, 4.3511) * CHOOSE(CONTROL!$C$21, $C$9, 100%, $E$9)</f>
        <v>4.3510999999999997</v>
      </c>
      <c r="N45" s="17">
        <f>CHOOSE(CONTROL!$C$42, 4.3677, 4.3677) * CHOOSE(CONTROL!$C$21, $C$9, 100%, $E$9)</f>
        <v>4.3677000000000001</v>
      </c>
      <c r="O45" s="17">
        <f>CHOOSE(CONTROL!$C$42, 4.633, 4.633) * CHOOSE(CONTROL!$C$21, $C$9, 100%, $E$9)</f>
        <v>4.633</v>
      </c>
      <c r="P45" s="17">
        <f>CHOOSE(CONTROL!$C$42, 4.3721, 4.3721) * CHOOSE(CONTROL!$C$21, $C$9, 100%, $E$9)</f>
        <v>4.3720999999999997</v>
      </c>
      <c r="Q45" s="17">
        <f>CHOOSE(CONTROL!$C$42, 5.2277, 5.2277) * CHOOSE(CONTROL!$C$21, $C$9, 100%, $E$9)</f>
        <v>5.2276999999999996</v>
      </c>
      <c r="R45" s="17">
        <f>CHOOSE(CONTROL!$C$42, 5.8277, 5.8277) * CHOOSE(CONTROL!$C$21, $C$9, 100%, $E$9)</f>
        <v>5.8277000000000001</v>
      </c>
      <c r="S45" s="17">
        <f>CHOOSE(CONTROL!$C$42, 4.2277, 4.2277) * CHOOSE(CONTROL!$C$21, $C$9, 100%, $E$9)</f>
        <v>4.2276999999999996</v>
      </c>
      <c r="T45" s="57">
        <f>((((430000*CHOOSE(CONTROL!$C$42, 0.4694, 0.4694)+(874000-430000)*CHOOSE(CONTROL!$C$42, 0.7185, 0.7185)+400000*CHOOSE(CONTROL!$C$42, 1.14, 1.14)+50000*0.98)*CHOOSE(CONTROL!$C$42, 30, 30))/1000000))+CHOOSE(CONTROL!$C$42, 0.1717, 0.1717)+CHOOSE(CONTROL!$C$42, 0.4923, 0.4923)</f>
        <v>31.439680000000003</v>
      </c>
      <c r="U45" s="56">
        <f>(1000*CHOOSE(CONTROL!$C$42, 695, 695)*CHOOSE(CONTROL!$C$42, 0.5599, 0.5599)*CHOOSE(CONTROL!$C$42, 30, 30))/1000000</f>
        <v>11.673914999999997</v>
      </c>
      <c r="V45" s="56">
        <f>(1000*CHOOSE(CONTROL!$C$42, 580, 580)*CHOOSE(CONTROL!$C$42, 0.275, 0.275)*CHOOSE(CONTROL!$C$42, 30, 30))/1000000</f>
        <v>4.7850000000000001</v>
      </c>
      <c r="W45" s="56">
        <f>(1000*CHOOSE(CONTROL!$C$42, 0.1146, 0.1146)*CHOOSE(CONTROL!$C$42, 200, 200)*CHOOSE(CONTROL!$C$42, 30, 30))/1000000</f>
        <v>0.68759999999999999</v>
      </c>
      <c r="X45" s="56">
        <f>(30*0.1790888*145000/1000000)+(30*0.2374*100000/1000000)</f>
        <v>1.4912362799999999</v>
      </c>
      <c r="Y45" s="56"/>
      <c r="Z45" s="17">
        <f>CHOOSE(CONTROL!$C$42, 4.3442, 4.3442) * CHOOSE(CONTROL!$C$21, $C$9, 100%, $E$9)</f>
        <v>4.3441999999999998</v>
      </c>
      <c r="AA45" s="55">
        <f>(131500*30*(6/30))/1000000</f>
        <v>0.78900000000000003</v>
      </c>
      <c r="AB45" s="48">
        <f>(B45*194.205+C45*267.466+D45*133.845+E45*153.484+F45*40+G45*85+H45*50+I45*100+J45*300)/(194.205+267.466+133.845+153.484+50+40+85+100+300)</f>
        <v>4.4961432763595157</v>
      </c>
      <c r="AC45" s="45">
        <f t="shared" si="3"/>
        <v>4.4370374100719427</v>
      </c>
    </row>
    <row r="46" spans="1:29" ht="15.75" x14ac:dyDescent="0.25">
      <c r="A46" s="16">
        <v>42278</v>
      </c>
      <c r="B46" s="17">
        <f>CHOOSE(CONTROL!$C$42, 4.4444, 4.4444) * CHOOSE(CONTROL!$C$21, $C$9, 100%, $E$9)</f>
        <v>4.4443999999999999</v>
      </c>
      <c r="C46" s="17">
        <f>CHOOSE(CONTROL!$C$42, 4.4497, 4.4497) * CHOOSE(CONTROL!$C$21, $C$9, 100%, $E$9)</f>
        <v>4.4497</v>
      </c>
      <c r="D46" s="17">
        <f>CHOOSE(CONTROL!$C$42, 4.7258, 4.7258) * CHOOSE(CONTROL!$C$21, $C$9, 100%, $E$9)</f>
        <v>4.7257999999999996</v>
      </c>
      <c r="E46" s="17">
        <f>CHOOSE(CONTROL!$C$42, 4.7549, 4.7549) * CHOOSE(CONTROL!$C$21, $C$9, 100%, $E$9)</f>
        <v>4.7549000000000001</v>
      </c>
      <c r="F46" s="17">
        <f>CHOOSE(CONTROL!$C$42, 4.4658, 4.4658)*CHOOSE(CONTROL!$C$21, $C$9, 100%, $E$9)</f>
        <v>4.4657999999999998</v>
      </c>
      <c r="G46" s="17">
        <f>CHOOSE(CONTROL!$C$42, 4.4826, 4.4826)*CHOOSE(CONTROL!$C$21, $C$9, 100%, $E$9)</f>
        <v>4.4825999999999997</v>
      </c>
      <c r="H46" s="17">
        <f>CHOOSE(CONTROL!$C$42, 4.7454, 4.7454) * CHOOSE(CONTROL!$C$21, $C$9, 100%, $E$9)</f>
        <v>4.7454000000000001</v>
      </c>
      <c r="I46" s="17">
        <f>CHOOSE(CONTROL!$C$42, 4.48, 4.48)* CHOOSE(CONTROL!$C$21, $C$9, 100%, $E$9)</f>
        <v>4.4800000000000004</v>
      </c>
      <c r="J46" s="17">
        <f>CHOOSE(CONTROL!$C$42, 4.4588, 4.4588)* CHOOSE(CONTROL!$C$21, $C$9, 100%, $E$9)</f>
        <v>4.4588000000000001</v>
      </c>
      <c r="K46" s="52"/>
      <c r="L46" s="17">
        <f>CHOOSE(CONTROL!$C$42, 5.3324, 5.3324) * CHOOSE(CONTROL!$C$21, $C$9, 100%, $E$9)</f>
        <v>5.3323999999999998</v>
      </c>
      <c r="M46" s="17">
        <f>CHOOSE(CONTROL!$C$42, 4.3863, 4.3863) * CHOOSE(CONTROL!$C$21, $C$9, 100%, $E$9)</f>
        <v>4.3863000000000003</v>
      </c>
      <c r="N46" s="17">
        <f>CHOOSE(CONTROL!$C$42, 4.4028, 4.4028) * CHOOSE(CONTROL!$C$21, $C$9, 100%, $E$9)</f>
        <v>4.4028</v>
      </c>
      <c r="O46" s="17">
        <f>CHOOSE(CONTROL!$C$42, 4.6677, 4.6677) * CHOOSE(CONTROL!$C$21, $C$9, 100%, $E$9)</f>
        <v>4.6677</v>
      </c>
      <c r="P46" s="17">
        <f>CHOOSE(CONTROL!$C$42, 4.4069, 4.4069) * CHOOSE(CONTROL!$C$21, $C$9, 100%, $E$9)</f>
        <v>4.4069000000000003</v>
      </c>
      <c r="Q46" s="17">
        <f>CHOOSE(CONTROL!$C$42, 5.2624, 5.2624) * CHOOSE(CONTROL!$C$21, $C$9, 100%, $E$9)</f>
        <v>5.2624000000000004</v>
      </c>
      <c r="R46" s="17">
        <f>CHOOSE(CONTROL!$C$42, 5.8626, 5.8626) * CHOOSE(CONTROL!$C$21, $C$9, 100%, $E$9)</f>
        <v>5.8625999999999996</v>
      </c>
      <c r="S46" s="17">
        <f>CHOOSE(CONTROL!$C$42, 4.2617, 4.2617) * CHOOSE(CONTROL!$C$21, $C$9, 100%, $E$9)</f>
        <v>4.2617000000000003</v>
      </c>
      <c r="T4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6" s="56">
        <f>(1000*CHOOSE(CONTROL!$C$42, 695, 695)*CHOOSE(CONTROL!$C$42, 0.5599, 0.5599)*CHOOSE(CONTROL!$C$42, 31, 31))/1000000</f>
        <v>12.063045499999998</v>
      </c>
      <c r="V46" s="56">
        <f>(1000*CHOOSE(CONTROL!$C$42, 580, 580)*CHOOSE(CONTROL!$C$42, 0.275, 0.275)*CHOOSE(CONTROL!$C$42, 31, 31))/1000000</f>
        <v>4.9444999999999997</v>
      </c>
      <c r="W46" s="56">
        <f>(1000*CHOOSE(CONTROL!$C$42, 0.1146, 0.1146)*CHOOSE(CONTROL!$C$42, 200, 200)*CHOOSE(CONTROL!$C$42, 31, 31))/1000000</f>
        <v>0.71052000000000004</v>
      </c>
      <c r="X46" s="56">
        <f>(31*0.1790888*145000/1000000)+(31*0.2374*100000/1000000)</f>
        <v>1.5409441560000001</v>
      </c>
      <c r="Y46" s="56"/>
      <c r="Z46" s="17">
        <f>CHOOSE(CONTROL!$C$42, 4.379, 4.379) * CHOOSE(CONTROL!$C$21, $C$9, 100%, $E$9)</f>
        <v>4.3789999999999996</v>
      </c>
      <c r="AA46" s="55">
        <f>(131500*31*(6/31))/1000000</f>
        <v>0.78900000000000003</v>
      </c>
      <c r="AB46" s="48">
        <f>(B46*131.881+C46*277.167+D46*79.08+E46*225.872+F46*40+G46*85+H46*0+I46*100+J46*300)/(131.881+277.167+79.08+225.872+0+40+85+100+300)</f>
        <v>4.5298223995964486</v>
      </c>
      <c r="AC46" s="45">
        <f t="shared" si="3"/>
        <v>4.4720165467625899</v>
      </c>
    </row>
    <row r="47" spans="1:29" ht="15.75" x14ac:dyDescent="0.25">
      <c r="A47" s="16">
        <v>42309</v>
      </c>
      <c r="B47" s="17">
        <f>CHOOSE(CONTROL!$C$42, 4.5273, 4.5273) * CHOOSE(CONTROL!$C$21, $C$9, 100%, $E$9)</f>
        <v>4.5273000000000003</v>
      </c>
      <c r="C47" s="17">
        <f>CHOOSE(CONTROL!$C$42, 4.5323, 4.5323) * CHOOSE(CONTROL!$C$21, $C$9, 100%, $E$9)</f>
        <v>4.5323000000000002</v>
      </c>
      <c r="D47" s="17">
        <f>CHOOSE(CONTROL!$C$42, 4.6274, 4.6274) * CHOOSE(CONTROL!$C$21, $C$9, 100%, $E$9)</f>
        <v>4.6273999999999997</v>
      </c>
      <c r="E47" s="17">
        <f>CHOOSE(CONTROL!$C$42, 4.6615, 4.6615) * CHOOSE(CONTROL!$C$21, $C$9, 100%, $E$9)</f>
        <v>4.6615000000000002</v>
      </c>
      <c r="F47" s="17">
        <f>CHOOSE(CONTROL!$C$42, 4.5512, 4.5512)*CHOOSE(CONTROL!$C$21, $C$9, 100%, $E$9)</f>
        <v>4.5511999999999997</v>
      </c>
      <c r="G47" s="17">
        <f>CHOOSE(CONTROL!$C$42, 4.5682, 4.5682)*CHOOSE(CONTROL!$C$21, $C$9, 100%, $E$9)</f>
        <v>4.5682</v>
      </c>
      <c r="H47" s="17">
        <f>CHOOSE(CONTROL!$C$42, 4.6507, 4.6507) * CHOOSE(CONTROL!$C$21, $C$9, 100%, $E$9)</f>
        <v>4.6506999999999996</v>
      </c>
      <c r="I47" s="17">
        <f>CHOOSE(CONTROL!$C$42, 4.5614, 4.5614)* CHOOSE(CONTROL!$C$21, $C$9, 100%, $E$9)</f>
        <v>4.5613999999999999</v>
      </c>
      <c r="J47" s="17">
        <f>CHOOSE(CONTROL!$C$42, 4.5442, 4.5442)* CHOOSE(CONTROL!$C$21, $C$9, 100%, $E$9)</f>
        <v>4.5442</v>
      </c>
      <c r="K47" s="52"/>
      <c r="L47" s="17">
        <f>CHOOSE(CONTROL!$C$42, 5.2377, 5.2377) * CHOOSE(CONTROL!$C$21, $C$9, 100%, $E$9)</f>
        <v>5.2377000000000002</v>
      </c>
      <c r="M47" s="17">
        <f>CHOOSE(CONTROL!$C$42, 4.4701, 4.4701) * CHOOSE(CONTROL!$C$21, $C$9, 100%, $E$9)</f>
        <v>4.4701000000000004</v>
      </c>
      <c r="N47" s="17">
        <f>CHOOSE(CONTROL!$C$42, 4.4869, 4.4869) * CHOOSE(CONTROL!$C$21, $C$9, 100%, $E$9)</f>
        <v>4.4869000000000003</v>
      </c>
      <c r="O47" s="17">
        <f>CHOOSE(CONTROL!$C$42, 4.5747, 4.5747) * CHOOSE(CONTROL!$C$21, $C$9, 100%, $E$9)</f>
        <v>4.5747</v>
      </c>
      <c r="P47" s="17">
        <f>CHOOSE(CONTROL!$C$42, 4.4869, 4.4869) * CHOOSE(CONTROL!$C$21, $C$9, 100%, $E$9)</f>
        <v>4.4869000000000003</v>
      </c>
      <c r="Q47" s="17">
        <f>CHOOSE(CONTROL!$C$42, 5.1694, 5.1694) * CHOOSE(CONTROL!$C$21, $C$9, 100%, $E$9)</f>
        <v>5.1694000000000004</v>
      </c>
      <c r="R47" s="17">
        <f>CHOOSE(CONTROL!$C$42, 5.7693, 5.7693) * CHOOSE(CONTROL!$C$21, $C$9, 100%, $E$9)</f>
        <v>5.7693000000000003</v>
      </c>
      <c r="S47" s="17">
        <f>CHOOSE(CONTROL!$C$42, 4.3417, 4.3417) * CHOOSE(CONTROL!$C$21, $C$9, 100%, $E$9)</f>
        <v>4.3417000000000003</v>
      </c>
      <c r="T4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7" s="56">
        <f>(1000*CHOOSE(CONTROL!$C$42, 695, 695)*CHOOSE(CONTROL!$C$42, 0.5599, 0.5599)*CHOOSE(CONTROL!$C$42, 30, 30))/1000000</f>
        <v>11.673914999999997</v>
      </c>
      <c r="V47" s="56">
        <f>(1000*CHOOSE(CONTROL!$C$42, 580, 580)*CHOOSE(CONTROL!$C$42, 0.275, 0.275)*CHOOSE(CONTROL!$C$42, 30, 30))/1000000</f>
        <v>4.7850000000000001</v>
      </c>
      <c r="W47" s="56">
        <f>(1000*CHOOSE(CONTROL!$C$42, 0.1146, 0.1146)*CHOOSE(CONTROL!$C$42, 200, 200)*CHOOSE(CONTROL!$C$42, 30, 30))/1000000</f>
        <v>0.68759999999999999</v>
      </c>
      <c r="X47" s="56">
        <f>(30*0.2374*100000/1000000)</f>
        <v>0.71220000000000006</v>
      </c>
      <c r="Y47" s="56"/>
      <c r="Z47" s="17">
        <f>CHOOSE(CONTROL!$C$42, 4.4711, 4.4711) * CHOOSE(CONTROL!$C$21, $C$9, 100%, $E$9)</f>
        <v>4.4710999999999999</v>
      </c>
      <c r="AA47" s="55">
        <f>(131500*30*(6/30))/1000000</f>
        <v>0.78900000000000003</v>
      </c>
      <c r="AB47" s="48">
        <f>(B47*122.58+C47*297.941+D47*89.177+E47*140.302+F47*40+G47*60+H47*0+I47*100+J47*300)/(122.58+297.941+89.177+140.302+0+40+60+100+300)</f>
        <v>4.5630694357391306</v>
      </c>
      <c r="AC47" s="45">
        <f>(M47*240+N47*40+O47*315+P47*100)/(240+40+315+100)</f>
        <v>4.5208928057553956</v>
      </c>
    </row>
    <row r="48" spans="1:29" ht="15.75" x14ac:dyDescent="0.25">
      <c r="A48" s="16">
        <v>42339</v>
      </c>
      <c r="B48" s="17">
        <f>CHOOSE(CONTROL!$C$42, 4.7146, 4.7146) * CHOOSE(CONTROL!$C$21, $C$9, 100%, $E$9)</f>
        <v>4.7145999999999999</v>
      </c>
      <c r="C48" s="17">
        <f>CHOOSE(CONTROL!$C$42, 4.7197, 4.7197) * CHOOSE(CONTROL!$C$21, $C$9, 100%, $E$9)</f>
        <v>4.7196999999999996</v>
      </c>
      <c r="D48" s="17">
        <f>CHOOSE(CONTROL!$C$42, 4.8147, 4.8147) * CHOOSE(CONTROL!$C$21, $C$9, 100%, $E$9)</f>
        <v>4.8147000000000002</v>
      </c>
      <c r="E48" s="17">
        <f>CHOOSE(CONTROL!$C$42, 4.8488, 4.8488) * CHOOSE(CONTROL!$C$21, $C$9, 100%, $E$9)</f>
        <v>4.8487999999999998</v>
      </c>
      <c r="F48" s="17">
        <f>CHOOSE(CONTROL!$C$42, 4.7408, 4.7408)*CHOOSE(CONTROL!$C$21, $C$9, 100%, $E$9)</f>
        <v>4.7408000000000001</v>
      </c>
      <c r="G48" s="17">
        <f>CHOOSE(CONTROL!$C$42, 4.7585, 4.7585)*CHOOSE(CONTROL!$C$21, $C$9, 100%, $E$9)</f>
        <v>4.7584999999999997</v>
      </c>
      <c r="H48" s="17">
        <f>CHOOSE(CONTROL!$C$42, 4.838, 4.838) * CHOOSE(CONTROL!$C$21, $C$9, 100%, $E$9)</f>
        <v>4.8380000000000001</v>
      </c>
      <c r="I48" s="17">
        <f>CHOOSE(CONTROL!$C$42, 4.7493, 4.7493)* CHOOSE(CONTROL!$C$21, $C$9, 100%, $E$9)</f>
        <v>4.7492999999999999</v>
      </c>
      <c r="J48" s="17">
        <f>CHOOSE(CONTROL!$C$42, 4.7338, 4.7338)* CHOOSE(CONTROL!$C$21, $C$9, 100%, $E$9)</f>
        <v>4.7337999999999996</v>
      </c>
      <c r="K48" s="52"/>
      <c r="L48" s="17">
        <f>CHOOSE(CONTROL!$C$42, 5.425, 5.425) * CHOOSE(CONTROL!$C$21, $C$9, 100%, $E$9)</f>
        <v>5.4249999999999998</v>
      </c>
      <c r="M48" s="17">
        <f>CHOOSE(CONTROL!$C$42, 4.6564, 4.6564) * CHOOSE(CONTROL!$C$21, $C$9, 100%, $E$9)</f>
        <v>4.6563999999999997</v>
      </c>
      <c r="N48" s="17">
        <f>CHOOSE(CONTROL!$C$42, 4.6738, 4.6738) * CHOOSE(CONTROL!$C$21, $C$9, 100%, $E$9)</f>
        <v>4.6738</v>
      </c>
      <c r="O48" s="17">
        <f>CHOOSE(CONTROL!$C$42, 4.7587, 4.7587) * CHOOSE(CONTROL!$C$21, $C$9, 100%, $E$9)</f>
        <v>4.7587000000000002</v>
      </c>
      <c r="P48" s="17">
        <f>CHOOSE(CONTROL!$C$42, 4.6714, 4.6714) * CHOOSE(CONTROL!$C$21, $C$9, 100%, $E$9)</f>
        <v>4.6714000000000002</v>
      </c>
      <c r="Q48" s="17">
        <f>CHOOSE(CONTROL!$C$42, 5.3534, 5.3534) * CHOOSE(CONTROL!$C$21, $C$9, 100%, $E$9)</f>
        <v>5.3533999999999997</v>
      </c>
      <c r="R48" s="17">
        <f>CHOOSE(CONTROL!$C$42, 5.9537, 5.9537) * CHOOSE(CONTROL!$C$21, $C$9, 100%, $E$9)</f>
        <v>5.9537000000000004</v>
      </c>
      <c r="S48" s="17">
        <f>CHOOSE(CONTROL!$C$42, 4.5217, 4.5217) * CHOOSE(CONTROL!$C$21, $C$9, 100%, $E$9)</f>
        <v>4.5217000000000001</v>
      </c>
      <c r="T4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8" s="56">
        <f>(1000*CHOOSE(CONTROL!$C$42, 695, 695)*CHOOSE(CONTROL!$C$42, 0.5599, 0.5599)*CHOOSE(CONTROL!$C$42, 31, 31))/1000000</f>
        <v>12.063045499999998</v>
      </c>
      <c r="V48" s="56">
        <f>(1000*CHOOSE(CONTROL!$C$42, 580, 580)*CHOOSE(CONTROL!$C$42, 0.275, 0.275)*CHOOSE(CONTROL!$C$42, 31, 31))/1000000</f>
        <v>4.9444999999999997</v>
      </c>
      <c r="W48" s="56">
        <f>(1000*CHOOSE(CONTROL!$C$42, 0.1146, 0.1146)*CHOOSE(CONTROL!$C$42, 200, 200)*CHOOSE(CONTROL!$C$42, 31, 31))/1000000</f>
        <v>0.71052000000000004</v>
      </c>
      <c r="X48" s="56">
        <f>(31*0.2374*100000/1000000)</f>
        <v>0.73594000000000004</v>
      </c>
      <c r="Y48" s="56"/>
      <c r="Z48" s="17">
        <f>CHOOSE(CONTROL!$C$42, 4.6554, 4.6554) * CHOOSE(CONTROL!$C$21, $C$9, 100%, $E$9)</f>
        <v>4.6554000000000002</v>
      </c>
      <c r="AA48" s="55">
        <f>(131500*31*(6/31))/1000000</f>
        <v>0.78900000000000003</v>
      </c>
      <c r="AB48" s="48">
        <f>(B48*122.58+C48*297.941+D48*89.177+E48*140.302+F48*40+G48*60+H48*0+I48*100+J48*300)/(122.58+297.941+89.177+140.302+0+40+60+100+300)</f>
        <v>4.7512840393043474</v>
      </c>
      <c r="AC48" s="45">
        <f>(M48*240+N48*40+O48*315+P48*100)/(240+40+315+100)</f>
        <v>4.7059258992805759</v>
      </c>
    </row>
    <row r="49" spans="1:29" ht="15.75" x14ac:dyDescent="0.25">
      <c r="A49" s="16">
        <v>42370</v>
      </c>
      <c r="B49" s="17">
        <f>CHOOSE(CONTROL!$C$42, 4.8122, 4.8122) * CHOOSE(CONTROL!$C$21, $C$9, 100%, $E$9)</f>
        <v>4.8121999999999998</v>
      </c>
      <c r="C49" s="17">
        <f>CHOOSE(CONTROL!$C$42, 4.8173, 4.8173) * CHOOSE(CONTROL!$C$21, $C$9, 100%, $E$9)</f>
        <v>4.8173000000000004</v>
      </c>
      <c r="D49" s="17">
        <f>CHOOSE(CONTROL!$C$42, 4.9357, 4.9357) * CHOOSE(CONTROL!$C$21, $C$9, 100%, $E$9)</f>
        <v>4.9356999999999998</v>
      </c>
      <c r="E49" s="17">
        <f>CHOOSE(CONTROL!$C$42, 4.9698, 4.9698) * CHOOSE(CONTROL!$C$21, $C$9, 100%, $E$9)</f>
        <v>4.9698000000000002</v>
      </c>
      <c r="F49" s="17">
        <f>CHOOSE(CONTROL!$C$42, 4.8326, 4.8326)*CHOOSE(CONTROL!$C$21, $C$9, 100%, $E$9)</f>
        <v>4.8326000000000002</v>
      </c>
      <c r="G49" s="17">
        <f>CHOOSE(CONTROL!$C$42, 4.8494, 4.8494)*CHOOSE(CONTROL!$C$21, $C$9, 100%, $E$9)</f>
        <v>4.8494000000000002</v>
      </c>
      <c r="H49" s="17">
        <f>CHOOSE(CONTROL!$C$42, 4.959, 4.959) * CHOOSE(CONTROL!$C$21, $C$9, 100%, $E$9)</f>
        <v>4.9589999999999996</v>
      </c>
      <c r="I49" s="17">
        <f>CHOOSE(CONTROL!$C$42, 4.8509, 4.8509)* CHOOSE(CONTROL!$C$21, $C$9, 100%, $E$9)</f>
        <v>4.8509000000000002</v>
      </c>
      <c r="J49" s="17">
        <f>CHOOSE(CONTROL!$C$42, 4.8256, 4.8256)* CHOOSE(CONTROL!$C$21, $C$9, 100%, $E$9)</f>
        <v>4.8255999999999997</v>
      </c>
      <c r="K49" s="52"/>
      <c r="L49" s="17">
        <f>CHOOSE(CONTROL!$C$42, 5.546, 5.546) * CHOOSE(CONTROL!$C$21, $C$9, 100%, $E$9)</f>
        <v>5.5460000000000003</v>
      </c>
      <c r="M49" s="17">
        <f>CHOOSE(CONTROL!$C$42, 4.7465, 4.7465) * CHOOSE(CONTROL!$C$21, $C$9, 100%, $E$9)</f>
        <v>4.7465000000000002</v>
      </c>
      <c r="N49" s="17">
        <f>CHOOSE(CONTROL!$C$42, 4.763, 4.763) * CHOOSE(CONTROL!$C$21, $C$9, 100%, $E$9)</f>
        <v>4.7629999999999999</v>
      </c>
      <c r="O49" s="17">
        <f>CHOOSE(CONTROL!$C$42, 4.8775, 4.8775) * CHOOSE(CONTROL!$C$21, $C$9, 100%, $E$9)</f>
        <v>4.8775000000000004</v>
      </c>
      <c r="P49" s="17">
        <f>CHOOSE(CONTROL!$C$42, 4.7711, 4.7711) * CHOOSE(CONTROL!$C$21, $C$9, 100%, $E$9)</f>
        <v>4.7710999999999997</v>
      </c>
      <c r="Q49" s="17">
        <f>CHOOSE(CONTROL!$C$42, 5.4722, 5.4722) * CHOOSE(CONTROL!$C$21, $C$9, 100%, $E$9)</f>
        <v>5.4722</v>
      </c>
      <c r="R49" s="17">
        <f>CHOOSE(CONTROL!$C$42, 6.0729, 6.0729) * CHOOSE(CONTROL!$C$21, $C$9, 100%, $E$9)</f>
        <v>6.0728999999999997</v>
      </c>
      <c r="S49" s="17">
        <f>CHOOSE(CONTROL!$C$42, 4.6155, 4.6155) * CHOOSE(CONTROL!$C$21, $C$9, 100%, $E$9)</f>
        <v>4.6154999999999999</v>
      </c>
      <c r="T4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9" s="56">
        <f>(1000*CHOOSE(CONTROL!$C$42, 695, 695)*CHOOSE(CONTROL!$C$42, 0.5599, 0.5599)*CHOOSE(CONTROL!$C$42, 31, 31))/1000000</f>
        <v>12.063045499999998</v>
      </c>
      <c r="V49" s="56">
        <f>(1000*CHOOSE(CONTROL!$C$42, 580, 580)*CHOOSE(CONTROL!$C$42, 0.275, 0.275)*CHOOSE(CONTROL!$C$42, 31, 31))/1000000</f>
        <v>4.9444999999999997</v>
      </c>
      <c r="W49" s="56">
        <f>(1000*CHOOSE(CONTROL!$C$42, 0.1146, 0.1146)*CHOOSE(CONTROL!$C$42, 200, 200)*CHOOSE(CONTROL!$C$42, 31, 31))/1000000</f>
        <v>0.71052000000000004</v>
      </c>
      <c r="X49" s="56">
        <f>(31*0.2374*100000/1000000)</f>
        <v>0.73594000000000004</v>
      </c>
      <c r="Y49" s="56"/>
      <c r="Z49" s="17"/>
      <c r="AA49" s="55"/>
      <c r="AB49" s="48">
        <f>(B49*122.58+C49*297.941+D49*89.177+E49*140.302+F49*40+G49*60+H49*0+I49*100+J49*300)/(122.58+297.941+89.177+140.302+0+40+60+100+300)</f>
        <v>4.8518369163478265</v>
      </c>
      <c r="AC49" s="45">
        <f>(M49*'RAP TEMPLATE-GAS AVAILABILITY'!O48+N49*'RAP TEMPLATE-GAS AVAILABILITY'!P48+O49*'RAP TEMPLATE-GAS AVAILABILITY'!Q48+P49*'RAP TEMPLATE-GAS AVAILABILITY'!R48)/('RAP TEMPLATE-GAS AVAILABILITY'!O48+'RAP TEMPLATE-GAS AVAILABILITY'!P48+'RAP TEMPLATE-GAS AVAILABILITY'!Q48+'RAP TEMPLATE-GAS AVAILABILITY'!R48)</f>
        <v>4.8103633093525184</v>
      </c>
    </row>
    <row r="50" spans="1:29" ht="15.75" x14ac:dyDescent="0.25">
      <c r="A50" s="16">
        <v>42401</v>
      </c>
      <c r="B50" s="17">
        <f>CHOOSE(CONTROL!$C$42, 4.9078, 4.9078) * CHOOSE(CONTROL!$C$21, $C$9, 100%, $E$9)</f>
        <v>4.9077999999999999</v>
      </c>
      <c r="C50" s="17">
        <f>CHOOSE(CONTROL!$C$42, 4.9128, 4.9128) * CHOOSE(CONTROL!$C$21, $C$9, 100%, $E$9)</f>
        <v>4.9127999999999998</v>
      </c>
      <c r="D50" s="17">
        <f>CHOOSE(CONTROL!$C$42, 5.0313, 5.0313) * CHOOSE(CONTROL!$C$21, $C$9, 100%, $E$9)</f>
        <v>5.0312999999999999</v>
      </c>
      <c r="E50" s="17">
        <f>CHOOSE(CONTROL!$C$42, 5.0654, 5.0654) * CHOOSE(CONTROL!$C$21, $C$9, 100%, $E$9)</f>
        <v>5.0654000000000003</v>
      </c>
      <c r="F50" s="17">
        <f>CHOOSE(CONTROL!$C$42, 4.9281, 4.9281)*CHOOSE(CONTROL!$C$21, $C$9, 100%, $E$9)</f>
        <v>4.9280999999999997</v>
      </c>
      <c r="G50" s="17">
        <f>CHOOSE(CONTROL!$C$42, 4.945, 4.945)*CHOOSE(CONTROL!$C$21, $C$9, 100%, $E$9)</f>
        <v>4.9450000000000003</v>
      </c>
      <c r="H50" s="17">
        <f>CHOOSE(CONTROL!$C$42, 5.0546, 5.0546) * CHOOSE(CONTROL!$C$21, $C$9, 100%, $E$9)</f>
        <v>5.0545999999999998</v>
      </c>
      <c r="I50" s="17">
        <f>CHOOSE(CONTROL!$C$42, 4.9467, 4.9467)* CHOOSE(CONTROL!$C$21, $C$9, 100%, $E$9)</f>
        <v>4.9466999999999999</v>
      </c>
      <c r="J50" s="17">
        <f>CHOOSE(CONTROL!$C$42, 4.9211, 4.9211)* CHOOSE(CONTROL!$C$21, $C$9, 100%, $E$9)</f>
        <v>4.9211</v>
      </c>
      <c r="K50" s="52"/>
      <c r="L50" s="17">
        <f>CHOOSE(CONTROL!$C$42, 5.6416, 5.6416) * CHOOSE(CONTROL!$C$21, $C$9, 100%, $E$9)</f>
        <v>5.6416000000000004</v>
      </c>
      <c r="M50" s="17">
        <f>CHOOSE(CONTROL!$C$42, 4.8403, 4.8403) * CHOOSE(CONTROL!$C$21, $C$9, 100%, $E$9)</f>
        <v>4.8403</v>
      </c>
      <c r="N50" s="17">
        <f>CHOOSE(CONTROL!$C$42, 4.8568, 4.8568) * CHOOSE(CONTROL!$C$21, $C$9, 100%, $E$9)</f>
        <v>4.8567999999999998</v>
      </c>
      <c r="O50" s="17">
        <f>CHOOSE(CONTROL!$C$42, 4.9714, 4.9714) * CHOOSE(CONTROL!$C$21, $C$9, 100%, $E$9)</f>
        <v>4.9714</v>
      </c>
      <c r="P50" s="17">
        <f>CHOOSE(CONTROL!$C$42, 4.8653, 4.8653) * CHOOSE(CONTROL!$C$21, $C$9, 100%, $E$9)</f>
        <v>4.8653000000000004</v>
      </c>
      <c r="Q50" s="17">
        <f>CHOOSE(CONTROL!$C$42, 5.5661, 5.5661) * CHOOSE(CONTROL!$C$21, $C$9, 100%, $E$9)</f>
        <v>5.5660999999999996</v>
      </c>
      <c r="R50" s="17">
        <f>CHOOSE(CONTROL!$C$42, 6.167, 6.167) * CHOOSE(CONTROL!$C$21, $C$9, 100%, $E$9)</f>
        <v>6.1669999999999998</v>
      </c>
      <c r="S50" s="17">
        <f>CHOOSE(CONTROL!$C$42, 4.7073, 4.7073) * CHOOSE(CONTROL!$C$21, $C$9, 100%, $E$9)</f>
        <v>4.7073</v>
      </c>
      <c r="T5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0" s="56">
        <f>(1000*CHOOSE(CONTROL!$C$42, 695, 695)*CHOOSE(CONTROL!$C$42, 0.5599, 0.5599)*CHOOSE(CONTROL!$C$42, 29, 29))/1000000</f>
        <v>11.284784499999999</v>
      </c>
      <c r="V50" s="56">
        <f>(1000*CHOOSE(CONTROL!$C$42, 580, 580)*CHOOSE(CONTROL!$C$42, 0.275, 0.275)*CHOOSE(CONTROL!$C$42, 29, 29))/1000000</f>
        <v>4.6254999999999997</v>
      </c>
      <c r="W50" s="56">
        <f>(1000*CHOOSE(CONTROL!$C$42, 0.1146, 0.1146)*CHOOSE(CONTROL!$C$42, 200, 200)*CHOOSE(CONTROL!$C$42, 29, 29))/1000000</f>
        <v>0.66468000000000005</v>
      </c>
      <c r="X50" s="56">
        <f>(29*0.2374*100000/1000000)</f>
        <v>0.68845999999999996</v>
      </c>
      <c r="Y50" s="56"/>
      <c r="Z50" s="17"/>
      <c r="AA50" s="55"/>
      <c r="AB50" s="48">
        <f>(B50*122.58+C50*297.941+D50*89.177+E50*140.302+F50*40+G50*60+H50*0+I50*100+J50*300)/(122.58+297.941+89.177+140.302+0+40+60+100+300)</f>
        <v>4.9473988345217395</v>
      </c>
      <c r="AC50" s="45">
        <f>(M50*'RAP TEMPLATE-GAS AVAILABILITY'!O49+N50*'RAP TEMPLATE-GAS AVAILABILITY'!P49+O50*'RAP TEMPLATE-GAS AVAILABILITY'!Q49+P50*'RAP TEMPLATE-GAS AVAILABILITY'!R49)/('RAP TEMPLATE-GAS AVAILABILITY'!O49+'RAP TEMPLATE-GAS AVAILABILITY'!P49+'RAP TEMPLATE-GAS AVAILABILITY'!Q49+'RAP TEMPLATE-GAS AVAILABILITY'!R49)</f>
        <v>4.9042661870503599</v>
      </c>
    </row>
    <row r="51" spans="1:29" ht="15.75" x14ac:dyDescent="0.25">
      <c r="A51" s="16">
        <v>42430</v>
      </c>
      <c r="B51" s="17">
        <f>CHOOSE(CONTROL!$C$42, 4.7785, 4.7785) * CHOOSE(CONTROL!$C$21, $C$9, 100%, $E$9)</f>
        <v>4.7785000000000002</v>
      </c>
      <c r="C51" s="17">
        <f>CHOOSE(CONTROL!$C$42, 4.7836, 4.7836) * CHOOSE(CONTROL!$C$21, $C$9, 100%, $E$9)</f>
        <v>4.7835999999999999</v>
      </c>
      <c r="D51" s="17">
        <f>CHOOSE(CONTROL!$C$42, 4.902, 4.902) * CHOOSE(CONTROL!$C$21, $C$9, 100%, $E$9)</f>
        <v>4.9020000000000001</v>
      </c>
      <c r="E51" s="17">
        <f>CHOOSE(CONTROL!$C$42, 4.9361, 4.9361) * CHOOSE(CONTROL!$C$21, $C$9, 100%, $E$9)</f>
        <v>4.9360999999999997</v>
      </c>
      <c r="F51" s="17">
        <f>CHOOSE(CONTROL!$C$42, 4.7982, 4.7982)*CHOOSE(CONTROL!$C$21, $C$9, 100%, $E$9)</f>
        <v>4.7981999999999996</v>
      </c>
      <c r="G51" s="17">
        <f>CHOOSE(CONTROL!$C$42, 4.8149, 4.8149)*CHOOSE(CONTROL!$C$21, $C$9, 100%, $E$9)</f>
        <v>4.8148999999999997</v>
      </c>
      <c r="H51" s="17">
        <f>CHOOSE(CONTROL!$C$42, 4.9253, 4.9253) * CHOOSE(CONTROL!$C$21, $C$9, 100%, $E$9)</f>
        <v>4.9253</v>
      </c>
      <c r="I51" s="17">
        <f>CHOOSE(CONTROL!$C$42, 4.8171, 4.8171)* CHOOSE(CONTROL!$C$21, $C$9, 100%, $E$9)</f>
        <v>4.8170999999999999</v>
      </c>
      <c r="J51" s="17">
        <f>CHOOSE(CONTROL!$C$42, 4.7912, 4.7912)* CHOOSE(CONTROL!$C$21, $C$9, 100%, $E$9)</f>
        <v>4.7911999999999999</v>
      </c>
      <c r="K51" s="52"/>
      <c r="L51" s="17">
        <f>CHOOSE(CONTROL!$C$42, 5.5123, 5.5123) * CHOOSE(CONTROL!$C$21, $C$9, 100%, $E$9)</f>
        <v>5.5122999999999998</v>
      </c>
      <c r="M51" s="17">
        <f>CHOOSE(CONTROL!$C$42, 4.7127, 4.7127) * CHOOSE(CONTROL!$C$21, $C$9, 100%, $E$9)</f>
        <v>4.7126999999999999</v>
      </c>
      <c r="N51" s="17">
        <f>CHOOSE(CONTROL!$C$42, 4.7291, 4.7291) * CHOOSE(CONTROL!$C$21, $C$9, 100%, $E$9)</f>
        <v>4.7290999999999999</v>
      </c>
      <c r="O51" s="17">
        <f>CHOOSE(CONTROL!$C$42, 4.8444, 4.8444) * CHOOSE(CONTROL!$C$21, $C$9, 100%, $E$9)</f>
        <v>4.8444000000000003</v>
      </c>
      <c r="P51" s="17">
        <f>CHOOSE(CONTROL!$C$42, 4.7379, 4.7379) * CHOOSE(CONTROL!$C$21, $C$9, 100%, $E$9)</f>
        <v>4.7378999999999998</v>
      </c>
      <c r="Q51" s="17">
        <f>CHOOSE(CONTROL!$C$42, 5.4391, 5.4391) * CHOOSE(CONTROL!$C$21, $C$9, 100%, $E$9)</f>
        <v>5.4390999999999998</v>
      </c>
      <c r="R51" s="17">
        <f>CHOOSE(CONTROL!$C$42, 6.0397, 6.0397) * CHOOSE(CONTROL!$C$21, $C$9, 100%, $E$9)</f>
        <v>6.0396999999999998</v>
      </c>
      <c r="S51" s="17">
        <f>CHOOSE(CONTROL!$C$42, 4.5831, 4.5831) * CHOOSE(CONTROL!$C$21, $C$9, 100%, $E$9)</f>
        <v>4.5831</v>
      </c>
      <c r="T5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1" s="56">
        <f>(1000*CHOOSE(CONTROL!$C$42, 695, 695)*CHOOSE(CONTROL!$C$42, 0.5599, 0.5599)*CHOOSE(CONTROL!$C$42, 31, 31))/1000000</f>
        <v>12.063045499999998</v>
      </c>
      <c r="V51" s="56">
        <f>(1000*CHOOSE(CONTROL!$C$42, 580, 580)*CHOOSE(CONTROL!$C$42, 0.275, 0.275)*CHOOSE(CONTROL!$C$42, 31, 31))/1000000</f>
        <v>4.9444999999999997</v>
      </c>
      <c r="W51" s="56">
        <f>(1000*CHOOSE(CONTROL!$C$42, 0.1146, 0.1146)*CHOOSE(CONTROL!$C$42, 200, 200)*CHOOSE(CONTROL!$C$42, 31, 31))/1000000</f>
        <v>0.71052000000000004</v>
      </c>
      <c r="X51" s="56">
        <f>(31*0.2374*100000/1000000)</f>
        <v>0.73594000000000004</v>
      </c>
      <c r="Y51" s="56"/>
      <c r="Z51" s="17"/>
      <c r="AA51" s="55"/>
      <c r="AB51" s="48">
        <f>(B51*122.58+C51*297.941+D51*89.177+E51*140.302+F51*40+G51*60+H51*0+I51*100+J51*300)/(122.58+297.941+89.177+140.302+0+40+60+100+300)</f>
        <v>4.8178795250434776</v>
      </c>
      <c r="AC51" s="45">
        <f>(M51*'RAP TEMPLATE-GAS AVAILABILITY'!O50+N51*'RAP TEMPLATE-GAS AVAILABILITY'!P50+O51*'RAP TEMPLATE-GAS AVAILABILITY'!Q50+P51*'RAP TEMPLATE-GAS AVAILABILITY'!R50)/('RAP TEMPLATE-GAS AVAILABILITY'!O50+'RAP TEMPLATE-GAS AVAILABILITY'!P50+'RAP TEMPLATE-GAS AVAILABILITY'!Q50+'RAP TEMPLATE-GAS AVAILABILITY'!R50)</f>
        <v>4.7769611510791368</v>
      </c>
    </row>
    <row r="52" spans="1:29" ht="15.75" x14ac:dyDescent="0.25">
      <c r="A52" s="16">
        <v>42461</v>
      </c>
      <c r="B52" s="17">
        <f>CHOOSE(CONTROL!$C$42, 4.775, 4.775) * CHOOSE(CONTROL!$C$21, $C$9, 100%, $E$9)</f>
        <v>4.7750000000000004</v>
      </c>
      <c r="C52" s="17">
        <f>CHOOSE(CONTROL!$C$42, 4.7795, 4.7795) * CHOOSE(CONTROL!$C$21, $C$9, 100%, $E$9)</f>
        <v>4.7794999999999996</v>
      </c>
      <c r="D52" s="17">
        <f>CHOOSE(CONTROL!$C$42, 5.0537, 5.0537) * CHOOSE(CONTROL!$C$21, $C$9, 100%, $E$9)</f>
        <v>5.0537000000000001</v>
      </c>
      <c r="E52" s="17">
        <f>CHOOSE(CONTROL!$C$42, 5.0858, 5.0858) * CHOOSE(CONTROL!$C$21, $C$9, 100%, $E$9)</f>
        <v>5.0857999999999999</v>
      </c>
      <c r="F52" s="17">
        <f>CHOOSE(CONTROL!$C$42, 4.7943, 4.7943)*CHOOSE(CONTROL!$C$21, $C$9, 100%, $E$9)</f>
        <v>4.7942999999999998</v>
      </c>
      <c r="G52" s="17">
        <f>CHOOSE(CONTROL!$C$42, 4.8107, 4.8107)*CHOOSE(CONTROL!$C$21, $C$9, 100%, $E$9)</f>
        <v>4.8106999999999998</v>
      </c>
      <c r="H52" s="17">
        <f>CHOOSE(CONTROL!$C$42, 5.0756, 5.0756) * CHOOSE(CONTROL!$C$21, $C$9, 100%, $E$9)</f>
        <v>5.0755999999999997</v>
      </c>
      <c r="I52" s="17">
        <f>CHOOSE(CONTROL!$C$42, 4.8112, 4.8112)* CHOOSE(CONTROL!$C$21, $C$9, 100%, $E$9)</f>
        <v>4.8112000000000004</v>
      </c>
      <c r="J52" s="17">
        <f>CHOOSE(CONTROL!$C$42, 4.7873, 4.7873)* CHOOSE(CONTROL!$C$21, $C$9, 100%, $E$9)</f>
        <v>4.7873000000000001</v>
      </c>
      <c r="K52" s="52"/>
      <c r="L52" s="17">
        <f>CHOOSE(CONTROL!$C$42, 5.6626, 5.6626) * CHOOSE(CONTROL!$C$21, $C$9, 100%, $E$9)</f>
        <v>5.6626000000000003</v>
      </c>
      <c r="M52" s="17">
        <f>CHOOSE(CONTROL!$C$42, 4.7089, 4.7089) * CHOOSE(CONTROL!$C$21, $C$9, 100%, $E$9)</f>
        <v>4.7088999999999999</v>
      </c>
      <c r="N52" s="17">
        <f>CHOOSE(CONTROL!$C$42, 4.725, 4.725) * CHOOSE(CONTROL!$C$21, $C$9, 100%, $E$9)</f>
        <v>4.7249999999999996</v>
      </c>
      <c r="O52" s="17">
        <f>CHOOSE(CONTROL!$C$42, 4.992, 4.992) * CHOOSE(CONTROL!$C$21, $C$9, 100%, $E$9)</f>
        <v>4.992</v>
      </c>
      <c r="P52" s="17">
        <f>CHOOSE(CONTROL!$C$42, 4.7322, 4.7322) * CHOOSE(CONTROL!$C$21, $C$9, 100%, $E$9)</f>
        <v>4.7321999999999997</v>
      </c>
      <c r="Q52" s="17">
        <f>CHOOSE(CONTROL!$C$42, 5.5867, 5.5867) * CHOOSE(CONTROL!$C$21, $C$9, 100%, $E$9)</f>
        <v>5.5867000000000004</v>
      </c>
      <c r="R52" s="17">
        <f>CHOOSE(CONTROL!$C$42, 6.1877, 6.1877) * CHOOSE(CONTROL!$C$21, $C$9, 100%, $E$9)</f>
        <v>6.1877000000000004</v>
      </c>
      <c r="S52" s="17">
        <f>CHOOSE(CONTROL!$C$42, 4.579, 4.579) * CHOOSE(CONTROL!$C$21, $C$9, 100%, $E$9)</f>
        <v>4.5789999999999997</v>
      </c>
      <c r="T5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2" s="56">
        <f>(1000*CHOOSE(CONTROL!$C$42, 695, 695)*CHOOSE(CONTROL!$C$42, 0.5599, 0.5599)*CHOOSE(CONTROL!$C$42, 30, 30))/1000000</f>
        <v>11.673914999999997</v>
      </c>
      <c r="V52" s="56">
        <f>(1000*CHOOSE(CONTROL!$C$42, 580, 580)*CHOOSE(CONTROL!$C$42, 0.275, 0.275)*CHOOSE(CONTROL!$C$42, 30, 30))/1000000</f>
        <v>4.7850000000000001</v>
      </c>
      <c r="W52" s="56">
        <f>(1000*CHOOSE(CONTROL!$C$42, 0.1146, 0.1146)*CHOOSE(CONTROL!$C$42, 200, 200)*CHOOSE(CONTROL!$C$42, 30, 30))/1000000</f>
        <v>0.68759999999999999</v>
      </c>
      <c r="X52" s="56">
        <f>(30*0.1790888*145000/1000000)+(30*0.2374*100000/1000000)</f>
        <v>1.4912362799999999</v>
      </c>
      <c r="Y52" s="56"/>
      <c r="Z52" s="17"/>
      <c r="AA52" s="55"/>
      <c r="AB52" s="48">
        <f>(B52*141.293+C52*267.993+D52*115.016+E52*189.698+F52*40+G52*85+H52*0+I52*100+J52*300)/(141.293+267.993+115.016+189.698+0+40+85+100+300)</f>
        <v>4.858402393946732</v>
      </c>
      <c r="AC52" s="45">
        <f>(M52*'RAP TEMPLATE-GAS AVAILABILITY'!O51+N52*'RAP TEMPLATE-GAS AVAILABILITY'!P51+O52*'RAP TEMPLATE-GAS AVAILABILITY'!Q51+P52*'RAP TEMPLATE-GAS AVAILABILITY'!R51)/('RAP TEMPLATE-GAS AVAILABILITY'!O51+'RAP TEMPLATE-GAS AVAILABILITY'!P51+'RAP TEMPLATE-GAS AVAILABILITY'!Q51+'RAP TEMPLATE-GAS AVAILABILITY'!R51)</f>
        <v>4.7953899280575536</v>
      </c>
    </row>
    <row r="53" spans="1:29" ht="15.75" x14ac:dyDescent="0.25">
      <c r="A53" s="16">
        <v>42491</v>
      </c>
      <c r="B53" s="17">
        <f>CHOOSE(CONTROL!$C$42, 4.8284, 4.8284) * CHOOSE(CONTROL!$C$21, $C$9, 100%, $E$9)</f>
        <v>4.8284000000000002</v>
      </c>
      <c r="C53" s="17">
        <f>CHOOSE(CONTROL!$C$42, 4.8364, 4.8364) * CHOOSE(CONTROL!$C$21, $C$9, 100%, $E$9)</f>
        <v>4.8364000000000003</v>
      </c>
      <c r="D53" s="17">
        <f>CHOOSE(CONTROL!$C$42, 5.1075, 5.1075) * CHOOSE(CONTROL!$C$21, $C$9, 100%, $E$9)</f>
        <v>5.1074999999999999</v>
      </c>
      <c r="E53" s="17">
        <f>CHOOSE(CONTROL!$C$42, 5.1389, 5.1389) * CHOOSE(CONTROL!$C$21, $C$9, 100%, $E$9)</f>
        <v>5.1388999999999996</v>
      </c>
      <c r="F53" s="17">
        <f>CHOOSE(CONTROL!$C$42, 4.8465, 4.8465)*CHOOSE(CONTROL!$C$21, $C$9, 100%, $E$9)</f>
        <v>4.8464999999999998</v>
      </c>
      <c r="G53" s="17">
        <f>CHOOSE(CONTROL!$C$42, 4.8632, 4.8632)*CHOOSE(CONTROL!$C$21, $C$9, 100%, $E$9)</f>
        <v>4.8632</v>
      </c>
      <c r="H53" s="17">
        <f>CHOOSE(CONTROL!$C$42, 5.1276, 5.1276) * CHOOSE(CONTROL!$C$21, $C$9, 100%, $E$9)</f>
        <v>5.1276000000000002</v>
      </c>
      <c r="I53" s="17">
        <f>CHOOSE(CONTROL!$C$42, 4.8634, 4.8634)* CHOOSE(CONTROL!$C$21, $C$9, 100%, $E$9)</f>
        <v>4.8634000000000004</v>
      </c>
      <c r="J53" s="17">
        <f>CHOOSE(CONTROL!$C$42, 4.8395, 4.8395)* CHOOSE(CONTROL!$C$21, $C$9, 100%, $E$9)</f>
        <v>4.8395000000000001</v>
      </c>
      <c r="K53" s="52"/>
      <c r="L53" s="17">
        <f>CHOOSE(CONTROL!$C$42, 5.7146, 5.7146) * CHOOSE(CONTROL!$C$21, $C$9, 100%, $E$9)</f>
        <v>5.7145999999999999</v>
      </c>
      <c r="M53" s="17">
        <f>CHOOSE(CONTROL!$C$42, 4.7602, 4.7602) * CHOOSE(CONTROL!$C$21, $C$9, 100%, $E$9)</f>
        <v>4.7602000000000002</v>
      </c>
      <c r="N53" s="17">
        <f>CHOOSE(CONTROL!$C$42, 4.7765, 4.7765) * CHOOSE(CONTROL!$C$21, $C$9, 100%, $E$9)</f>
        <v>4.7765000000000004</v>
      </c>
      <c r="O53" s="17">
        <f>CHOOSE(CONTROL!$C$42, 5.043, 5.043) * CHOOSE(CONTROL!$C$21, $C$9, 100%, $E$9)</f>
        <v>5.0430000000000001</v>
      </c>
      <c r="P53" s="17">
        <f>CHOOSE(CONTROL!$C$42, 4.7834, 4.7834) * CHOOSE(CONTROL!$C$21, $C$9, 100%, $E$9)</f>
        <v>4.7834000000000003</v>
      </c>
      <c r="Q53" s="17">
        <f>CHOOSE(CONTROL!$C$42, 5.6377, 5.6377) * CHOOSE(CONTROL!$C$21, $C$9, 100%, $E$9)</f>
        <v>5.6376999999999997</v>
      </c>
      <c r="R53" s="17">
        <f>CHOOSE(CONTROL!$C$42, 6.2388, 6.2388) * CHOOSE(CONTROL!$C$21, $C$9, 100%, $E$9)</f>
        <v>6.2388000000000003</v>
      </c>
      <c r="S53" s="17">
        <f>CHOOSE(CONTROL!$C$42, 4.629, 4.629) * CHOOSE(CONTROL!$C$21, $C$9, 100%, $E$9)</f>
        <v>4.6289999999999996</v>
      </c>
      <c r="T5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3" s="56">
        <f>(1000*CHOOSE(CONTROL!$C$42, 695, 695)*CHOOSE(CONTROL!$C$42, 0.5599, 0.5599)*CHOOSE(CONTROL!$C$42, 31, 31))/1000000</f>
        <v>12.063045499999998</v>
      </c>
      <c r="V53" s="56">
        <f>(1000*CHOOSE(CONTROL!$C$42, 580, 580)*CHOOSE(CONTROL!$C$42, 0.275, 0.275)*CHOOSE(CONTROL!$C$42, 31, 31))/1000000</f>
        <v>4.9444999999999997</v>
      </c>
      <c r="W53" s="56">
        <f>(1000*CHOOSE(CONTROL!$C$42, 0.1146, 0.1146)*CHOOSE(CONTROL!$C$42, 121.5, 121.5)*CHOOSE(CONTROL!$C$42, 31, 31))/1000000</f>
        <v>0.43164089999999994</v>
      </c>
      <c r="X53" s="56">
        <f>(31*0.1790888*145000/1000000)+(31*0.2374*100000/1000000)</f>
        <v>1.5409441560000001</v>
      </c>
      <c r="Y53" s="56"/>
      <c r="Z53" s="17"/>
      <c r="AA53" s="55"/>
      <c r="AB53" s="48">
        <f>(B53*194.205+C53*267.466+D53*133.845+E53*153.484+F53*40+G53*85+H53*0+I53*100+J53*300)/(194.205+267.466+133.845+153.484+0+40+85+100+300)</f>
        <v>4.9050598504709582</v>
      </c>
      <c r="AC53" s="45">
        <f>(M53*'RAP TEMPLATE-GAS AVAILABILITY'!O52+N53*'RAP TEMPLATE-GAS AVAILABILITY'!P52+O53*'RAP TEMPLATE-GAS AVAILABILITY'!Q52+P53*'RAP TEMPLATE-GAS AVAILABILITY'!R52)/('RAP TEMPLATE-GAS AVAILABILITY'!O52+'RAP TEMPLATE-GAS AVAILABILITY'!P52+'RAP TEMPLATE-GAS AVAILABILITY'!Q52+'RAP TEMPLATE-GAS AVAILABILITY'!R52)</f>
        <v>4.8466374100719429</v>
      </c>
    </row>
    <row r="54" spans="1:29" ht="15.75" x14ac:dyDescent="0.25">
      <c r="A54" s="16">
        <v>42522</v>
      </c>
      <c r="B54" s="17">
        <f>CHOOSE(CONTROL!$C$42, 4.9752, 4.9752) * CHOOSE(CONTROL!$C$21, $C$9, 100%, $E$9)</f>
        <v>4.9752000000000001</v>
      </c>
      <c r="C54" s="17">
        <f>CHOOSE(CONTROL!$C$42, 4.9832, 4.9832) * CHOOSE(CONTROL!$C$21, $C$9, 100%, $E$9)</f>
        <v>4.9832000000000001</v>
      </c>
      <c r="D54" s="17">
        <f>CHOOSE(CONTROL!$C$42, 5.2543, 5.2543) * CHOOSE(CONTROL!$C$21, $C$9, 100%, $E$9)</f>
        <v>5.2542999999999997</v>
      </c>
      <c r="E54" s="17">
        <f>CHOOSE(CONTROL!$C$42, 5.2858, 5.2858) * CHOOSE(CONTROL!$C$21, $C$9, 100%, $E$9)</f>
        <v>5.2858000000000001</v>
      </c>
      <c r="F54" s="17">
        <f>CHOOSE(CONTROL!$C$42, 4.9937, 4.9937)*CHOOSE(CONTROL!$C$21, $C$9, 100%, $E$9)</f>
        <v>4.9936999999999996</v>
      </c>
      <c r="G54" s="17">
        <f>CHOOSE(CONTROL!$C$42, 5.0104, 5.0104)*CHOOSE(CONTROL!$C$21, $C$9, 100%, $E$9)</f>
        <v>5.0103999999999997</v>
      </c>
      <c r="H54" s="17">
        <f>CHOOSE(CONTROL!$C$42, 5.2744, 5.2744) * CHOOSE(CONTROL!$C$21, $C$9, 100%, $E$9)</f>
        <v>5.2744</v>
      </c>
      <c r="I54" s="17">
        <f>CHOOSE(CONTROL!$C$42, 5.0106, 5.0106)* CHOOSE(CONTROL!$C$21, $C$9, 100%, $E$9)</f>
        <v>5.0106000000000002</v>
      </c>
      <c r="J54" s="17">
        <f>CHOOSE(CONTROL!$C$42, 4.9867, 4.9867)* CHOOSE(CONTROL!$C$21, $C$9, 100%, $E$9)</f>
        <v>4.9866999999999999</v>
      </c>
      <c r="K54" s="52"/>
      <c r="L54" s="17">
        <f>CHOOSE(CONTROL!$C$42, 5.8614, 5.8614) * CHOOSE(CONTROL!$C$21, $C$9, 100%, $E$9)</f>
        <v>5.8613999999999997</v>
      </c>
      <c r="M54" s="17">
        <f>CHOOSE(CONTROL!$C$42, 4.9047, 4.9047) * CHOOSE(CONTROL!$C$21, $C$9, 100%, $E$9)</f>
        <v>4.9047000000000001</v>
      </c>
      <c r="N54" s="17">
        <f>CHOOSE(CONTROL!$C$42, 4.9211, 4.9211) * CHOOSE(CONTROL!$C$21, $C$9, 100%, $E$9)</f>
        <v>4.9211</v>
      </c>
      <c r="O54" s="17">
        <f>CHOOSE(CONTROL!$C$42, 5.1872, 5.1872) * CHOOSE(CONTROL!$C$21, $C$9, 100%, $E$9)</f>
        <v>5.1871999999999998</v>
      </c>
      <c r="P54" s="17">
        <f>CHOOSE(CONTROL!$C$42, 4.928, 4.928) * CHOOSE(CONTROL!$C$21, $C$9, 100%, $E$9)</f>
        <v>4.9279999999999999</v>
      </c>
      <c r="Q54" s="17">
        <f>CHOOSE(CONTROL!$C$42, 5.7819, 5.7819) * CHOOSE(CONTROL!$C$21, $C$9, 100%, $E$9)</f>
        <v>5.7819000000000003</v>
      </c>
      <c r="R54" s="17">
        <f>CHOOSE(CONTROL!$C$42, 6.3834, 6.3834) * CHOOSE(CONTROL!$C$21, $C$9, 100%, $E$9)</f>
        <v>6.3834</v>
      </c>
      <c r="S54" s="17">
        <f>CHOOSE(CONTROL!$C$42, 4.77, 4.77) * CHOOSE(CONTROL!$C$21, $C$9, 100%, $E$9)</f>
        <v>4.7699999999999996</v>
      </c>
      <c r="T5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4" s="56">
        <f>(1000*CHOOSE(CONTROL!$C$42, 695, 695)*CHOOSE(CONTROL!$C$42, 0.5599, 0.5599)*CHOOSE(CONTROL!$C$42, 30, 30))/1000000</f>
        <v>11.673914999999997</v>
      </c>
      <c r="V54" s="56">
        <f>(1000*CHOOSE(CONTROL!$C$42, 580, 580)*CHOOSE(CONTROL!$C$42, 0.275, 0.275)*CHOOSE(CONTROL!$C$42, 30, 30))/1000000</f>
        <v>4.7850000000000001</v>
      </c>
      <c r="W54" s="56">
        <f>(1000*CHOOSE(CONTROL!$C$42, 0.1146, 0.1146)*CHOOSE(CONTROL!$C$42, 121.5, 121.5)*CHOOSE(CONTROL!$C$42, 30, 30))/1000000</f>
        <v>0.417717</v>
      </c>
      <c r="X54" s="56">
        <f>(30*0.1790888*145000/1000000)+(30*0.2374*100000/1000000)</f>
        <v>1.4912362799999999</v>
      </c>
      <c r="Y54" s="56"/>
      <c r="Z54" s="17"/>
      <c r="AA54" s="55"/>
      <c r="AB54" s="48">
        <f>(B54*194.205+C54*267.466+D54*133.845+E54*153.484+F54*40+G54*85+H54*0+I54*100+J54*300)/(194.205+267.466+133.845+153.484+0+40+85+100+300)</f>
        <v>5.0520367330455267</v>
      </c>
      <c r="AC54" s="45">
        <f>(M54*'RAP TEMPLATE-GAS AVAILABILITY'!O53+N54*'RAP TEMPLATE-GAS AVAILABILITY'!P53+O54*'RAP TEMPLATE-GAS AVAILABILITY'!Q53+P54*'RAP TEMPLATE-GAS AVAILABILITY'!R53)/('RAP TEMPLATE-GAS AVAILABILITY'!O53+'RAP TEMPLATE-GAS AVAILABILITY'!P53+'RAP TEMPLATE-GAS AVAILABILITY'!Q53+'RAP TEMPLATE-GAS AVAILABILITY'!R53)</f>
        <v>4.9910906474820145</v>
      </c>
    </row>
    <row r="55" spans="1:29" ht="15.75" x14ac:dyDescent="0.25">
      <c r="A55" s="16">
        <v>42552</v>
      </c>
      <c r="B55" s="17">
        <f>CHOOSE(CONTROL!$C$42, 4.89, 4.89) * CHOOSE(CONTROL!$C$21, $C$9, 100%, $E$9)</f>
        <v>4.8899999999999997</v>
      </c>
      <c r="C55" s="17">
        <f>CHOOSE(CONTROL!$C$42, 4.898, 4.898) * CHOOSE(CONTROL!$C$21, $C$9, 100%, $E$9)</f>
        <v>4.8979999999999997</v>
      </c>
      <c r="D55" s="17">
        <f>CHOOSE(CONTROL!$C$42, 5.1691, 5.1691) * CHOOSE(CONTROL!$C$21, $C$9, 100%, $E$9)</f>
        <v>5.1691000000000003</v>
      </c>
      <c r="E55" s="17">
        <f>CHOOSE(CONTROL!$C$42, 5.2006, 5.2006) * CHOOSE(CONTROL!$C$21, $C$9, 100%, $E$9)</f>
        <v>5.2005999999999997</v>
      </c>
      <c r="F55" s="17">
        <f>CHOOSE(CONTROL!$C$42, 4.9089, 4.9089)*CHOOSE(CONTROL!$C$21, $C$9, 100%, $E$9)</f>
        <v>4.9089</v>
      </c>
      <c r="G55" s="17">
        <f>CHOOSE(CONTROL!$C$42, 4.9257, 4.9257)*CHOOSE(CONTROL!$C$21, $C$9, 100%, $E$9)</f>
        <v>4.9257</v>
      </c>
      <c r="H55" s="17">
        <f>CHOOSE(CONTROL!$C$42, 5.1892, 5.1892) * CHOOSE(CONTROL!$C$21, $C$9, 100%, $E$9)</f>
        <v>5.1891999999999996</v>
      </c>
      <c r="I55" s="17">
        <f>CHOOSE(CONTROL!$C$42, 4.9252, 4.9252)* CHOOSE(CONTROL!$C$21, $C$9, 100%, $E$9)</f>
        <v>4.9252000000000002</v>
      </c>
      <c r="J55" s="17">
        <f>CHOOSE(CONTROL!$C$42, 4.9019, 4.9019)* CHOOSE(CONTROL!$C$21, $C$9, 100%, $E$9)</f>
        <v>4.9019000000000004</v>
      </c>
      <c r="K55" s="52"/>
      <c r="L55" s="17">
        <f>CHOOSE(CONTROL!$C$42, 5.7762, 5.7762) * CHOOSE(CONTROL!$C$21, $C$9, 100%, $E$9)</f>
        <v>5.7762000000000002</v>
      </c>
      <c r="M55" s="17">
        <f>CHOOSE(CONTROL!$C$42, 4.8214, 4.8214) * CHOOSE(CONTROL!$C$21, $C$9, 100%, $E$9)</f>
        <v>4.8213999999999997</v>
      </c>
      <c r="N55" s="17">
        <f>CHOOSE(CONTROL!$C$42, 4.8379, 4.8379) * CHOOSE(CONTROL!$C$21, $C$9, 100%, $E$9)</f>
        <v>4.8379000000000003</v>
      </c>
      <c r="O55" s="17">
        <f>CHOOSE(CONTROL!$C$42, 5.1036, 5.1036) * CHOOSE(CONTROL!$C$21, $C$9, 100%, $E$9)</f>
        <v>5.1036000000000001</v>
      </c>
      <c r="P55" s="17">
        <f>CHOOSE(CONTROL!$C$42, 4.8441, 4.8441) * CHOOSE(CONTROL!$C$21, $C$9, 100%, $E$9)</f>
        <v>4.8441000000000001</v>
      </c>
      <c r="Q55" s="17">
        <f>CHOOSE(CONTROL!$C$42, 5.6983, 5.6983) * CHOOSE(CONTROL!$C$21, $C$9, 100%, $E$9)</f>
        <v>5.6982999999999997</v>
      </c>
      <c r="R55" s="17">
        <f>CHOOSE(CONTROL!$C$42, 6.2995, 6.2995) * CHOOSE(CONTROL!$C$21, $C$9, 100%, $E$9)</f>
        <v>6.2995000000000001</v>
      </c>
      <c r="S55" s="17">
        <f>CHOOSE(CONTROL!$C$42, 4.6882, 4.6882) * CHOOSE(CONTROL!$C$21, $C$9, 100%, $E$9)</f>
        <v>4.6882000000000001</v>
      </c>
      <c r="T5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5" s="56">
        <f>(1000*CHOOSE(CONTROL!$C$42, 695, 695)*CHOOSE(CONTROL!$C$42, 0.5599, 0.5599)*CHOOSE(CONTROL!$C$42, 31, 31))/1000000</f>
        <v>12.063045499999998</v>
      </c>
      <c r="V55" s="56">
        <f>(1000*CHOOSE(CONTROL!$C$42, 580, 580)*CHOOSE(CONTROL!$C$42, 0.275, 0.275)*CHOOSE(CONTROL!$C$42, 31, 31))/1000000</f>
        <v>4.9444999999999997</v>
      </c>
      <c r="W55" s="56">
        <f>(1000*CHOOSE(CONTROL!$C$42, 0.1146, 0.1146)*CHOOSE(CONTROL!$C$42, 121.5, 121.5)*CHOOSE(CONTROL!$C$42, 31, 31))/1000000</f>
        <v>0.43164089999999994</v>
      </c>
      <c r="X55" s="56">
        <f>(31*0.1790888*145000/1000000)+(31*0.2374*100000/1000000)</f>
        <v>1.5409441560000001</v>
      </c>
      <c r="Y55" s="56"/>
      <c r="Z55" s="17"/>
      <c r="AA55" s="55"/>
      <c r="AB55" s="48">
        <f>(B55*194.205+C55*267.466+D55*133.845+E55*153.484+F55*40+G55*85+H55*0+I55*100+J55*300)/(194.205+267.466+133.845+153.484+0+40+85+100+300)</f>
        <v>4.9669611443485087</v>
      </c>
      <c r="AC55" s="45">
        <f>(M55*'RAP TEMPLATE-GAS AVAILABILITY'!O54+N55*'RAP TEMPLATE-GAS AVAILABILITY'!P54+O55*'RAP TEMPLATE-GAS AVAILABILITY'!Q54+P55*'RAP TEMPLATE-GAS AVAILABILITY'!R54)/('RAP TEMPLATE-GAS AVAILABILITY'!O54+'RAP TEMPLATE-GAS AVAILABILITY'!P54+'RAP TEMPLATE-GAS AVAILABILITY'!Q54+'RAP TEMPLATE-GAS AVAILABILITY'!R54)</f>
        <v>4.9076431654676256</v>
      </c>
    </row>
    <row r="56" spans="1:29" ht="15.75" x14ac:dyDescent="0.25">
      <c r="A56" s="16">
        <v>42583</v>
      </c>
      <c r="B56" s="17">
        <f>CHOOSE(CONTROL!$C$42, 4.6586, 4.6586) * CHOOSE(CONTROL!$C$21, $C$9, 100%, $E$9)</f>
        <v>4.6585999999999999</v>
      </c>
      <c r="C56" s="17">
        <f>CHOOSE(CONTROL!$C$42, 4.6666, 4.6666) * CHOOSE(CONTROL!$C$21, $C$9, 100%, $E$9)</f>
        <v>4.6665999999999999</v>
      </c>
      <c r="D56" s="17">
        <f>CHOOSE(CONTROL!$C$42, 4.9377, 4.9377) * CHOOSE(CONTROL!$C$21, $C$9, 100%, $E$9)</f>
        <v>4.9377000000000004</v>
      </c>
      <c r="E56" s="17">
        <f>CHOOSE(CONTROL!$C$42, 4.9692, 4.9692) * CHOOSE(CONTROL!$C$21, $C$9, 100%, $E$9)</f>
        <v>4.9691999999999998</v>
      </c>
      <c r="F56" s="17">
        <f>CHOOSE(CONTROL!$C$42, 4.6777, 4.6777)*CHOOSE(CONTROL!$C$21, $C$9, 100%, $E$9)</f>
        <v>4.6776999999999997</v>
      </c>
      <c r="G56" s="17">
        <f>CHOOSE(CONTROL!$C$42, 4.6946, 4.6946)*CHOOSE(CONTROL!$C$21, $C$9, 100%, $E$9)</f>
        <v>4.6946000000000003</v>
      </c>
      <c r="H56" s="17">
        <f>CHOOSE(CONTROL!$C$42, 4.9578, 4.9578) * CHOOSE(CONTROL!$C$21, $C$9, 100%, $E$9)</f>
        <v>4.9577999999999998</v>
      </c>
      <c r="I56" s="17">
        <f>CHOOSE(CONTROL!$C$42, 4.6931, 4.6931)* CHOOSE(CONTROL!$C$21, $C$9, 100%, $E$9)</f>
        <v>4.6931000000000003</v>
      </c>
      <c r="J56" s="17">
        <f>CHOOSE(CONTROL!$C$42, 4.6707, 4.6707)* CHOOSE(CONTROL!$C$21, $C$9, 100%, $E$9)</f>
        <v>4.6707000000000001</v>
      </c>
      <c r="K56" s="52"/>
      <c r="L56" s="17">
        <f>CHOOSE(CONTROL!$C$42, 5.5448, 5.5448) * CHOOSE(CONTROL!$C$21, $C$9, 100%, $E$9)</f>
        <v>5.5448000000000004</v>
      </c>
      <c r="M56" s="17">
        <f>CHOOSE(CONTROL!$C$42, 4.5944, 4.5944) * CHOOSE(CONTROL!$C$21, $C$9, 100%, $E$9)</f>
        <v>4.5944000000000003</v>
      </c>
      <c r="N56" s="17">
        <f>CHOOSE(CONTROL!$C$42, 4.611, 4.611) * CHOOSE(CONTROL!$C$21, $C$9, 100%, $E$9)</f>
        <v>4.6109999999999998</v>
      </c>
      <c r="O56" s="17">
        <f>CHOOSE(CONTROL!$C$42, 4.8763, 4.8763) * CHOOSE(CONTROL!$C$21, $C$9, 100%, $E$9)</f>
        <v>4.8762999999999996</v>
      </c>
      <c r="P56" s="17">
        <f>CHOOSE(CONTROL!$C$42, 4.6162, 4.6162) * CHOOSE(CONTROL!$C$21, $C$9, 100%, $E$9)</f>
        <v>4.6162000000000001</v>
      </c>
      <c r="Q56" s="17">
        <f>CHOOSE(CONTROL!$C$42, 5.471, 5.471) * CHOOSE(CONTROL!$C$21, $C$9, 100%, $E$9)</f>
        <v>5.4710000000000001</v>
      </c>
      <c r="R56" s="17">
        <f>CHOOSE(CONTROL!$C$42, 6.0717, 6.0717) * CHOOSE(CONTROL!$C$21, $C$9, 100%, $E$9)</f>
        <v>6.0716999999999999</v>
      </c>
      <c r="S56" s="17">
        <f>CHOOSE(CONTROL!$C$42, 4.4658, 4.4658) * CHOOSE(CONTROL!$C$21, $C$9, 100%, $E$9)</f>
        <v>4.4657999999999998</v>
      </c>
      <c r="T5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6" s="56">
        <f>(1000*CHOOSE(CONTROL!$C$42, 695, 695)*CHOOSE(CONTROL!$C$42, 0.5599, 0.5599)*CHOOSE(CONTROL!$C$42, 31, 31))/1000000</f>
        <v>12.063045499999998</v>
      </c>
      <c r="V56" s="56">
        <f>(1000*CHOOSE(CONTROL!$C$42, 580, 580)*CHOOSE(CONTROL!$C$42, 0.275, 0.275)*CHOOSE(CONTROL!$C$42, 31, 31))/1000000</f>
        <v>4.9444999999999997</v>
      </c>
      <c r="W56" s="56">
        <f>(1000*CHOOSE(CONTROL!$C$42, 0.1146, 0.1146)*CHOOSE(CONTROL!$C$42, 121.5, 121.5)*CHOOSE(CONTROL!$C$42, 31, 31))/1000000</f>
        <v>0.43164089999999994</v>
      </c>
      <c r="X56" s="56">
        <f>(31*0.1790888*145000/1000000)+(31*0.2374*100000/1000000)</f>
        <v>1.5409441560000001</v>
      </c>
      <c r="Y56" s="56"/>
      <c r="Z56" s="17"/>
      <c r="AA56" s="55"/>
      <c r="AB56" s="48">
        <f>(B56*194.205+C56*267.466+D56*133.845+E56*153.484+F56*40+G56*85+H56*0+I56*100+J56*300)/(194.205+267.466+133.845+153.484+0+40+85+100+300)</f>
        <v>4.7355795901883839</v>
      </c>
      <c r="AC56" s="45">
        <f>(M56*'RAP TEMPLATE-GAS AVAILABILITY'!O55+N56*'RAP TEMPLATE-GAS AVAILABILITY'!P55+O56*'RAP TEMPLATE-GAS AVAILABILITY'!Q55+P56*'RAP TEMPLATE-GAS AVAILABILITY'!R55)/('RAP TEMPLATE-GAS AVAILABILITY'!O55+'RAP TEMPLATE-GAS AVAILABILITY'!P55+'RAP TEMPLATE-GAS AVAILABILITY'!Q55+'RAP TEMPLATE-GAS AVAILABILITY'!R55)</f>
        <v>4.6804525179856116</v>
      </c>
    </row>
    <row r="57" spans="1:29" ht="15.75" x14ac:dyDescent="0.25">
      <c r="A57" s="16">
        <v>42614</v>
      </c>
      <c r="B57" s="17">
        <f>CHOOSE(CONTROL!$C$42, 4.3723, 4.3723) * CHOOSE(CONTROL!$C$21, $C$9, 100%, $E$9)</f>
        <v>4.3723000000000001</v>
      </c>
      <c r="C57" s="17">
        <f>CHOOSE(CONTROL!$C$42, 4.3804, 4.3804) * CHOOSE(CONTROL!$C$21, $C$9, 100%, $E$9)</f>
        <v>4.3803999999999998</v>
      </c>
      <c r="D57" s="17">
        <f>CHOOSE(CONTROL!$C$42, 4.6514, 4.6514) * CHOOSE(CONTROL!$C$21, $C$9, 100%, $E$9)</f>
        <v>4.6513999999999998</v>
      </c>
      <c r="E57" s="17">
        <f>CHOOSE(CONTROL!$C$42, 4.6829, 4.6829) * CHOOSE(CONTROL!$C$21, $C$9, 100%, $E$9)</f>
        <v>4.6829000000000001</v>
      </c>
      <c r="F57" s="17">
        <f>CHOOSE(CONTROL!$C$42, 4.3915, 4.3915)*CHOOSE(CONTROL!$C$21, $C$9, 100%, $E$9)</f>
        <v>4.3914999999999997</v>
      </c>
      <c r="G57" s="17">
        <f>CHOOSE(CONTROL!$C$42, 4.4084, 4.4084)*CHOOSE(CONTROL!$C$21, $C$9, 100%, $E$9)</f>
        <v>4.4084000000000003</v>
      </c>
      <c r="H57" s="17">
        <f>CHOOSE(CONTROL!$C$42, 4.6715, 4.6715) * CHOOSE(CONTROL!$C$21, $C$9, 100%, $E$9)</f>
        <v>4.6715</v>
      </c>
      <c r="I57" s="17">
        <f>CHOOSE(CONTROL!$C$42, 4.4059, 4.4059)* CHOOSE(CONTROL!$C$21, $C$9, 100%, $E$9)</f>
        <v>4.4058999999999999</v>
      </c>
      <c r="J57" s="17">
        <f>CHOOSE(CONTROL!$C$42, 4.3845, 4.3845)* CHOOSE(CONTROL!$C$21, $C$9, 100%, $E$9)</f>
        <v>4.3845000000000001</v>
      </c>
      <c r="K57" s="52"/>
      <c r="L57" s="17">
        <f>CHOOSE(CONTROL!$C$42, 5.2585, 5.2585) * CHOOSE(CONTROL!$C$21, $C$9, 100%, $E$9)</f>
        <v>5.2584999999999997</v>
      </c>
      <c r="M57" s="17">
        <f>CHOOSE(CONTROL!$C$42, 4.3134, 4.3134) * CHOOSE(CONTROL!$C$21, $C$9, 100%, $E$9)</f>
        <v>4.3133999999999997</v>
      </c>
      <c r="N57" s="17">
        <f>CHOOSE(CONTROL!$C$42, 4.33, 4.33) * CHOOSE(CONTROL!$C$21, $C$9, 100%, $E$9)</f>
        <v>4.33</v>
      </c>
      <c r="O57" s="17">
        <f>CHOOSE(CONTROL!$C$42, 4.5952, 4.5952) * CHOOSE(CONTROL!$C$21, $C$9, 100%, $E$9)</f>
        <v>4.5952000000000002</v>
      </c>
      <c r="P57" s="17">
        <f>CHOOSE(CONTROL!$C$42, 4.3342, 4.3342) * CHOOSE(CONTROL!$C$21, $C$9, 100%, $E$9)</f>
        <v>4.3342000000000001</v>
      </c>
      <c r="Q57" s="17">
        <f>CHOOSE(CONTROL!$C$42, 5.1899, 5.1899) * CHOOSE(CONTROL!$C$21, $C$9, 100%, $E$9)</f>
        <v>5.1898999999999997</v>
      </c>
      <c r="R57" s="17">
        <f>CHOOSE(CONTROL!$C$42, 5.7899, 5.7899) * CHOOSE(CONTROL!$C$21, $C$9, 100%, $E$9)</f>
        <v>5.7899000000000003</v>
      </c>
      <c r="S57" s="17">
        <f>CHOOSE(CONTROL!$C$42, 4.1908, 4.1908) * CHOOSE(CONTROL!$C$21, $C$9, 100%, $E$9)</f>
        <v>4.1908000000000003</v>
      </c>
      <c r="T5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7" s="56">
        <f>(1000*CHOOSE(CONTROL!$C$42, 695, 695)*CHOOSE(CONTROL!$C$42, 0.5599, 0.5599)*CHOOSE(CONTROL!$C$42, 30, 30))/1000000</f>
        <v>11.673914999999997</v>
      </c>
      <c r="V57" s="56">
        <f>(1000*CHOOSE(CONTROL!$C$42, 580, 580)*CHOOSE(CONTROL!$C$42, 0.275, 0.275)*CHOOSE(CONTROL!$C$42, 30, 30))/1000000</f>
        <v>4.7850000000000001</v>
      </c>
      <c r="W57" s="56">
        <f>(1000*CHOOSE(CONTROL!$C$42, 0.1146, 0.1146)*CHOOSE(CONTROL!$C$42, 121.5, 121.5)*CHOOSE(CONTROL!$C$42, 30, 30))/1000000</f>
        <v>0.417717</v>
      </c>
      <c r="X57" s="56">
        <f>(30*0.1790888*145000/1000000)+(30*0.2374*100000/1000000)</f>
        <v>1.4912362799999999</v>
      </c>
      <c r="Y57" s="56"/>
      <c r="Z57" s="17"/>
      <c r="AA57" s="55"/>
      <c r="AB57" s="48">
        <f>(B57*194.205+C57*267.466+D57*133.845+E57*153.484+F57*40+G57*85+H57*0+I57*100+J57*300)/(194.205+267.466+133.845+153.484+0+40+85+100+300)</f>
        <v>4.4492633002354793</v>
      </c>
      <c r="AC57" s="45">
        <f>(M57*'RAP TEMPLATE-GAS AVAILABILITY'!O56+N57*'RAP TEMPLATE-GAS AVAILABILITY'!P56+O57*'RAP TEMPLATE-GAS AVAILABILITY'!Q56+P57*'RAP TEMPLATE-GAS AVAILABILITY'!R56)/('RAP TEMPLATE-GAS AVAILABILITY'!O56+'RAP TEMPLATE-GAS AVAILABILITY'!P56+'RAP TEMPLATE-GAS AVAILABILITY'!Q56+'RAP TEMPLATE-GAS AVAILABILITY'!R56)</f>
        <v>4.3992805755395681</v>
      </c>
    </row>
    <row r="58" spans="1:29" ht="15.75" x14ac:dyDescent="0.25">
      <c r="A58" s="16">
        <v>42644</v>
      </c>
      <c r="B58" s="17">
        <f>CHOOSE(CONTROL!$C$42, 4.2908, 4.2908) * CHOOSE(CONTROL!$C$21, $C$9, 100%, $E$9)</f>
        <v>4.2907999999999999</v>
      </c>
      <c r="C58" s="17">
        <f>CHOOSE(CONTROL!$C$42, 4.2962, 4.2962) * CHOOSE(CONTROL!$C$21, $C$9, 100%, $E$9)</f>
        <v>4.2961999999999998</v>
      </c>
      <c r="D58" s="17">
        <f>CHOOSE(CONTROL!$C$42, 4.5722, 4.5722) * CHOOSE(CONTROL!$C$21, $C$9, 100%, $E$9)</f>
        <v>4.5721999999999996</v>
      </c>
      <c r="E58" s="17">
        <f>CHOOSE(CONTROL!$C$42, 4.6013, 4.6013) * CHOOSE(CONTROL!$C$21, $C$9, 100%, $E$9)</f>
        <v>4.6013000000000002</v>
      </c>
      <c r="F58" s="17">
        <f>CHOOSE(CONTROL!$C$42, 4.3123, 4.3123)*CHOOSE(CONTROL!$C$21, $C$9, 100%, $E$9)</f>
        <v>4.3122999999999996</v>
      </c>
      <c r="G58" s="17">
        <f>CHOOSE(CONTROL!$C$42, 4.329, 4.329)*CHOOSE(CONTROL!$C$21, $C$9, 100%, $E$9)</f>
        <v>4.3289999999999997</v>
      </c>
      <c r="H58" s="17">
        <f>CHOOSE(CONTROL!$C$42, 4.5918, 4.5918) * CHOOSE(CONTROL!$C$21, $C$9, 100%, $E$9)</f>
        <v>4.5918000000000001</v>
      </c>
      <c r="I58" s="17">
        <f>CHOOSE(CONTROL!$C$42, 4.3259, 4.3259)* CHOOSE(CONTROL!$C$21, $C$9, 100%, $E$9)</f>
        <v>4.3258999999999999</v>
      </c>
      <c r="J58" s="17">
        <f>CHOOSE(CONTROL!$C$42, 4.3053, 4.3053)* CHOOSE(CONTROL!$C$21, $C$9, 100%, $E$9)</f>
        <v>4.3052999999999999</v>
      </c>
      <c r="K58" s="52"/>
      <c r="L58" s="17">
        <f>CHOOSE(CONTROL!$C$42, 5.1788, 5.1788) * CHOOSE(CONTROL!$C$21, $C$9, 100%, $E$9)</f>
        <v>5.1787999999999998</v>
      </c>
      <c r="M58" s="17">
        <f>CHOOSE(CONTROL!$C$42, 4.2355, 4.2355) * CHOOSE(CONTROL!$C$21, $C$9, 100%, $E$9)</f>
        <v>4.2355</v>
      </c>
      <c r="N58" s="17">
        <f>CHOOSE(CONTROL!$C$42, 4.252, 4.252) * CHOOSE(CONTROL!$C$21, $C$9, 100%, $E$9)</f>
        <v>4.2519999999999998</v>
      </c>
      <c r="O58" s="17">
        <f>CHOOSE(CONTROL!$C$42, 4.5169, 4.5169) * CHOOSE(CONTROL!$C$21, $C$9, 100%, $E$9)</f>
        <v>4.5168999999999997</v>
      </c>
      <c r="P58" s="17">
        <f>CHOOSE(CONTROL!$C$42, 4.2556, 4.2556) * CHOOSE(CONTROL!$C$21, $C$9, 100%, $E$9)</f>
        <v>4.2556000000000003</v>
      </c>
      <c r="Q58" s="17">
        <f>CHOOSE(CONTROL!$C$42, 5.1116, 5.1116) * CHOOSE(CONTROL!$C$21, $C$9, 100%, $E$9)</f>
        <v>5.1116000000000001</v>
      </c>
      <c r="R58" s="17">
        <f>CHOOSE(CONTROL!$C$42, 5.7114, 5.7114) * CHOOSE(CONTROL!$C$21, $C$9, 100%, $E$9)</f>
        <v>5.7114000000000003</v>
      </c>
      <c r="S58" s="17">
        <f>CHOOSE(CONTROL!$C$42, 4.1141, 4.1141) * CHOOSE(CONTROL!$C$21, $C$9, 100%, $E$9)</f>
        <v>4.1140999999999996</v>
      </c>
      <c r="T5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8" s="56">
        <f>(1000*CHOOSE(CONTROL!$C$42, 695, 695)*CHOOSE(CONTROL!$C$42, 0.5599, 0.5599)*CHOOSE(CONTROL!$C$42, 31, 31))/1000000</f>
        <v>12.063045499999998</v>
      </c>
      <c r="V58" s="56">
        <f>(1000*CHOOSE(CONTROL!$C$42, 580, 580)*CHOOSE(CONTROL!$C$42, 0.275, 0.275)*CHOOSE(CONTROL!$C$42, 31, 31))/1000000</f>
        <v>4.9444999999999997</v>
      </c>
      <c r="W58" s="56">
        <f>(1000*CHOOSE(CONTROL!$C$42, 0.1146, 0.1146)*CHOOSE(CONTROL!$C$42, 121.5, 121.5)*CHOOSE(CONTROL!$C$42, 31, 31))/1000000</f>
        <v>0.43164089999999994</v>
      </c>
      <c r="X58" s="56">
        <f>(31*0.1790888*145000/1000000)+(31*0.2374*100000/1000000)</f>
        <v>1.5409441560000001</v>
      </c>
      <c r="Y58" s="56"/>
      <c r="Z58" s="17"/>
      <c r="AA58" s="55"/>
      <c r="AB58" s="48">
        <f>(B58*131.881+C58*277.167+D58*79.08+E58*225.872+F58*40+G58*85+H58*0+I58*100+J58*300)/(131.881+277.167+79.08+225.872+0+40+85+100+300)</f>
        <v>4.3762318561743347</v>
      </c>
      <c r="AC58" s="45">
        <f>(M58*'RAP TEMPLATE-GAS AVAILABILITY'!O57+N58*'RAP TEMPLATE-GAS AVAILABILITY'!P57+O58*'RAP TEMPLATE-GAS AVAILABILITY'!Q57+P58*'RAP TEMPLATE-GAS AVAILABILITY'!R57)/('RAP TEMPLATE-GAS AVAILABILITY'!O57+'RAP TEMPLATE-GAS AVAILABILITY'!P57+'RAP TEMPLATE-GAS AVAILABILITY'!Q57+'RAP TEMPLATE-GAS AVAILABILITY'!R57)</f>
        <v>4.3211446043165465</v>
      </c>
    </row>
    <row r="59" spans="1:29" ht="15.75" x14ac:dyDescent="0.25">
      <c r="A59" s="16">
        <v>42675</v>
      </c>
      <c r="B59" s="17">
        <f>CHOOSE(CONTROL!$C$42, 4.4123, 4.4123) * CHOOSE(CONTROL!$C$21, $C$9, 100%, $E$9)</f>
        <v>4.4123000000000001</v>
      </c>
      <c r="C59" s="17">
        <f>CHOOSE(CONTROL!$C$42, 4.4173, 4.4173) * CHOOSE(CONTROL!$C$21, $C$9, 100%, $E$9)</f>
        <v>4.4173</v>
      </c>
      <c r="D59" s="17">
        <f>CHOOSE(CONTROL!$C$42, 4.5124, 4.5124) * CHOOSE(CONTROL!$C$21, $C$9, 100%, $E$9)</f>
        <v>4.5124000000000004</v>
      </c>
      <c r="E59" s="17">
        <f>CHOOSE(CONTROL!$C$42, 4.5465, 4.5465) * CHOOSE(CONTROL!$C$21, $C$9, 100%, $E$9)</f>
        <v>4.5465</v>
      </c>
      <c r="F59" s="17">
        <f>CHOOSE(CONTROL!$C$42, 4.4362, 4.4362)*CHOOSE(CONTROL!$C$21, $C$9, 100%, $E$9)</f>
        <v>4.4362000000000004</v>
      </c>
      <c r="G59" s="17">
        <f>CHOOSE(CONTROL!$C$42, 4.4532, 4.4532)*CHOOSE(CONTROL!$C$21, $C$9, 100%, $E$9)</f>
        <v>4.4531999999999998</v>
      </c>
      <c r="H59" s="17">
        <f>CHOOSE(CONTROL!$C$42, 4.5357, 4.5357) * CHOOSE(CONTROL!$C$21, $C$9, 100%, $E$9)</f>
        <v>4.5357000000000003</v>
      </c>
      <c r="I59" s="17">
        <f>CHOOSE(CONTROL!$C$42, 4.446, 4.446)* CHOOSE(CONTROL!$C$21, $C$9, 100%, $E$9)</f>
        <v>4.4459999999999997</v>
      </c>
      <c r="J59" s="17">
        <f>CHOOSE(CONTROL!$C$42, 4.4292, 4.4292)* CHOOSE(CONTROL!$C$21, $C$9, 100%, $E$9)</f>
        <v>4.4291999999999998</v>
      </c>
      <c r="K59" s="52"/>
      <c r="L59" s="17">
        <f>CHOOSE(CONTROL!$C$42, 5.1227, 5.1227) * CHOOSE(CONTROL!$C$21, $C$9, 100%, $E$9)</f>
        <v>5.1227</v>
      </c>
      <c r="M59" s="17">
        <f>CHOOSE(CONTROL!$C$42, 4.3572, 4.3572) * CHOOSE(CONTROL!$C$21, $C$9, 100%, $E$9)</f>
        <v>4.3571999999999997</v>
      </c>
      <c r="N59" s="17">
        <f>CHOOSE(CONTROL!$C$42, 4.374, 4.374) * CHOOSE(CONTROL!$C$21, $C$9, 100%, $E$9)</f>
        <v>4.3739999999999997</v>
      </c>
      <c r="O59" s="17">
        <f>CHOOSE(CONTROL!$C$42, 4.4618, 4.4618) * CHOOSE(CONTROL!$C$21, $C$9, 100%, $E$9)</f>
        <v>4.4618000000000002</v>
      </c>
      <c r="P59" s="17">
        <f>CHOOSE(CONTROL!$C$42, 4.3736, 4.3736) * CHOOSE(CONTROL!$C$21, $C$9, 100%, $E$9)</f>
        <v>4.3735999999999997</v>
      </c>
      <c r="Q59" s="17">
        <f>CHOOSE(CONTROL!$C$42, 5.0565, 5.0565) * CHOOSE(CONTROL!$C$21, $C$9, 100%, $E$9)</f>
        <v>5.0564999999999998</v>
      </c>
      <c r="R59" s="17">
        <f>CHOOSE(CONTROL!$C$42, 5.6561, 5.6561) * CHOOSE(CONTROL!$C$21, $C$9, 100%, $E$9)</f>
        <v>5.6561000000000003</v>
      </c>
      <c r="S59" s="17">
        <f>CHOOSE(CONTROL!$C$42, 4.2312, 4.2312) * CHOOSE(CONTROL!$C$21, $C$9, 100%, $E$9)</f>
        <v>4.2312000000000003</v>
      </c>
      <c r="T5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9" s="56">
        <f>(1000*CHOOSE(CONTROL!$C$42, 695, 695)*CHOOSE(CONTROL!$C$42, 0.5599, 0.5599)*CHOOSE(CONTROL!$C$42, 30, 30))/1000000</f>
        <v>11.673914999999997</v>
      </c>
      <c r="V59" s="56">
        <f>(1000*CHOOSE(CONTROL!$C$42, 580, 580)*CHOOSE(CONTROL!$C$42, 0.275, 0.275)*CHOOSE(CONTROL!$C$42, 30, 30))/1000000</f>
        <v>4.7850000000000001</v>
      </c>
      <c r="W59" s="56">
        <f>(1000*CHOOSE(CONTROL!$C$42, 0.1146, 0.1146)*CHOOSE(CONTROL!$C$42, 121.5, 121.5)*CHOOSE(CONTROL!$C$42, 30, 30))/1000000</f>
        <v>0.417717</v>
      </c>
      <c r="X59" s="56">
        <f>(30*0.2374*100000/1000000)</f>
        <v>0.71220000000000006</v>
      </c>
      <c r="Y59" s="56"/>
      <c r="Z59" s="17"/>
      <c r="AA59" s="55"/>
      <c r="AB59" s="48">
        <f>(B59*122.58+C59*297.941+D59*89.177+E59*140.302+F59*40+G59*60+H59*0+I59*100+J59*300)/(122.58+297.941+89.177+140.302+0+40+60+100+300)</f>
        <v>4.448034653130434</v>
      </c>
      <c r="AC59" s="45">
        <f>(M59*'RAP TEMPLATE-GAS AVAILABILITY'!O58+N59*'RAP TEMPLATE-GAS AVAILABILITY'!P58+O59*'RAP TEMPLATE-GAS AVAILABILITY'!Q58+P59*'RAP TEMPLATE-GAS AVAILABILITY'!R58)/('RAP TEMPLATE-GAS AVAILABILITY'!O58+'RAP TEMPLATE-GAS AVAILABILITY'!P58+'RAP TEMPLATE-GAS AVAILABILITY'!Q58+'RAP TEMPLATE-GAS AVAILABILITY'!R58)</f>
        <v>4.4079352517985608</v>
      </c>
    </row>
    <row r="60" spans="1:29" ht="15.75" x14ac:dyDescent="0.25">
      <c r="A60" s="16">
        <v>42705</v>
      </c>
      <c r="B60" s="17">
        <f>CHOOSE(CONTROL!$C$42, 4.7221, 4.7221) * CHOOSE(CONTROL!$C$21, $C$9, 100%, $E$9)</f>
        <v>4.7221000000000002</v>
      </c>
      <c r="C60" s="17">
        <f>CHOOSE(CONTROL!$C$42, 4.7272, 4.7272) * CHOOSE(CONTROL!$C$21, $C$9, 100%, $E$9)</f>
        <v>4.7271999999999998</v>
      </c>
      <c r="D60" s="17">
        <f>CHOOSE(CONTROL!$C$42, 4.8222, 4.8222) * CHOOSE(CONTROL!$C$21, $C$9, 100%, $E$9)</f>
        <v>4.8221999999999996</v>
      </c>
      <c r="E60" s="17">
        <f>CHOOSE(CONTROL!$C$42, 4.8563, 4.8563) * CHOOSE(CONTROL!$C$21, $C$9, 100%, $E$9)</f>
        <v>4.8563000000000001</v>
      </c>
      <c r="F60" s="17">
        <f>CHOOSE(CONTROL!$C$42, 4.7484, 4.7484)*CHOOSE(CONTROL!$C$21, $C$9, 100%, $E$9)</f>
        <v>4.7484000000000002</v>
      </c>
      <c r="G60" s="17">
        <f>CHOOSE(CONTROL!$C$42, 4.7661, 4.7661)*CHOOSE(CONTROL!$C$21, $C$9, 100%, $E$9)</f>
        <v>4.7660999999999998</v>
      </c>
      <c r="H60" s="17">
        <f>CHOOSE(CONTROL!$C$42, 4.8455, 4.8455) * CHOOSE(CONTROL!$C$21, $C$9, 100%, $E$9)</f>
        <v>4.8455000000000004</v>
      </c>
      <c r="I60" s="17">
        <f>CHOOSE(CONTROL!$C$42, 4.7569, 4.7569)* CHOOSE(CONTROL!$C$21, $C$9, 100%, $E$9)</f>
        <v>4.7568999999999999</v>
      </c>
      <c r="J60" s="17">
        <f>CHOOSE(CONTROL!$C$42, 4.7414, 4.7414)* CHOOSE(CONTROL!$C$21, $C$9, 100%, $E$9)</f>
        <v>4.7413999999999996</v>
      </c>
      <c r="K60" s="52"/>
      <c r="L60" s="17">
        <f>CHOOSE(CONTROL!$C$42, 5.4325, 5.4325) * CHOOSE(CONTROL!$C$21, $C$9, 100%, $E$9)</f>
        <v>5.4325000000000001</v>
      </c>
      <c r="M60" s="17">
        <f>CHOOSE(CONTROL!$C$42, 4.6638, 4.6638) * CHOOSE(CONTROL!$C$21, $C$9, 100%, $E$9)</f>
        <v>4.6638000000000002</v>
      </c>
      <c r="N60" s="17">
        <f>CHOOSE(CONTROL!$C$42, 4.6811, 4.6811) * CHOOSE(CONTROL!$C$21, $C$9, 100%, $E$9)</f>
        <v>4.6810999999999998</v>
      </c>
      <c r="O60" s="17">
        <f>CHOOSE(CONTROL!$C$42, 4.7661, 4.7661) * CHOOSE(CONTROL!$C$21, $C$9, 100%, $E$9)</f>
        <v>4.7660999999999998</v>
      </c>
      <c r="P60" s="17">
        <f>CHOOSE(CONTROL!$C$42, 4.6788, 4.6788) * CHOOSE(CONTROL!$C$21, $C$9, 100%, $E$9)</f>
        <v>4.6787999999999998</v>
      </c>
      <c r="Q60" s="17">
        <f>CHOOSE(CONTROL!$C$42, 5.3608, 5.3608) * CHOOSE(CONTROL!$C$21, $C$9, 100%, $E$9)</f>
        <v>5.3608000000000002</v>
      </c>
      <c r="R60" s="17">
        <f>CHOOSE(CONTROL!$C$42, 5.9612, 5.9612) * CHOOSE(CONTROL!$C$21, $C$9, 100%, $E$9)</f>
        <v>5.9611999999999998</v>
      </c>
      <c r="S60" s="17">
        <f>CHOOSE(CONTROL!$C$42, 4.5289, 4.5289) * CHOOSE(CONTROL!$C$21, $C$9, 100%, $E$9)</f>
        <v>4.5289000000000001</v>
      </c>
      <c r="T6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0" s="56">
        <f>(1000*CHOOSE(CONTROL!$C$42, 695, 695)*CHOOSE(CONTROL!$C$42, 0.5599, 0.5599)*CHOOSE(CONTROL!$C$42, 31, 31))/1000000</f>
        <v>12.063045499999998</v>
      </c>
      <c r="V60" s="56">
        <f>(1000*CHOOSE(CONTROL!$C$42, 580, 580)*CHOOSE(CONTROL!$C$42, 0.275, 0.275)*CHOOSE(CONTROL!$C$42, 31, 31))/1000000</f>
        <v>4.9444999999999997</v>
      </c>
      <c r="W60" s="56">
        <f>(1000*CHOOSE(CONTROL!$C$42, 0.1146, 0.1146)*CHOOSE(CONTROL!$C$42, 121.5, 121.5)*CHOOSE(CONTROL!$C$42, 31, 31))/1000000</f>
        <v>0.43164089999999994</v>
      </c>
      <c r="X60" s="56">
        <f>(31*0.2374*100000/1000000)</f>
        <v>0.73594000000000004</v>
      </c>
      <c r="Y60" s="56"/>
      <c r="Z60" s="17"/>
      <c r="AA60" s="55"/>
      <c r="AB60" s="48">
        <f>(B60*122.58+C60*297.941+D60*89.177+E60*140.302+F60*40+G60*60+H60*0+I60*100+J60*300)/(122.58+297.941+89.177+140.302+0+40+60+100+300)</f>
        <v>4.7588275175652175</v>
      </c>
      <c r="AC60" s="45">
        <f>(M60*'RAP TEMPLATE-GAS AVAILABILITY'!O59+N60*'RAP TEMPLATE-GAS AVAILABILITY'!P59+O60*'RAP TEMPLATE-GAS AVAILABILITY'!Q59+P60*'RAP TEMPLATE-GAS AVAILABILITY'!R59)/('RAP TEMPLATE-GAS AVAILABILITY'!O59+'RAP TEMPLATE-GAS AVAILABILITY'!P59+'RAP TEMPLATE-GAS AVAILABILITY'!Q59+'RAP TEMPLATE-GAS AVAILABILITY'!R59)</f>
        <v>4.713320143884892</v>
      </c>
    </row>
    <row r="61" spans="1:29" ht="15.75" x14ac:dyDescent="0.25">
      <c r="A61" s="16">
        <v>42736</v>
      </c>
      <c r="B61" s="17">
        <f>CHOOSE(CONTROL!$C$42, 5.1878, 5.1878) * CHOOSE(CONTROL!$C$21, $C$9, 100%, $E$9)</f>
        <v>5.1878000000000002</v>
      </c>
      <c r="C61" s="17">
        <f>CHOOSE(CONTROL!$C$42, 5.1928, 5.1928) * CHOOSE(CONTROL!$C$21, $C$9, 100%, $E$9)</f>
        <v>5.1928000000000001</v>
      </c>
      <c r="D61" s="17">
        <f>CHOOSE(CONTROL!$C$42, 5.3113, 5.3113) * CHOOSE(CONTROL!$C$21, $C$9, 100%, $E$9)</f>
        <v>5.3113000000000001</v>
      </c>
      <c r="E61" s="17">
        <f>CHOOSE(CONTROL!$C$42, 5.3454, 5.3454) * CHOOSE(CONTROL!$C$21, $C$9, 100%, $E$9)</f>
        <v>5.3453999999999997</v>
      </c>
      <c r="F61" s="17">
        <f>CHOOSE(CONTROL!$C$42, 5.2082, 5.2082)*CHOOSE(CONTROL!$C$21, $C$9, 100%, $E$9)</f>
        <v>5.2081999999999997</v>
      </c>
      <c r="G61" s="17">
        <f>CHOOSE(CONTROL!$C$42, 5.225, 5.225)*CHOOSE(CONTROL!$C$21, $C$9, 100%, $E$9)</f>
        <v>5.2249999999999996</v>
      </c>
      <c r="H61" s="17">
        <f>CHOOSE(CONTROL!$C$42, 5.3346, 5.3346) * CHOOSE(CONTROL!$C$21, $C$9, 100%, $E$9)</f>
        <v>5.3346</v>
      </c>
      <c r="I61" s="17">
        <f>CHOOSE(CONTROL!$C$42, 5.2276, 5.2276)* CHOOSE(CONTROL!$C$21, $C$9, 100%, $E$9)</f>
        <v>5.2275999999999998</v>
      </c>
      <c r="J61" s="17">
        <f>CHOOSE(CONTROL!$C$42, 5.2012, 5.2012)* CHOOSE(CONTROL!$C$21, $C$9, 100%, $E$9)</f>
        <v>5.2012</v>
      </c>
      <c r="K61" s="52"/>
      <c r="L61" s="17">
        <f>CHOOSE(CONTROL!$C$42, 5.9216, 5.9216) * CHOOSE(CONTROL!$C$21, $C$9, 100%, $E$9)</f>
        <v>5.9215999999999998</v>
      </c>
      <c r="M61" s="17">
        <f>CHOOSE(CONTROL!$C$42, 5.1153, 5.1153) * CHOOSE(CONTROL!$C$21, $C$9, 100%, $E$9)</f>
        <v>5.1153000000000004</v>
      </c>
      <c r="N61" s="17">
        <f>CHOOSE(CONTROL!$C$42, 5.1318, 5.1318) * CHOOSE(CONTROL!$C$21, $C$9, 100%, $E$9)</f>
        <v>5.1318000000000001</v>
      </c>
      <c r="O61" s="17">
        <f>CHOOSE(CONTROL!$C$42, 5.2463, 5.2463) * CHOOSE(CONTROL!$C$21, $C$9, 100%, $E$9)</f>
        <v>5.2462999999999997</v>
      </c>
      <c r="P61" s="17">
        <f>CHOOSE(CONTROL!$C$42, 5.1411, 5.1411) * CHOOSE(CONTROL!$C$21, $C$9, 100%, $E$9)</f>
        <v>5.1410999999999998</v>
      </c>
      <c r="Q61" s="17">
        <f>CHOOSE(CONTROL!$C$42, 5.841, 5.841) * CHOOSE(CONTROL!$C$21, $C$9, 100%, $E$9)</f>
        <v>5.8410000000000002</v>
      </c>
      <c r="R61" s="17">
        <f>CHOOSE(CONTROL!$C$42, 6.4426, 6.4426) * CHOOSE(CONTROL!$C$21, $C$9, 100%, $E$9)</f>
        <v>6.4425999999999997</v>
      </c>
      <c r="S61" s="17">
        <f>CHOOSE(CONTROL!$C$42, 4.9764, 4.9764) * CHOOSE(CONTROL!$C$21, $C$9, 100%, $E$9)</f>
        <v>4.9763999999999999</v>
      </c>
      <c r="T6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61" s="56">
        <f>(1000*CHOOSE(CONTROL!$C$42, 695, 695)*CHOOSE(CONTROL!$C$42, 0.5599, 0.5599)*CHOOSE(CONTROL!$C$42, 31, 31))/1000000</f>
        <v>12.063045499999998</v>
      </c>
      <c r="V61" s="56">
        <f>(1000*CHOOSE(CONTROL!$C$42, 580, 580)*CHOOSE(CONTROL!$C$42, 0.275, 0.275)*CHOOSE(CONTROL!$C$42, 31, 31))/1000000</f>
        <v>4.9444999999999997</v>
      </c>
      <c r="W61" s="56">
        <f>(1000*CHOOSE(CONTROL!$C$42, 0.1146, 0.1146)*CHOOSE(CONTROL!$C$42, 121.5, 121.5)*CHOOSE(CONTROL!$C$42, 31, 31))/1000000</f>
        <v>0.43164089999999994</v>
      </c>
      <c r="X61" s="56">
        <f>(31*0.2374*100000/1000000)</f>
        <v>0.73594000000000004</v>
      </c>
      <c r="Y61" s="56"/>
      <c r="Z61" s="17"/>
      <c r="AA61" s="55"/>
      <c r="AB61" s="48">
        <f>(B61*122.58+C61*297.941+D61*89.177+E61*140.302+F61*40+G61*60+H61*0+I61*100+J61*300)/(122.58+297.941+89.177+140.302+0+40+60+100+300)</f>
        <v>5.2275066606086966</v>
      </c>
      <c r="AC61" s="45">
        <f>(M61*'RAP TEMPLATE-GAS AVAILABILITY'!O60+N61*'RAP TEMPLATE-GAS AVAILABILITY'!P60+O61*'RAP TEMPLATE-GAS AVAILABILITY'!Q60+P61*'RAP TEMPLATE-GAS AVAILABILITY'!R60)/('RAP TEMPLATE-GAS AVAILABILITY'!O60+'RAP TEMPLATE-GAS AVAILABILITY'!P60+'RAP TEMPLATE-GAS AVAILABILITY'!Q60+'RAP TEMPLATE-GAS AVAILABILITY'!R60)</f>
        <v>5.179335971223022</v>
      </c>
    </row>
    <row r="62" spans="1:29" ht="15.75" x14ac:dyDescent="0.25">
      <c r="A62" s="16">
        <v>42767</v>
      </c>
      <c r="B62" s="17">
        <f>CHOOSE(CONTROL!$C$42, 5.2908, 5.2908) * CHOOSE(CONTROL!$C$21, $C$9, 100%, $E$9)</f>
        <v>5.2907999999999999</v>
      </c>
      <c r="C62" s="17">
        <f>CHOOSE(CONTROL!$C$42, 5.2959, 5.2959) * CHOOSE(CONTROL!$C$21, $C$9, 100%, $E$9)</f>
        <v>5.2958999999999996</v>
      </c>
      <c r="D62" s="17">
        <f>CHOOSE(CONTROL!$C$42, 5.4143, 5.4143) * CHOOSE(CONTROL!$C$21, $C$9, 100%, $E$9)</f>
        <v>5.4142999999999999</v>
      </c>
      <c r="E62" s="17">
        <f>CHOOSE(CONTROL!$C$42, 5.4484, 5.4484) * CHOOSE(CONTROL!$C$21, $C$9, 100%, $E$9)</f>
        <v>5.4484000000000004</v>
      </c>
      <c r="F62" s="17">
        <f>CHOOSE(CONTROL!$C$42, 5.3112, 5.3112)*CHOOSE(CONTROL!$C$21, $C$9, 100%, $E$9)</f>
        <v>5.3112000000000004</v>
      </c>
      <c r="G62" s="17">
        <f>CHOOSE(CONTROL!$C$42, 5.328, 5.328)*CHOOSE(CONTROL!$C$21, $C$9, 100%, $E$9)</f>
        <v>5.3280000000000003</v>
      </c>
      <c r="H62" s="17">
        <f>CHOOSE(CONTROL!$C$42, 5.4376, 5.4376) * CHOOSE(CONTROL!$C$21, $C$9, 100%, $E$9)</f>
        <v>5.4375999999999998</v>
      </c>
      <c r="I62" s="17">
        <f>CHOOSE(CONTROL!$C$42, 5.331, 5.331)* CHOOSE(CONTROL!$C$21, $C$9, 100%, $E$9)</f>
        <v>5.3310000000000004</v>
      </c>
      <c r="J62" s="17">
        <f>CHOOSE(CONTROL!$C$42, 5.3042, 5.3042)* CHOOSE(CONTROL!$C$21, $C$9, 100%, $E$9)</f>
        <v>5.3041999999999998</v>
      </c>
      <c r="K62" s="52"/>
      <c r="L62" s="17">
        <f>CHOOSE(CONTROL!$C$42, 6.0246, 6.0246) * CHOOSE(CONTROL!$C$21, $C$9, 100%, $E$9)</f>
        <v>6.0246000000000004</v>
      </c>
      <c r="M62" s="17">
        <f>CHOOSE(CONTROL!$C$42, 5.2165, 5.2165) * CHOOSE(CONTROL!$C$21, $C$9, 100%, $E$9)</f>
        <v>5.2164999999999999</v>
      </c>
      <c r="N62" s="17">
        <f>CHOOSE(CONTROL!$C$42, 5.233, 5.233) * CHOOSE(CONTROL!$C$21, $C$9, 100%, $E$9)</f>
        <v>5.2329999999999997</v>
      </c>
      <c r="O62" s="17">
        <f>CHOOSE(CONTROL!$C$42, 5.3475, 5.3475) * CHOOSE(CONTROL!$C$21, $C$9, 100%, $E$9)</f>
        <v>5.3475000000000001</v>
      </c>
      <c r="P62" s="17">
        <f>CHOOSE(CONTROL!$C$42, 5.2426, 5.2426) * CHOOSE(CONTROL!$C$21, $C$9, 100%, $E$9)</f>
        <v>5.2426000000000004</v>
      </c>
      <c r="Q62" s="17">
        <f>CHOOSE(CONTROL!$C$42, 5.9422, 5.9422) * CHOOSE(CONTROL!$C$21, $C$9, 100%, $E$9)</f>
        <v>5.9421999999999997</v>
      </c>
      <c r="R62" s="17">
        <f>CHOOSE(CONTROL!$C$42, 6.5441, 6.5441) * CHOOSE(CONTROL!$C$21, $C$9, 100%, $E$9)</f>
        <v>6.5441000000000003</v>
      </c>
      <c r="S62" s="17">
        <f>CHOOSE(CONTROL!$C$42, 5.0754, 5.0754) * CHOOSE(CONTROL!$C$21, $C$9, 100%, $E$9)</f>
        <v>5.0754000000000001</v>
      </c>
      <c r="T6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62" s="56">
        <f>(1000*CHOOSE(CONTROL!$C$42, 695, 695)*CHOOSE(CONTROL!$C$42, 0.5599, 0.5599)*CHOOSE(CONTROL!$C$42, 28, 28))/1000000</f>
        <v>10.895653999999999</v>
      </c>
      <c r="V62" s="56">
        <f>(1000*CHOOSE(CONTROL!$C$42, 580, 580)*CHOOSE(CONTROL!$C$42, 0.275, 0.275)*CHOOSE(CONTROL!$C$42, 28, 28))/1000000</f>
        <v>4.4660000000000002</v>
      </c>
      <c r="W62" s="56">
        <f>(1000*CHOOSE(CONTROL!$C$42, 0.1146, 0.1146)*CHOOSE(CONTROL!$C$42, 121.5, 121.5)*CHOOSE(CONTROL!$C$42, 28, 28))/1000000</f>
        <v>0.38986920000000003</v>
      </c>
      <c r="X62" s="56">
        <f>(28*0.2374*100000/1000000)</f>
        <v>0.66471999999999998</v>
      </c>
      <c r="Y62" s="56"/>
      <c r="Z62" s="17"/>
      <c r="AA62" s="55"/>
      <c r="AB62" s="48">
        <f>(B62*122.58+C62*297.941+D62*89.177+E62*140.302+F62*40+G62*60+H62*0+I62*100+J62*300)/(122.58+297.941+89.177+140.302+0+40+60+100+300)</f>
        <v>5.3305673511304343</v>
      </c>
      <c r="AC62" s="45">
        <f>(M62*'RAP TEMPLATE-GAS AVAILABILITY'!O61+N62*'RAP TEMPLATE-GAS AVAILABILITY'!P61+O62*'RAP TEMPLATE-GAS AVAILABILITY'!Q61+P62*'RAP TEMPLATE-GAS AVAILABILITY'!R61)/('RAP TEMPLATE-GAS AVAILABILITY'!O61+'RAP TEMPLATE-GAS AVAILABILITY'!P61+'RAP TEMPLATE-GAS AVAILABILITY'!Q61+'RAP TEMPLATE-GAS AVAILABILITY'!R61)</f>
        <v>5.2805791366906485</v>
      </c>
    </row>
    <row r="63" spans="1:29" ht="15.75" x14ac:dyDescent="0.25">
      <c r="A63" s="16">
        <v>42795</v>
      </c>
      <c r="B63" s="17">
        <f>CHOOSE(CONTROL!$C$42, 5.1514, 5.1514) * CHOOSE(CONTROL!$C$21, $C$9, 100%, $E$9)</f>
        <v>5.1513999999999998</v>
      </c>
      <c r="C63" s="17">
        <f>CHOOSE(CONTROL!$C$42, 5.1565, 5.1565) * CHOOSE(CONTROL!$C$21, $C$9, 100%, $E$9)</f>
        <v>5.1565000000000003</v>
      </c>
      <c r="D63" s="17">
        <f>CHOOSE(CONTROL!$C$42, 5.275, 5.275) * CHOOSE(CONTROL!$C$21, $C$9, 100%, $E$9)</f>
        <v>5.2750000000000004</v>
      </c>
      <c r="E63" s="17">
        <f>CHOOSE(CONTROL!$C$42, 5.3091, 5.3091) * CHOOSE(CONTROL!$C$21, $C$9, 100%, $E$9)</f>
        <v>5.3090999999999999</v>
      </c>
      <c r="F63" s="17">
        <f>CHOOSE(CONTROL!$C$42, 5.1711, 5.1711)*CHOOSE(CONTROL!$C$21, $C$9, 100%, $E$9)</f>
        <v>5.1711</v>
      </c>
      <c r="G63" s="17">
        <f>CHOOSE(CONTROL!$C$42, 5.1878, 5.1878)*CHOOSE(CONTROL!$C$21, $C$9, 100%, $E$9)</f>
        <v>5.1878000000000002</v>
      </c>
      <c r="H63" s="17">
        <f>CHOOSE(CONTROL!$C$42, 5.2983, 5.2983) * CHOOSE(CONTROL!$C$21, $C$9, 100%, $E$9)</f>
        <v>5.2983000000000002</v>
      </c>
      <c r="I63" s="17">
        <f>CHOOSE(CONTROL!$C$42, 5.1912, 5.1912)* CHOOSE(CONTROL!$C$21, $C$9, 100%, $E$9)</f>
        <v>5.1912000000000003</v>
      </c>
      <c r="J63" s="17">
        <f>CHOOSE(CONTROL!$C$42, 5.1641, 5.1641)* CHOOSE(CONTROL!$C$21, $C$9, 100%, $E$9)</f>
        <v>5.1641000000000004</v>
      </c>
      <c r="K63" s="52"/>
      <c r="L63" s="17">
        <f>CHOOSE(CONTROL!$C$42, 5.8853, 5.8853) * CHOOSE(CONTROL!$C$21, $C$9, 100%, $E$9)</f>
        <v>5.8853</v>
      </c>
      <c r="M63" s="17">
        <f>CHOOSE(CONTROL!$C$42, 5.0789, 5.0789) * CHOOSE(CONTROL!$C$21, $C$9, 100%, $E$9)</f>
        <v>5.0789</v>
      </c>
      <c r="N63" s="17">
        <f>CHOOSE(CONTROL!$C$42, 5.0953, 5.0953) * CHOOSE(CONTROL!$C$21, $C$9, 100%, $E$9)</f>
        <v>5.0952999999999999</v>
      </c>
      <c r="O63" s="17">
        <f>CHOOSE(CONTROL!$C$42, 5.2106, 5.2106) * CHOOSE(CONTROL!$C$21, $C$9, 100%, $E$9)</f>
        <v>5.2106000000000003</v>
      </c>
      <c r="P63" s="17">
        <f>CHOOSE(CONTROL!$C$42, 5.1053, 5.1053) * CHOOSE(CONTROL!$C$21, $C$9, 100%, $E$9)</f>
        <v>5.1052999999999997</v>
      </c>
      <c r="Q63" s="17">
        <f>CHOOSE(CONTROL!$C$42, 5.8053, 5.8053) * CHOOSE(CONTROL!$C$21, $C$9, 100%, $E$9)</f>
        <v>5.8052999999999999</v>
      </c>
      <c r="R63" s="17">
        <f>CHOOSE(CONTROL!$C$42, 6.4069, 6.4069) * CHOOSE(CONTROL!$C$21, $C$9, 100%, $E$9)</f>
        <v>6.4069000000000003</v>
      </c>
      <c r="S63" s="17">
        <f>CHOOSE(CONTROL!$C$42, 4.9415, 4.9415) * CHOOSE(CONTROL!$C$21, $C$9, 100%, $E$9)</f>
        <v>4.9414999999999996</v>
      </c>
      <c r="T6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63" s="56">
        <f>(1000*CHOOSE(CONTROL!$C$42, 695, 695)*CHOOSE(CONTROL!$C$42, 0.5599, 0.5599)*CHOOSE(CONTROL!$C$42, 31, 31))/1000000</f>
        <v>12.063045499999998</v>
      </c>
      <c r="V63" s="56">
        <f>(1000*CHOOSE(CONTROL!$C$42, 580, 580)*CHOOSE(CONTROL!$C$42, 0.275, 0.275)*CHOOSE(CONTROL!$C$42, 31, 31))/1000000</f>
        <v>4.9444999999999997</v>
      </c>
      <c r="W63" s="56">
        <f>(1000*CHOOSE(CONTROL!$C$42, 0.1146, 0.1146)*CHOOSE(CONTROL!$C$42, 121.5, 121.5)*CHOOSE(CONTROL!$C$42, 31, 31))/1000000</f>
        <v>0.43164089999999994</v>
      </c>
      <c r="X63" s="56">
        <f>(31*0.2374*100000/1000000)</f>
        <v>0.73594000000000004</v>
      </c>
      <c r="Y63" s="56"/>
      <c r="Z63" s="17"/>
      <c r="AA63" s="55"/>
      <c r="AB63" s="48">
        <f>(B63*122.58+C63*297.941+D63*89.177+E63*140.302+F63*40+G63*60+H63*0+I63*100+J63*300)/(122.58+297.941+89.177+140.302+0+40+60+100+300)</f>
        <v>5.1909038275652168</v>
      </c>
      <c r="AC63" s="45">
        <f>(M63*'RAP TEMPLATE-GAS AVAILABILITY'!O62+N63*'RAP TEMPLATE-GAS AVAILABILITY'!P62+O63*'RAP TEMPLATE-GAS AVAILABILITY'!Q62+P63*'RAP TEMPLATE-GAS AVAILABILITY'!R62)/('RAP TEMPLATE-GAS AVAILABILITY'!O62+'RAP TEMPLATE-GAS AVAILABILITY'!P62+'RAP TEMPLATE-GAS AVAILABILITY'!Q62+'RAP TEMPLATE-GAS AVAILABILITY'!R62)</f>
        <v>5.1433338129496402</v>
      </c>
    </row>
    <row r="64" spans="1:29" ht="15.75" x14ac:dyDescent="0.25">
      <c r="A64" s="16">
        <v>42826</v>
      </c>
      <c r="B64" s="17">
        <f>CHOOSE(CONTROL!$C$42, 5.1476, 5.1476) * CHOOSE(CONTROL!$C$21, $C$9, 100%, $E$9)</f>
        <v>5.1475999999999997</v>
      </c>
      <c r="C64" s="17">
        <f>CHOOSE(CONTROL!$C$42, 5.1521, 5.1521) * CHOOSE(CONTROL!$C$21, $C$9, 100%, $E$9)</f>
        <v>5.1520999999999999</v>
      </c>
      <c r="D64" s="17">
        <f>CHOOSE(CONTROL!$C$42, 5.4263, 5.4263) * CHOOSE(CONTROL!$C$21, $C$9, 100%, $E$9)</f>
        <v>5.4263000000000003</v>
      </c>
      <c r="E64" s="17">
        <f>CHOOSE(CONTROL!$C$42, 5.4584, 5.4584) * CHOOSE(CONTROL!$C$21, $C$9, 100%, $E$9)</f>
        <v>5.4584000000000001</v>
      </c>
      <c r="F64" s="17">
        <f>CHOOSE(CONTROL!$C$42, 5.1669, 5.1669)*CHOOSE(CONTROL!$C$21, $C$9, 100%, $E$9)</f>
        <v>5.1669</v>
      </c>
      <c r="G64" s="17">
        <f>CHOOSE(CONTROL!$C$42, 5.1833, 5.1833)*CHOOSE(CONTROL!$C$21, $C$9, 100%, $E$9)</f>
        <v>5.1833</v>
      </c>
      <c r="H64" s="17">
        <f>CHOOSE(CONTROL!$C$42, 5.4482, 5.4482) * CHOOSE(CONTROL!$C$21, $C$9, 100%, $E$9)</f>
        <v>5.4481999999999999</v>
      </c>
      <c r="I64" s="17">
        <f>CHOOSE(CONTROL!$C$42, 5.185, 5.185)* CHOOSE(CONTROL!$C$21, $C$9, 100%, $E$9)</f>
        <v>5.1849999999999996</v>
      </c>
      <c r="J64" s="17">
        <f>CHOOSE(CONTROL!$C$42, 5.1599, 5.1599)* CHOOSE(CONTROL!$C$21, $C$9, 100%, $E$9)</f>
        <v>5.1599000000000004</v>
      </c>
      <c r="K64" s="52"/>
      <c r="L64" s="17">
        <f>CHOOSE(CONTROL!$C$42, 6.0352, 6.0352) * CHOOSE(CONTROL!$C$21, $C$9, 100%, $E$9)</f>
        <v>6.0351999999999997</v>
      </c>
      <c r="M64" s="17">
        <f>CHOOSE(CONTROL!$C$42, 5.0748, 5.0748) * CHOOSE(CONTROL!$C$21, $C$9, 100%, $E$9)</f>
        <v>5.0747999999999998</v>
      </c>
      <c r="N64" s="17">
        <f>CHOOSE(CONTROL!$C$42, 5.0909, 5.0909) * CHOOSE(CONTROL!$C$21, $C$9, 100%, $E$9)</f>
        <v>5.0909000000000004</v>
      </c>
      <c r="O64" s="17">
        <f>CHOOSE(CONTROL!$C$42, 5.3579, 5.3579) * CHOOSE(CONTROL!$C$21, $C$9, 100%, $E$9)</f>
        <v>5.3578999999999999</v>
      </c>
      <c r="P64" s="17">
        <f>CHOOSE(CONTROL!$C$42, 5.0992, 5.0992) * CHOOSE(CONTROL!$C$21, $C$9, 100%, $E$9)</f>
        <v>5.0991999999999997</v>
      </c>
      <c r="Q64" s="17">
        <f>CHOOSE(CONTROL!$C$42, 5.9526, 5.9526) * CHOOSE(CONTROL!$C$21, $C$9, 100%, $E$9)</f>
        <v>5.9526000000000003</v>
      </c>
      <c r="R64" s="17">
        <f>CHOOSE(CONTROL!$C$42, 6.5545, 6.5545) * CHOOSE(CONTROL!$C$21, $C$9, 100%, $E$9)</f>
        <v>6.5545</v>
      </c>
      <c r="S64" s="17">
        <f>CHOOSE(CONTROL!$C$42, 4.937, 4.937) * CHOOSE(CONTROL!$C$21, $C$9, 100%, $E$9)</f>
        <v>4.9370000000000003</v>
      </c>
      <c r="T6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64" s="56">
        <f>(1000*CHOOSE(CONTROL!$C$42, 695, 695)*CHOOSE(CONTROL!$C$42, 0.5599, 0.5599)*CHOOSE(CONTROL!$C$42, 30, 30))/1000000</f>
        <v>11.673914999999997</v>
      </c>
      <c r="V64" s="56">
        <f>(1000*CHOOSE(CONTROL!$C$42, 580, 580)*CHOOSE(CONTROL!$C$42, 0.275, 0.275)*CHOOSE(CONTROL!$C$42, 30, 30))/1000000</f>
        <v>4.7850000000000001</v>
      </c>
      <c r="W64" s="56">
        <f>(1000*CHOOSE(CONTROL!$C$42, 0.1146, 0.1146)*CHOOSE(CONTROL!$C$42, 121.5, 121.5)*CHOOSE(CONTROL!$C$42, 30, 30))/1000000</f>
        <v>0.417717</v>
      </c>
      <c r="X64" s="56">
        <f>(30*0.1790888*145000/1000000)+(30*0.2374*100000/1000000)</f>
        <v>1.4912362799999999</v>
      </c>
      <c r="Y64" s="56"/>
      <c r="Z64" s="17"/>
      <c r="AA64" s="55"/>
      <c r="AB64" s="48">
        <f>(B64*141.293+C64*267.993+D64*115.016+E64*189.698+F64*40+G64*85+H64*0+I64*100+J64*300)/(141.293+267.993+115.016+189.698+0+40+85+100+300)</f>
        <v>5.2310992462469734</v>
      </c>
      <c r="AC64" s="45">
        <f>(M64*'RAP TEMPLATE-GAS AVAILABILITY'!O63+N64*'RAP TEMPLATE-GAS AVAILABILITY'!P63+O64*'RAP TEMPLATE-GAS AVAILABILITY'!Q63+P64*'RAP TEMPLATE-GAS AVAILABILITY'!R63)/('RAP TEMPLATE-GAS AVAILABILITY'!O63+'RAP TEMPLATE-GAS AVAILABILITY'!P63+'RAP TEMPLATE-GAS AVAILABILITY'!Q63+'RAP TEMPLATE-GAS AVAILABILITY'!R63)</f>
        <v>5.1614482014388496</v>
      </c>
    </row>
    <row r="65" spans="1:29" ht="15.75" x14ac:dyDescent="0.25">
      <c r="A65" s="16">
        <v>42856</v>
      </c>
      <c r="B65" s="17">
        <f>CHOOSE(CONTROL!$C$42, 5.205, 5.205) * CHOOSE(CONTROL!$C$21, $C$9, 100%, $E$9)</f>
        <v>5.2050000000000001</v>
      </c>
      <c r="C65" s="17">
        <f>CHOOSE(CONTROL!$C$42, 5.2131, 5.2131) * CHOOSE(CONTROL!$C$21, $C$9, 100%, $E$9)</f>
        <v>5.2130999999999998</v>
      </c>
      <c r="D65" s="17">
        <f>CHOOSE(CONTROL!$C$42, 5.4841, 5.4841) * CHOOSE(CONTROL!$C$21, $C$9, 100%, $E$9)</f>
        <v>5.4840999999999998</v>
      </c>
      <c r="E65" s="17">
        <f>CHOOSE(CONTROL!$C$42, 5.5156, 5.5156) * CHOOSE(CONTROL!$C$21, $C$9, 100%, $E$9)</f>
        <v>5.5156000000000001</v>
      </c>
      <c r="F65" s="17">
        <f>CHOOSE(CONTROL!$C$42, 5.2232, 5.2232)*CHOOSE(CONTROL!$C$21, $C$9, 100%, $E$9)</f>
        <v>5.2232000000000003</v>
      </c>
      <c r="G65" s="17">
        <f>CHOOSE(CONTROL!$C$42, 5.2398, 5.2398)*CHOOSE(CONTROL!$C$21, $C$9, 100%, $E$9)</f>
        <v>5.2397999999999998</v>
      </c>
      <c r="H65" s="17">
        <f>CHOOSE(CONTROL!$C$42, 5.5042, 5.5042) * CHOOSE(CONTROL!$C$21, $C$9, 100%, $E$9)</f>
        <v>5.5042</v>
      </c>
      <c r="I65" s="17">
        <f>CHOOSE(CONTROL!$C$42, 5.2412, 5.2412)* CHOOSE(CONTROL!$C$21, $C$9, 100%, $E$9)</f>
        <v>5.2412000000000001</v>
      </c>
      <c r="J65" s="17">
        <f>CHOOSE(CONTROL!$C$42, 5.2162, 5.2162)* CHOOSE(CONTROL!$C$21, $C$9, 100%, $E$9)</f>
        <v>5.2161999999999997</v>
      </c>
      <c r="K65" s="52">
        <f>CHOOSE(CONTROL!$C$42, 5.237, 5.237) * CHOOSE(CONTROL!$C$21, $C$9, 100%, $E$9)</f>
        <v>5.2370000000000001</v>
      </c>
      <c r="L65" s="17">
        <f>CHOOSE(CONTROL!$C$42, 6.0912, 6.0912) * CHOOSE(CONTROL!$C$21, $C$9, 100%, $E$9)</f>
        <v>6.0911999999999997</v>
      </c>
      <c r="M65" s="17">
        <f>CHOOSE(CONTROL!$C$42, 5.1301, 5.1301) * CHOOSE(CONTROL!$C$21, $C$9, 100%, $E$9)</f>
        <v>5.1300999999999997</v>
      </c>
      <c r="N65" s="17">
        <f>CHOOSE(CONTROL!$C$42, 5.1464, 5.1464) * CHOOSE(CONTROL!$C$21, $C$9, 100%, $E$9)</f>
        <v>5.1463999999999999</v>
      </c>
      <c r="O65" s="17">
        <f>CHOOSE(CONTROL!$C$42, 5.4129, 5.4129) * CHOOSE(CONTROL!$C$21, $C$9, 100%, $E$9)</f>
        <v>5.4128999999999996</v>
      </c>
      <c r="P65" s="17">
        <f>CHOOSE(CONTROL!$C$42, 5.1544, 5.1544) * CHOOSE(CONTROL!$C$21, $C$9, 100%, $E$9)</f>
        <v>5.1543999999999999</v>
      </c>
      <c r="Q65" s="17">
        <f>CHOOSE(CONTROL!$C$42, 6.0076, 6.0076) * CHOOSE(CONTROL!$C$21, $C$9, 100%, $E$9)</f>
        <v>6.0076000000000001</v>
      </c>
      <c r="R65" s="17">
        <f>CHOOSE(CONTROL!$C$42, 6.6096, 6.6096) * CHOOSE(CONTROL!$C$21, $C$9, 100%, $E$9)</f>
        <v>6.6096000000000004</v>
      </c>
      <c r="S65" s="17">
        <f>CHOOSE(CONTROL!$C$42, 4.9909, 4.9909) * CHOOSE(CONTROL!$C$21, $C$9, 100%, $E$9)</f>
        <v>4.9908999999999999</v>
      </c>
      <c r="T6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65" s="56">
        <f>(1000*CHOOSE(CONTROL!$C$42, 695, 695)*CHOOSE(CONTROL!$C$42, 0.5599, 0.5599)*CHOOSE(CONTROL!$C$42, 31, 31))/1000000</f>
        <v>12.063045499999998</v>
      </c>
      <c r="V65" s="56">
        <f>(1000*CHOOSE(CONTROL!$C$42, 580, 580)*CHOOSE(CONTROL!$C$42, 0.275, 0.275)*CHOOSE(CONTROL!$C$42, 31, 31))/1000000</f>
        <v>4.9444999999999997</v>
      </c>
      <c r="W65" s="56">
        <f>(1000*CHOOSE(CONTROL!$C$42, 0.1146, 0.1146)*CHOOSE(CONTROL!$C$42, 121.5, 121.5)*CHOOSE(CONTROL!$C$42, 31, 31))/1000000</f>
        <v>0.43164089999999994</v>
      </c>
      <c r="X65" s="56">
        <f>(31*0.1790888*145000/1000000)+(31*0.2374*100000/1000000)</f>
        <v>1.5409441560000001</v>
      </c>
      <c r="Y65" s="56"/>
      <c r="Z65" s="17"/>
      <c r="AA65" s="55"/>
      <c r="AB65" s="48">
        <f>(B65*194.205+C65*267.466+D65*133.845+E65*153.484+F65*40+G65*85+H65*0+I65*100+J65*300)/(194.205+267.466+133.845+153.484+0+40+85+100+300)</f>
        <v>5.2818137711930921</v>
      </c>
      <c r="AC65" s="45">
        <f>(M65*'RAP TEMPLATE-GAS AVAILABILITY'!O64+N65*'RAP TEMPLATE-GAS AVAILABILITY'!P64+O65*'RAP TEMPLATE-GAS AVAILABILITY'!Q64+P65*'RAP TEMPLATE-GAS AVAILABILITY'!R64)/('RAP TEMPLATE-GAS AVAILABILITY'!O64+'RAP TEMPLATE-GAS AVAILABILITY'!P64+'RAP TEMPLATE-GAS AVAILABILITY'!Q64+'RAP TEMPLATE-GAS AVAILABILITY'!R64)</f>
        <v>5.2166956834532376</v>
      </c>
    </row>
    <row r="66" spans="1:29" ht="15.75" x14ac:dyDescent="0.25">
      <c r="A66" s="16">
        <v>42887</v>
      </c>
      <c r="B66" s="17">
        <f>CHOOSE(CONTROL!$C$42, 5.3633, 5.3633) * CHOOSE(CONTROL!$C$21, $C$9, 100%, $E$9)</f>
        <v>5.3632999999999997</v>
      </c>
      <c r="C66" s="17">
        <f>CHOOSE(CONTROL!$C$42, 5.3714, 5.3714) * CHOOSE(CONTROL!$C$21, $C$9, 100%, $E$9)</f>
        <v>5.3714000000000004</v>
      </c>
      <c r="D66" s="17">
        <f>CHOOSE(CONTROL!$C$42, 5.6424, 5.6424) * CHOOSE(CONTROL!$C$21, $C$9, 100%, $E$9)</f>
        <v>5.6424000000000003</v>
      </c>
      <c r="E66" s="17">
        <f>CHOOSE(CONTROL!$C$42, 5.6739, 5.6739) * CHOOSE(CONTROL!$C$21, $C$9, 100%, $E$9)</f>
        <v>5.6738999999999997</v>
      </c>
      <c r="F66" s="17">
        <f>CHOOSE(CONTROL!$C$42, 5.3818, 5.3818)*CHOOSE(CONTROL!$C$21, $C$9, 100%, $E$9)</f>
        <v>5.3818000000000001</v>
      </c>
      <c r="G66" s="17">
        <f>CHOOSE(CONTROL!$C$42, 5.3985, 5.3985)*CHOOSE(CONTROL!$C$21, $C$9, 100%, $E$9)</f>
        <v>5.3985000000000003</v>
      </c>
      <c r="H66" s="17">
        <f>CHOOSE(CONTROL!$C$42, 5.6625, 5.6625) * CHOOSE(CONTROL!$C$21, $C$9, 100%, $E$9)</f>
        <v>5.6624999999999996</v>
      </c>
      <c r="I66" s="17">
        <f>CHOOSE(CONTROL!$C$42, 5.4, 5.4)* CHOOSE(CONTROL!$C$21, $C$9, 100%, $E$9)</f>
        <v>5.4</v>
      </c>
      <c r="J66" s="17">
        <f>CHOOSE(CONTROL!$C$42, 5.3748, 5.3748)* CHOOSE(CONTROL!$C$21, $C$9, 100%, $E$9)</f>
        <v>5.3747999999999996</v>
      </c>
      <c r="K66" s="52">
        <f>CHOOSE(CONTROL!$C$42, 5.3958, 5.3958) * CHOOSE(CONTROL!$C$21, $C$9, 100%, $E$9)</f>
        <v>5.3958000000000004</v>
      </c>
      <c r="L66" s="17">
        <f>CHOOSE(CONTROL!$C$42, 6.2495, 6.2495) * CHOOSE(CONTROL!$C$21, $C$9, 100%, $E$9)</f>
        <v>6.2495000000000003</v>
      </c>
      <c r="M66" s="17">
        <f>CHOOSE(CONTROL!$C$42, 5.2858, 5.2858) * CHOOSE(CONTROL!$C$21, $C$9, 100%, $E$9)</f>
        <v>5.2858000000000001</v>
      </c>
      <c r="N66" s="17">
        <f>CHOOSE(CONTROL!$C$42, 5.3022, 5.3022) * CHOOSE(CONTROL!$C$21, $C$9, 100%, $E$9)</f>
        <v>5.3022</v>
      </c>
      <c r="O66" s="17">
        <f>CHOOSE(CONTROL!$C$42, 5.5684, 5.5684) * CHOOSE(CONTROL!$C$21, $C$9, 100%, $E$9)</f>
        <v>5.5683999999999996</v>
      </c>
      <c r="P66" s="17">
        <f>CHOOSE(CONTROL!$C$42, 5.3103, 5.3103) * CHOOSE(CONTROL!$C$21, $C$9, 100%, $E$9)</f>
        <v>5.3102999999999998</v>
      </c>
      <c r="Q66" s="17">
        <f>CHOOSE(CONTROL!$C$42, 6.1631, 6.1631) * CHOOSE(CONTROL!$C$21, $C$9, 100%, $E$9)</f>
        <v>6.1631</v>
      </c>
      <c r="R66" s="17">
        <f>CHOOSE(CONTROL!$C$42, 6.7655, 6.7655) * CHOOSE(CONTROL!$C$21, $C$9, 100%, $E$9)</f>
        <v>6.7655000000000003</v>
      </c>
      <c r="S66" s="17">
        <f>CHOOSE(CONTROL!$C$42, 5.143, 5.143) * CHOOSE(CONTROL!$C$21, $C$9, 100%, $E$9)</f>
        <v>5.1429999999999998</v>
      </c>
      <c r="T6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66" s="56">
        <f>(1000*CHOOSE(CONTROL!$C$42, 695, 695)*CHOOSE(CONTROL!$C$42, 0.5599, 0.5599)*CHOOSE(CONTROL!$C$42, 30, 30))/1000000</f>
        <v>11.673914999999997</v>
      </c>
      <c r="V66" s="56">
        <f>(1000*CHOOSE(CONTROL!$C$42, 580, 580)*CHOOSE(CONTROL!$C$42, 0.275, 0.275)*CHOOSE(CONTROL!$C$42, 30, 30))/1000000</f>
        <v>4.7850000000000001</v>
      </c>
      <c r="W66" s="56">
        <f>(1000*CHOOSE(CONTROL!$C$42, 0.1146, 0.1146)*CHOOSE(CONTROL!$C$42, 121.5, 121.5)*CHOOSE(CONTROL!$C$42, 30, 30))/1000000</f>
        <v>0.417717</v>
      </c>
      <c r="X66" s="56">
        <f>(30*0.1790888*145000/1000000)+(30*0.2374*100000/1000000)</f>
        <v>1.4912362799999999</v>
      </c>
      <c r="Y66" s="56"/>
      <c r="Z66" s="17"/>
      <c r="AA66" s="55"/>
      <c r="AB66" s="48">
        <f>(B66*194.205+C66*267.466+D66*133.845+E66*153.484+F66*40+G66*85+H66*0+I66*100+J66*300)/(194.205+267.466+133.845+153.484+0+40+85+100+300)</f>
        <v>5.4402597680533749</v>
      </c>
      <c r="AC66" s="45">
        <f>(M66*'RAP TEMPLATE-GAS AVAILABILITY'!O65+N66*'RAP TEMPLATE-GAS AVAILABILITY'!P65+O66*'RAP TEMPLATE-GAS AVAILABILITY'!Q65+P66*'RAP TEMPLATE-GAS AVAILABILITY'!R65)/('RAP TEMPLATE-GAS AVAILABILITY'!O65+'RAP TEMPLATE-GAS AVAILABILITY'!P65+'RAP TEMPLATE-GAS AVAILABILITY'!Q65+'RAP TEMPLATE-GAS AVAILABILITY'!R65)</f>
        <v>5.3723913669064745</v>
      </c>
    </row>
    <row r="67" spans="1:29" ht="15.75" x14ac:dyDescent="0.25">
      <c r="A67" s="16">
        <v>42917</v>
      </c>
      <c r="B67" s="17">
        <f>CHOOSE(CONTROL!$C$42, 5.2715, 5.2715) * CHOOSE(CONTROL!$C$21, $C$9, 100%, $E$9)</f>
        <v>5.2714999999999996</v>
      </c>
      <c r="C67" s="17">
        <f>CHOOSE(CONTROL!$C$42, 5.2795, 5.2795) * CHOOSE(CONTROL!$C$21, $C$9, 100%, $E$9)</f>
        <v>5.2794999999999996</v>
      </c>
      <c r="D67" s="17">
        <f>CHOOSE(CONTROL!$C$42, 5.5506, 5.5506) * CHOOSE(CONTROL!$C$21, $C$9, 100%, $E$9)</f>
        <v>5.5506000000000002</v>
      </c>
      <c r="E67" s="17">
        <f>CHOOSE(CONTROL!$C$42, 5.582, 5.582) * CHOOSE(CONTROL!$C$21, $C$9, 100%, $E$9)</f>
        <v>5.5819999999999999</v>
      </c>
      <c r="F67" s="17">
        <f>CHOOSE(CONTROL!$C$42, 5.2903, 5.2903)*CHOOSE(CONTROL!$C$21, $C$9, 100%, $E$9)</f>
        <v>5.2903000000000002</v>
      </c>
      <c r="G67" s="17">
        <f>CHOOSE(CONTROL!$C$42, 5.3072, 5.3072)*CHOOSE(CONTROL!$C$21, $C$9, 100%, $E$9)</f>
        <v>5.3071999999999999</v>
      </c>
      <c r="H67" s="17">
        <f>CHOOSE(CONTROL!$C$42, 5.5707, 5.5707) * CHOOSE(CONTROL!$C$21, $C$9, 100%, $E$9)</f>
        <v>5.5707000000000004</v>
      </c>
      <c r="I67" s="17">
        <f>CHOOSE(CONTROL!$C$42, 5.3079, 5.3079)* CHOOSE(CONTROL!$C$21, $C$9, 100%, $E$9)</f>
        <v>5.3079000000000001</v>
      </c>
      <c r="J67" s="17">
        <f>CHOOSE(CONTROL!$C$42, 5.2833, 5.2833)* CHOOSE(CONTROL!$C$21, $C$9, 100%, $E$9)</f>
        <v>5.2832999999999997</v>
      </c>
      <c r="K67" s="52">
        <f>CHOOSE(CONTROL!$C$42, 5.3036, 5.3036) * CHOOSE(CONTROL!$C$21, $C$9, 100%, $E$9)</f>
        <v>5.3036000000000003</v>
      </c>
      <c r="L67" s="17">
        <f>CHOOSE(CONTROL!$C$42, 6.1577, 6.1577) * CHOOSE(CONTROL!$C$21, $C$9, 100%, $E$9)</f>
        <v>6.1577000000000002</v>
      </c>
      <c r="M67" s="17">
        <f>CHOOSE(CONTROL!$C$42, 5.196, 5.196) * CHOOSE(CONTROL!$C$21, $C$9, 100%, $E$9)</f>
        <v>5.1959999999999997</v>
      </c>
      <c r="N67" s="17">
        <f>CHOOSE(CONTROL!$C$42, 5.2125, 5.2125) * CHOOSE(CONTROL!$C$21, $C$9, 100%, $E$9)</f>
        <v>5.2125000000000004</v>
      </c>
      <c r="O67" s="17">
        <f>CHOOSE(CONTROL!$C$42, 5.4782, 5.4782) * CHOOSE(CONTROL!$C$21, $C$9, 100%, $E$9)</f>
        <v>5.4782000000000002</v>
      </c>
      <c r="P67" s="17">
        <f>CHOOSE(CONTROL!$C$42, 5.2199, 5.2199) * CHOOSE(CONTROL!$C$21, $C$9, 100%, $E$9)</f>
        <v>5.2199</v>
      </c>
      <c r="Q67" s="17">
        <f>CHOOSE(CONTROL!$C$42, 6.0729, 6.0729) * CHOOSE(CONTROL!$C$21, $C$9, 100%, $E$9)</f>
        <v>6.0728999999999997</v>
      </c>
      <c r="R67" s="17">
        <f>CHOOSE(CONTROL!$C$42, 6.675, 6.675) * CHOOSE(CONTROL!$C$21, $C$9, 100%, $E$9)</f>
        <v>6.6749999999999998</v>
      </c>
      <c r="S67" s="17">
        <f>CHOOSE(CONTROL!$C$42, 5.0547, 5.0547) * CHOOSE(CONTROL!$C$21, $C$9, 100%, $E$9)</f>
        <v>5.0547000000000004</v>
      </c>
      <c r="T6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67" s="56">
        <f>(1000*CHOOSE(CONTROL!$C$42, 695, 695)*CHOOSE(CONTROL!$C$42, 0.5599, 0.5599)*CHOOSE(CONTROL!$C$42, 31, 31))/1000000</f>
        <v>12.063045499999998</v>
      </c>
      <c r="V67" s="56">
        <f>(1000*CHOOSE(CONTROL!$C$42, 580, 580)*CHOOSE(CONTROL!$C$42, 0.275, 0.275)*CHOOSE(CONTROL!$C$42, 31, 31))/1000000</f>
        <v>4.9444999999999997</v>
      </c>
      <c r="W67" s="56">
        <f>(1000*CHOOSE(CONTROL!$C$42, 0.1146, 0.1146)*CHOOSE(CONTROL!$C$42, 121.5, 121.5)*CHOOSE(CONTROL!$C$42, 31, 31))/1000000</f>
        <v>0.43164089999999994</v>
      </c>
      <c r="X67" s="56">
        <f>(31*0.1790888*145000/1000000)+(31*0.2374*100000/1000000)</f>
        <v>1.5409441560000001</v>
      </c>
      <c r="Y67" s="56"/>
      <c r="Z67" s="17"/>
      <c r="AA67" s="55"/>
      <c r="AB67" s="48">
        <f>(B67*194.205+C67*267.466+D67*133.845+E67*153.484+F67*40+G67*85+H67*0+I67*100+J67*300)/(194.205+267.466+133.845+153.484+0+40+85+100+300)</f>
        <v>5.3485166008634222</v>
      </c>
      <c r="AC67" s="45">
        <f>(M67*'RAP TEMPLATE-GAS AVAILABILITY'!O66+N67*'RAP TEMPLATE-GAS AVAILABILITY'!P66+O67*'RAP TEMPLATE-GAS AVAILABILITY'!Q66+P67*'RAP TEMPLATE-GAS AVAILABILITY'!R66)/('RAP TEMPLATE-GAS AVAILABILITY'!O66+'RAP TEMPLATE-GAS AVAILABILITY'!P66+'RAP TEMPLATE-GAS AVAILABILITY'!Q66+'RAP TEMPLATE-GAS AVAILABILITY'!R66)</f>
        <v>5.282415827338129</v>
      </c>
    </row>
    <row r="68" spans="1:29" ht="15.75" x14ac:dyDescent="0.25">
      <c r="A68" s="16">
        <v>42948</v>
      </c>
      <c r="B68" s="17">
        <f>CHOOSE(CONTROL!$C$42, 5.022, 5.022) * CHOOSE(CONTROL!$C$21, $C$9, 100%, $E$9)</f>
        <v>5.0220000000000002</v>
      </c>
      <c r="C68" s="17">
        <f>CHOOSE(CONTROL!$C$42, 5.03, 5.03) * CHOOSE(CONTROL!$C$21, $C$9, 100%, $E$9)</f>
        <v>5.03</v>
      </c>
      <c r="D68" s="17">
        <f>CHOOSE(CONTROL!$C$42, 5.3011, 5.3011) * CHOOSE(CONTROL!$C$21, $C$9, 100%, $E$9)</f>
        <v>5.3010999999999999</v>
      </c>
      <c r="E68" s="17">
        <f>CHOOSE(CONTROL!$C$42, 5.3325, 5.3325) * CHOOSE(CONTROL!$C$21, $C$9, 100%, $E$9)</f>
        <v>5.3324999999999996</v>
      </c>
      <c r="F68" s="17">
        <f>CHOOSE(CONTROL!$C$42, 5.0411, 5.0411)*CHOOSE(CONTROL!$C$21, $C$9, 100%, $E$9)</f>
        <v>5.0411000000000001</v>
      </c>
      <c r="G68" s="17">
        <f>CHOOSE(CONTROL!$C$42, 5.058, 5.058)*CHOOSE(CONTROL!$C$21, $C$9, 100%, $E$9)</f>
        <v>5.0579999999999998</v>
      </c>
      <c r="H68" s="17">
        <f>CHOOSE(CONTROL!$C$42, 5.3212, 5.3212) * CHOOSE(CONTROL!$C$21, $C$9, 100%, $E$9)</f>
        <v>5.3212000000000002</v>
      </c>
      <c r="I68" s="17">
        <f>CHOOSE(CONTROL!$C$42, 5.0576, 5.0576)* CHOOSE(CONTROL!$C$21, $C$9, 100%, $E$9)</f>
        <v>5.0575999999999999</v>
      </c>
      <c r="J68" s="17">
        <f>CHOOSE(CONTROL!$C$42, 5.0341, 5.0341)* CHOOSE(CONTROL!$C$21, $C$9, 100%, $E$9)</f>
        <v>5.0340999999999996</v>
      </c>
      <c r="K68" s="52">
        <f>CHOOSE(CONTROL!$C$42, 5.0534, 5.0534) * CHOOSE(CONTROL!$C$21, $C$9, 100%, $E$9)</f>
        <v>5.0533999999999999</v>
      </c>
      <c r="L68" s="17">
        <f>CHOOSE(CONTROL!$C$42, 5.9082, 5.9082) * CHOOSE(CONTROL!$C$21, $C$9, 100%, $E$9)</f>
        <v>5.9081999999999999</v>
      </c>
      <c r="M68" s="17">
        <f>CHOOSE(CONTROL!$C$42, 4.9513, 4.9513) * CHOOSE(CONTROL!$C$21, $C$9, 100%, $E$9)</f>
        <v>4.9512999999999998</v>
      </c>
      <c r="N68" s="17">
        <f>CHOOSE(CONTROL!$C$42, 4.9678, 4.9678) * CHOOSE(CONTROL!$C$21, $C$9, 100%, $E$9)</f>
        <v>4.9678000000000004</v>
      </c>
      <c r="O68" s="17">
        <f>CHOOSE(CONTROL!$C$42, 5.2331, 5.2331) * CHOOSE(CONTROL!$C$21, $C$9, 100%, $E$9)</f>
        <v>5.2331000000000003</v>
      </c>
      <c r="P68" s="17">
        <f>CHOOSE(CONTROL!$C$42, 4.9741, 4.9741) * CHOOSE(CONTROL!$C$21, $C$9, 100%, $E$9)</f>
        <v>4.9741</v>
      </c>
      <c r="Q68" s="17">
        <f>CHOOSE(CONTROL!$C$42, 5.8278, 5.8278) * CHOOSE(CONTROL!$C$21, $C$9, 100%, $E$9)</f>
        <v>5.8277999999999999</v>
      </c>
      <c r="R68" s="17">
        <f>CHOOSE(CONTROL!$C$42, 6.4294, 6.4294) * CHOOSE(CONTROL!$C$21, $C$9, 100%, $E$9)</f>
        <v>6.4294000000000002</v>
      </c>
      <c r="S68" s="17">
        <f>CHOOSE(CONTROL!$C$42, 4.815, 4.815) * CHOOSE(CONTROL!$C$21, $C$9, 100%, $E$9)</f>
        <v>4.8150000000000004</v>
      </c>
      <c r="T6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68" s="56">
        <f>(1000*CHOOSE(CONTROL!$C$42, 695, 695)*CHOOSE(CONTROL!$C$42, 0.5599, 0.5599)*CHOOSE(CONTROL!$C$42, 31, 31))/1000000</f>
        <v>12.063045499999998</v>
      </c>
      <c r="V68" s="56">
        <f>(1000*CHOOSE(CONTROL!$C$42, 580, 580)*CHOOSE(CONTROL!$C$42, 0.275, 0.275)*CHOOSE(CONTROL!$C$42, 31, 31))/1000000</f>
        <v>4.9444999999999997</v>
      </c>
      <c r="W68" s="56">
        <f>(1000*CHOOSE(CONTROL!$C$42, 0.1146, 0.1146)*CHOOSE(CONTROL!$C$42, 121.5, 121.5)*CHOOSE(CONTROL!$C$42, 31, 31))/1000000</f>
        <v>0.43164089999999994</v>
      </c>
      <c r="X68" s="56">
        <f>(31*0.1790888*145000/1000000)+(31*0.2374*100000/1000000)</f>
        <v>1.5409441560000001</v>
      </c>
      <c r="Y68" s="56"/>
      <c r="Z68" s="17"/>
      <c r="AA68" s="55"/>
      <c r="AB68" s="48">
        <f>(B68*194.205+C68*267.466+D68*133.845+E68*153.484+F68*40+G68*85+H68*0+I68*100+J68*300)/(194.205+267.466+133.845+153.484+0+40+85+100+300)</f>
        <v>5.0990538850078497</v>
      </c>
      <c r="AC68" s="45">
        <f>(M68*'RAP TEMPLATE-GAS AVAILABILITY'!O67+N68*'RAP TEMPLATE-GAS AVAILABILITY'!P67+O68*'RAP TEMPLATE-GAS AVAILABILITY'!Q67+P68*'RAP TEMPLATE-GAS AVAILABILITY'!R67)/('RAP TEMPLATE-GAS AVAILABILITY'!O67+'RAP TEMPLATE-GAS AVAILABILITY'!P67+'RAP TEMPLATE-GAS AVAILABILITY'!Q67+'RAP TEMPLATE-GAS AVAILABILITY'!R67)</f>
        <v>5.0374453237410064</v>
      </c>
    </row>
    <row r="69" spans="1:29" ht="15.75" x14ac:dyDescent="0.25">
      <c r="A69" s="16">
        <v>42979</v>
      </c>
      <c r="B69" s="17">
        <f>CHOOSE(CONTROL!$C$42, 4.7133, 4.7133) * CHOOSE(CONTROL!$C$21, $C$9, 100%, $E$9)</f>
        <v>4.7133000000000003</v>
      </c>
      <c r="C69" s="17">
        <f>CHOOSE(CONTROL!$C$42, 4.7214, 4.7214) * CHOOSE(CONTROL!$C$21, $C$9, 100%, $E$9)</f>
        <v>4.7214</v>
      </c>
      <c r="D69" s="17">
        <f>CHOOSE(CONTROL!$C$42, 4.9924, 4.9924) * CHOOSE(CONTROL!$C$21, $C$9, 100%, $E$9)</f>
        <v>4.9923999999999999</v>
      </c>
      <c r="E69" s="17">
        <f>CHOOSE(CONTROL!$C$42, 5.0239, 5.0239) * CHOOSE(CONTROL!$C$21, $C$9, 100%, $E$9)</f>
        <v>5.0239000000000003</v>
      </c>
      <c r="F69" s="17">
        <f>CHOOSE(CONTROL!$C$42, 4.7325, 4.7325)*CHOOSE(CONTROL!$C$21, $C$9, 100%, $E$9)</f>
        <v>4.7324999999999999</v>
      </c>
      <c r="G69" s="17">
        <f>CHOOSE(CONTROL!$C$42, 4.7494, 4.7494)*CHOOSE(CONTROL!$C$21, $C$9, 100%, $E$9)</f>
        <v>4.7493999999999996</v>
      </c>
      <c r="H69" s="17">
        <f>CHOOSE(CONTROL!$C$42, 5.0125, 5.0125) * CHOOSE(CONTROL!$C$21, $C$9, 100%, $E$9)</f>
        <v>5.0125000000000002</v>
      </c>
      <c r="I69" s="17">
        <f>CHOOSE(CONTROL!$C$42, 4.748, 4.748)* CHOOSE(CONTROL!$C$21, $C$9, 100%, $E$9)</f>
        <v>4.7480000000000002</v>
      </c>
      <c r="J69" s="17">
        <f>CHOOSE(CONTROL!$C$42, 4.7255, 4.7255)* CHOOSE(CONTROL!$C$21, $C$9, 100%, $E$9)</f>
        <v>4.7255000000000003</v>
      </c>
      <c r="K69" s="52">
        <f>CHOOSE(CONTROL!$C$42, 4.7438, 4.7438) * CHOOSE(CONTROL!$C$21, $C$9, 100%, $E$9)</f>
        <v>4.7438000000000002</v>
      </c>
      <c r="L69" s="17">
        <f>CHOOSE(CONTROL!$C$42, 5.5995, 5.5995) * CHOOSE(CONTROL!$C$21, $C$9, 100%, $E$9)</f>
        <v>5.5994999999999999</v>
      </c>
      <c r="M69" s="17">
        <f>CHOOSE(CONTROL!$C$42, 4.6482, 4.6482) * CHOOSE(CONTROL!$C$21, $C$9, 100%, $E$9)</f>
        <v>4.6482000000000001</v>
      </c>
      <c r="N69" s="17">
        <f>CHOOSE(CONTROL!$C$42, 4.6648, 4.6648) * CHOOSE(CONTROL!$C$21, $C$9, 100%, $E$9)</f>
        <v>4.6647999999999996</v>
      </c>
      <c r="O69" s="17">
        <f>CHOOSE(CONTROL!$C$42, 4.9301, 4.9301) * CHOOSE(CONTROL!$C$21, $C$9, 100%, $E$9)</f>
        <v>4.9301000000000004</v>
      </c>
      <c r="P69" s="17">
        <f>CHOOSE(CONTROL!$C$42, 4.6701, 4.6701) * CHOOSE(CONTROL!$C$21, $C$9, 100%, $E$9)</f>
        <v>4.6700999999999997</v>
      </c>
      <c r="Q69" s="17">
        <f>CHOOSE(CONTROL!$C$42, 5.5248, 5.5248) * CHOOSE(CONTROL!$C$21, $C$9, 100%, $E$9)</f>
        <v>5.5247999999999999</v>
      </c>
      <c r="R69" s="17">
        <f>CHOOSE(CONTROL!$C$42, 6.1256, 6.1256) * CHOOSE(CONTROL!$C$21, $C$9, 100%, $E$9)</f>
        <v>6.1256000000000004</v>
      </c>
      <c r="S69" s="17">
        <f>CHOOSE(CONTROL!$C$42, 4.5184, 4.5184) * CHOOSE(CONTROL!$C$21, $C$9, 100%, $E$9)</f>
        <v>4.5183999999999997</v>
      </c>
      <c r="T6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69" s="56">
        <f>(1000*CHOOSE(CONTROL!$C$42, 695, 695)*CHOOSE(CONTROL!$C$42, 0.5599, 0.5599)*CHOOSE(CONTROL!$C$42, 30, 30))/1000000</f>
        <v>11.673914999999997</v>
      </c>
      <c r="V69" s="56">
        <f>(1000*CHOOSE(CONTROL!$C$42, 580, 580)*CHOOSE(CONTROL!$C$42, 0.275, 0.275)*CHOOSE(CONTROL!$C$42, 30, 30))/1000000</f>
        <v>4.7850000000000001</v>
      </c>
      <c r="W69" s="56">
        <f>(1000*CHOOSE(CONTROL!$C$42, 0.1146, 0.1146)*CHOOSE(CONTROL!$C$42, 121.5, 121.5)*CHOOSE(CONTROL!$C$42, 30, 30))/1000000</f>
        <v>0.417717</v>
      </c>
      <c r="X69" s="56">
        <f>(30*0.1790888*145000/1000000)+(30*0.2374*100000/1000000)</f>
        <v>1.4912362799999999</v>
      </c>
      <c r="Y69" s="56"/>
      <c r="Z69" s="17"/>
      <c r="AA69" s="55"/>
      <c r="AB69" s="48">
        <f>(B69*194.205+C69*267.466+D69*133.845+E69*153.484+F69*40+G69*85+H69*0+I69*100+J69*300)/(194.205+267.466+133.845+153.484+0+40+85+100+300)</f>
        <v>4.7903496424646779</v>
      </c>
      <c r="AC69" s="45">
        <f>(M69*'RAP TEMPLATE-GAS AVAILABILITY'!O68+N69*'RAP TEMPLATE-GAS AVAILABILITY'!P68+O69*'RAP TEMPLATE-GAS AVAILABILITY'!Q68+P69*'RAP TEMPLATE-GAS AVAILABILITY'!R68)/('RAP TEMPLATE-GAS AVAILABILITY'!O68+'RAP TEMPLATE-GAS AVAILABILITY'!P68+'RAP TEMPLATE-GAS AVAILABILITY'!Q68+'RAP TEMPLATE-GAS AVAILABILITY'!R68)</f>
        <v>4.7342669064748195</v>
      </c>
    </row>
    <row r="70" spans="1:29" ht="15.75" x14ac:dyDescent="0.25">
      <c r="A70" s="16">
        <v>43009</v>
      </c>
      <c r="B70" s="17">
        <f>CHOOSE(CONTROL!$C$42, 4.6256, 4.6256) * CHOOSE(CONTROL!$C$21, $C$9, 100%, $E$9)</f>
        <v>4.6256000000000004</v>
      </c>
      <c r="C70" s="17">
        <f>CHOOSE(CONTROL!$C$42, 4.6309, 4.6309) * CHOOSE(CONTROL!$C$21, $C$9, 100%, $E$9)</f>
        <v>4.6308999999999996</v>
      </c>
      <c r="D70" s="17">
        <f>CHOOSE(CONTROL!$C$42, 4.907, 4.907) * CHOOSE(CONTROL!$C$21, $C$9, 100%, $E$9)</f>
        <v>4.907</v>
      </c>
      <c r="E70" s="17">
        <f>CHOOSE(CONTROL!$C$42, 4.9361, 4.9361) * CHOOSE(CONTROL!$C$21, $C$9, 100%, $E$9)</f>
        <v>4.9360999999999997</v>
      </c>
      <c r="F70" s="17">
        <f>CHOOSE(CONTROL!$C$42, 4.647, 4.647)*CHOOSE(CONTROL!$C$21, $C$9, 100%, $E$9)</f>
        <v>4.6470000000000002</v>
      </c>
      <c r="G70" s="17">
        <f>CHOOSE(CONTROL!$C$42, 4.6638, 4.6638)*CHOOSE(CONTROL!$C$21, $C$9, 100%, $E$9)</f>
        <v>4.6638000000000002</v>
      </c>
      <c r="H70" s="17">
        <f>CHOOSE(CONTROL!$C$42, 4.9266, 4.9266) * CHOOSE(CONTROL!$C$21, $C$9, 100%, $E$9)</f>
        <v>4.9265999999999996</v>
      </c>
      <c r="I70" s="17">
        <f>CHOOSE(CONTROL!$C$42, 4.6617, 4.6617)* CHOOSE(CONTROL!$C$21, $C$9, 100%, $E$9)</f>
        <v>4.6616999999999997</v>
      </c>
      <c r="J70" s="17">
        <f>CHOOSE(CONTROL!$C$42, 4.64, 4.64)* CHOOSE(CONTROL!$C$21, $C$9, 100%, $E$9)</f>
        <v>4.6399999999999997</v>
      </c>
      <c r="K70" s="52">
        <f>CHOOSE(CONTROL!$C$42, 4.6575, 4.6575) * CHOOSE(CONTROL!$C$21, $C$9, 100%, $E$9)</f>
        <v>4.6574999999999998</v>
      </c>
      <c r="L70" s="17">
        <f>CHOOSE(CONTROL!$C$42, 5.5136, 5.5136) * CHOOSE(CONTROL!$C$21, $C$9, 100%, $E$9)</f>
        <v>5.5136000000000003</v>
      </c>
      <c r="M70" s="17">
        <f>CHOOSE(CONTROL!$C$42, 4.5643, 4.5643) * CHOOSE(CONTROL!$C$21, $C$9, 100%, $E$9)</f>
        <v>4.5643000000000002</v>
      </c>
      <c r="N70" s="17">
        <f>CHOOSE(CONTROL!$C$42, 4.5807, 4.5807) * CHOOSE(CONTROL!$C$21, $C$9, 100%, $E$9)</f>
        <v>4.5807000000000002</v>
      </c>
      <c r="O70" s="17">
        <f>CHOOSE(CONTROL!$C$42, 4.8456, 4.8456) * CHOOSE(CONTROL!$C$21, $C$9, 100%, $E$9)</f>
        <v>4.8456000000000001</v>
      </c>
      <c r="P70" s="17">
        <f>CHOOSE(CONTROL!$C$42, 4.5854, 4.5854) * CHOOSE(CONTROL!$C$21, $C$9, 100%, $E$9)</f>
        <v>4.5853999999999999</v>
      </c>
      <c r="Q70" s="17">
        <f>CHOOSE(CONTROL!$C$42, 5.4403, 5.4403) * CHOOSE(CONTROL!$C$21, $C$9, 100%, $E$9)</f>
        <v>5.4402999999999997</v>
      </c>
      <c r="R70" s="17">
        <f>CHOOSE(CONTROL!$C$42, 6.0409, 6.0409) * CHOOSE(CONTROL!$C$21, $C$9, 100%, $E$9)</f>
        <v>6.0408999999999997</v>
      </c>
      <c r="S70" s="17">
        <f>CHOOSE(CONTROL!$C$42, 4.4358, 4.4358) * CHOOSE(CONTROL!$C$21, $C$9, 100%, $E$9)</f>
        <v>4.4358000000000004</v>
      </c>
      <c r="T7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70" s="56">
        <f>(1000*CHOOSE(CONTROL!$C$42, 695, 695)*CHOOSE(CONTROL!$C$42, 0.5599, 0.5599)*CHOOSE(CONTROL!$C$42, 31, 31))/1000000</f>
        <v>12.063045499999998</v>
      </c>
      <c r="V70" s="56">
        <f>(1000*CHOOSE(CONTROL!$C$42, 580, 580)*CHOOSE(CONTROL!$C$42, 0.275, 0.275)*CHOOSE(CONTROL!$C$42, 31, 31))/1000000</f>
        <v>4.9444999999999997</v>
      </c>
      <c r="W70" s="56">
        <f>(1000*CHOOSE(CONTROL!$C$42, 0.1146, 0.1146)*CHOOSE(CONTROL!$C$42, 121.5, 121.5)*CHOOSE(CONTROL!$C$42, 31, 31))/1000000</f>
        <v>0.43164089999999994</v>
      </c>
      <c r="X70" s="56">
        <f>(31*0.1790888*145000/1000000)+(31*0.2374*100000/1000000)</f>
        <v>1.5409441560000001</v>
      </c>
      <c r="Y70" s="56"/>
      <c r="Z70" s="17"/>
      <c r="AA70" s="55"/>
      <c r="AB70" s="48">
        <f>(B70*131.881+C70*277.167+D70*79.08+E70*225.872+F70*40+G70*85+H70*0+I70*100+J70*300)/(131.881+277.167+79.08+225.872+0+40+85+100+300)</f>
        <v>4.7110627547215502</v>
      </c>
      <c r="AC70" s="45">
        <f>(M70*'RAP TEMPLATE-GAS AVAILABILITY'!O69+N70*'RAP TEMPLATE-GAS AVAILABILITY'!P69+O70*'RAP TEMPLATE-GAS AVAILABILITY'!Q69+P70*'RAP TEMPLATE-GAS AVAILABILITY'!R69)/('RAP TEMPLATE-GAS AVAILABILITY'!O69+'RAP TEMPLATE-GAS AVAILABILITY'!P69+'RAP TEMPLATE-GAS AVAILABILITY'!Q69+'RAP TEMPLATE-GAS AVAILABILITY'!R69)</f>
        <v>4.6500374100719419</v>
      </c>
    </row>
    <row r="71" spans="1:29" ht="15.75" x14ac:dyDescent="0.25">
      <c r="A71" s="16">
        <v>43040</v>
      </c>
      <c r="B71" s="17">
        <f>CHOOSE(CONTROL!$C$42, 4.7566, 4.7566) * CHOOSE(CONTROL!$C$21, $C$9, 100%, $E$9)</f>
        <v>4.7565999999999997</v>
      </c>
      <c r="C71" s="17">
        <f>CHOOSE(CONTROL!$C$42, 4.7616, 4.7616) * CHOOSE(CONTROL!$C$21, $C$9, 100%, $E$9)</f>
        <v>4.7615999999999996</v>
      </c>
      <c r="D71" s="17">
        <f>CHOOSE(CONTROL!$C$42, 4.8566, 4.8566) * CHOOSE(CONTROL!$C$21, $C$9, 100%, $E$9)</f>
        <v>4.8566000000000003</v>
      </c>
      <c r="E71" s="17">
        <f>CHOOSE(CONTROL!$C$42, 4.8908, 4.8908) * CHOOSE(CONTROL!$C$21, $C$9, 100%, $E$9)</f>
        <v>4.8907999999999996</v>
      </c>
      <c r="F71" s="17">
        <f>CHOOSE(CONTROL!$C$42, 4.7805, 4.7805)*CHOOSE(CONTROL!$C$21, $C$9, 100%, $E$9)</f>
        <v>4.7805</v>
      </c>
      <c r="G71" s="17">
        <f>CHOOSE(CONTROL!$C$42, 4.7975, 4.7975)*CHOOSE(CONTROL!$C$21, $C$9, 100%, $E$9)</f>
        <v>4.7975000000000003</v>
      </c>
      <c r="H71" s="17">
        <f>CHOOSE(CONTROL!$C$42, 4.88, 4.88) * CHOOSE(CONTROL!$C$21, $C$9, 100%, $E$9)</f>
        <v>4.88</v>
      </c>
      <c r="I71" s="17">
        <f>CHOOSE(CONTROL!$C$42, 4.7914, 4.7914)* CHOOSE(CONTROL!$C$21, $C$9, 100%, $E$9)</f>
        <v>4.7914000000000003</v>
      </c>
      <c r="J71" s="17">
        <f>CHOOSE(CONTROL!$C$42, 4.7735, 4.7735)* CHOOSE(CONTROL!$C$21, $C$9, 100%, $E$9)</f>
        <v>4.7735000000000003</v>
      </c>
      <c r="K71" s="52">
        <f>CHOOSE(CONTROL!$C$42, 4.7872, 4.7872) * CHOOSE(CONTROL!$C$21, $C$9, 100%, $E$9)</f>
        <v>4.7872000000000003</v>
      </c>
      <c r="L71" s="17">
        <f>CHOOSE(CONTROL!$C$42, 5.467, 5.467) * CHOOSE(CONTROL!$C$21, $C$9, 100%, $E$9)</f>
        <v>5.4669999999999996</v>
      </c>
      <c r="M71" s="17">
        <f>CHOOSE(CONTROL!$C$42, 4.6953, 4.6953) * CHOOSE(CONTROL!$C$21, $C$9, 100%, $E$9)</f>
        <v>4.6952999999999996</v>
      </c>
      <c r="N71" s="17">
        <f>CHOOSE(CONTROL!$C$42, 4.7121, 4.7121) * CHOOSE(CONTROL!$C$21, $C$9, 100%, $E$9)</f>
        <v>4.7121000000000004</v>
      </c>
      <c r="O71" s="17">
        <f>CHOOSE(CONTROL!$C$42, 4.7999, 4.7999) * CHOOSE(CONTROL!$C$21, $C$9, 100%, $E$9)</f>
        <v>4.7999000000000001</v>
      </c>
      <c r="P71" s="17">
        <f>CHOOSE(CONTROL!$C$42, 4.7127, 4.7127) * CHOOSE(CONTROL!$C$21, $C$9, 100%, $E$9)</f>
        <v>4.7126999999999999</v>
      </c>
      <c r="Q71" s="17">
        <f>CHOOSE(CONTROL!$C$42, 5.3946, 5.3946) * CHOOSE(CONTROL!$C$21, $C$9, 100%, $E$9)</f>
        <v>5.3945999999999996</v>
      </c>
      <c r="R71" s="17">
        <f>CHOOSE(CONTROL!$C$42, 5.9951, 5.9951) * CHOOSE(CONTROL!$C$21, $C$9, 100%, $E$9)</f>
        <v>5.9950999999999999</v>
      </c>
      <c r="S71" s="17">
        <f>CHOOSE(CONTROL!$C$42, 4.562, 4.562) * CHOOSE(CONTROL!$C$21, $C$9, 100%, $E$9)</f>
        <v>4.5620000000000003</v>
      </c>
      <c r="T7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71" s="56">
        <f>(1000*CHOOSE(CONTROL!$C$42, 695, 695)*CHOOSE(CONTROL!$C$42, 0.5599, 0.5599)*CHOOSE(CONTROL!$C$42, 30, 30))/1000000</f>
        <v>11.673914999999997</v>
      </c>
      <c r="V71" s="56">
        <f>(1000*CHOOSE(CONTROL!$C$42, 580, 580)*CHOOSE(CONTROL!$C$42, 0.275, 0.275)*CHOOSE(CONTROL!$C$42, 30, 30))/1000000</f>
        <v>4.7850000000000001</v>
      </c>
      <c r="W71" s="56">
        <f>(1000*CHOOSE(CONTROL!$C$42, 0.1146, 0.1146)*CHOOSE(CONTROL!$C$42, 121.5, 121.5)*CHOOSE(CONTROL!$C$42, 30, 30))/1000000</f>
        <v>0.417717</v>
      </c>
      <c r="X71" s="56">
        <f>(30*0.2374*100000/1000000)</f>
        <v>0.71220000000000006</v>
      </c>
      <c r="Y71" s="56"/>
      <c r="Z71" s="17"/>
      <c r="AA71" s="55"/>
      <c r="AB71" s="48">
        <f>(B71*122.58+C71*297.941+D71*89.177+E71*140.302+F71*40+G71*60+H71*0+I71*100+J71*300)/(122.58+297.941+89.177+140.302+0+40+60+100+300)</f>
        <v>4.7924225507826073</v>
      </c>
      <c r="AC71" s="45">
        <f>(M71*'RAP TEMPLATE-GAS AVAILABILITY'!O70+N71*'RAP TEMPLATE-GAS AVAILABILITY'!P70+O71*'RAP TEMPLATE-GAS AVAILABILITY'!Q70+P71*'RAP TEMPLATE-GAS AVAILABILITY'!R70)/('RAP TEMPLATE-GAS AVAILABILITY'!O70+'RAP TEMPLATE-GAS AVAILABILITY'!P70+'RAP TEMPLATE-GAS AVAILABILITY'!Q70+'RAP TEMPLATE-GAS AVAILABILITY'!R70)</f>
        <v>4.7461791366906469</v>
      </c>
    </row>
    <row r="72" spans="1:29" ht="15.75" x14ac:dyDescent="0.25">
      <c r="A72" s="16">
        <v>43070</v>
      </c>
      <c r="B72" s="17">
        <f>CHOOSE(CONTROL!$C$42, 5.0906, 5.0906) * CHOOSE(CONTROL!$C$21, $C$9, 100%, $E$9)</f>
        <v>5.0906000000000002</v>
      </c>
      <c r="C72" s="17">
        <f>CHOOSE(CONTROL!$C$42, 5.0957, 5.0957) * CHOOSE(CONTROL!$C$21, $C$9, 100%, $E$9)</f>
        <v>5.0956999999999999</v>
      </c>
      <c r="D72" s="17">
        <f>CHOOSE(CONTROL!$C$42, 5.1907, 5.1907) * CHOOSE(CONTROL!$C$21, $C$9, 100%, $E$9)</f>
        <v>5.1906999999999996</v>
      </c>
      <c r="E72" s="17">
        <f>CHOOSE(CONTROL!$C$42, 5.2248, 5.2248) * CHOOSE(CONTROL!$C$21, $C$9, 100%, $E$9)</f>
        <v>5.2248000000000001</v>
      </c>
      <c r="F72" s="17">
        <f>CHOOSE(CONTROL!$C$42, 5.1169, 5.1169)*CHOOSE(CONTROL!$C$21, $C$9, 100%, $E$9)</f>
        <v>5.1169000000000002</v>
      </c>
      <c r="G72" s="17">
        <f>CHOOSE(CONTROL!$C$42, 5.1346, 5.1346)*CHOOSE(CONTROL!$C$21, $C$9, 100%, $E$9)</f>
        <v>5.1345999999999998</v>
      </c>
      <c r="H72" s="17">
        <f>CHOOSE(CONTROL!$C$42, 5.214, 5.214) * CHOOSE(CONTROL!$C$21, $C$9, 100%, $E$9)</f>
        <v>5.2140000000000004</v>
      </c>
      <c r="I72" s="17">
        <f>CHOOSE(CONTROL!$C$42, 5.1265, 5.1265)* CHOOSE(CONTROL!$C$21, $C$9, 100%, $E$9)</f>
        <v>5.1265000000000001</v>
      </c>
      <c r="J72" s="17">
        <f>CHOOSE(CONTROL!$C$42, 5.1099, 5.1099)* CHOOSE(CONTROL!$C$21, $C$9, 100%, $E$9)</f>
        <v>5.1098999999999997</v>
      </c>
      <c r="K72" s="52">
        <f>CHOOSE(CONTROL!$C$42, 5.1223, 5.1223) * CHOOSE(CONTROL!$C$21, $C$9, 100%, $E$9)</f>
        <v>5.1223000000000001</v>
      </c>
      <c r="L72" s="17">
        <f>CHOOSE(CONTROL!$C$42, 5.801, 5.801) * CHOOSE(CONTROL!$C$21, $C$9, 100%, $E$9)</f>
        <v>5.8010000000000002</v>
      </c>
      <c r="M72" s="17">
        <f>CHOOSE(CONTROL!$C$42, 5.0257, 5.0257) * CHOOSE(CONTROL!$C$21, $C$9, 100%, $E$9)</f>
        <v>5.0256999999999996</v>
      </c>
      <c r="N72" s="17">
        <f>CHOOSE(CONTROL!$C$42, 5.043, 5.043) * CHOOSE(CONTROL!$C$21, $C$9, 100%, $E$9)</f>
        <v>5.0430000000000001</v>
      </c>
      <c r="O72" s="17">
        <f>CHOOSE(CONTROL!$C$42, 5.1279, 5.1279) * CHOOSE(CONTROL!$C$21, $C$9, 100%, $E$9)</f>
        <v>5.1279000000000003</v>
      </c>
      <c r="P72" s="17">
        <f>CHOOSE(CONTROL!$C$42, 5.0418, 5.0418) * CHOOSE(CONTROL!$C$21, $C$9, 100%, $E$9)</f>
        <v>5.0418000000000003</v>
      </c>
      <c r="Q72" s="17">
        <f>CHOOSE(CONTROL!$C$42, 5.7226, 5.7226) * CHOOSE(CONTROL!$C$21, $C$9, 100%, $E$9)</f>
        <v>5.7225999999999999</v>
      </c>
      <c r="R72" s="17">
        <f>CHOOSE(CONTROL!$C$42, 6.324, 6.324) * CHOOSE(CONTROL!$C$21, $C$9, 100%, $E$9)</f>
        <v>6.3239999999999998</v>
      </c>
      <c r="S72" s="17">
        <f>CHOOSE(CONTROL!$C$42, 4.8831, 4.8831) * CHOOSE(CONTROL!$C$21, $C$9, 100%, $E$9)</f>
        <v>4.8830999999999998</v>
      </c>
      <c r="T7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72" s="56">
        <f>(1000*CHOOSE(CONTROL!$C$42, 695, 695)*CHOOSE(CONTROL!$C$42, 0.5599, 0.5599)*CHOOSE(CONTROL!$C$42, 31, 31))/1000000</f>
        <v>12.063045499999998</v>
      </c>
      <c r="V72" s="56">
        <f>(1000*CHOOSE(CONTROL!$C$42, 580, 580)*CHOOSE(CONTROL!$C$42, 0.275, 0.275)*CHOOSE(CONTROL!$C$42, 31, 31))/1000000</f>
        <v>4.9444999999999997</v>
      </c>
      <c r="W72" s="56">
        <f>(1000*CHOOSE(CONTROL!$C$42, 0.1146, 0.1146)*CHOOSE(CONTROL!$C$42, 121.5, 121.5)*CHOOSE(CONTROL!$C$42, 31, 31))/1000000</f>
        <v>0.43164089999999994</v>
      </c>
      <c r="X72" s="56">
        <f>(31*0.2374*100000/1000000)</f>
        <v>0.73594000000000004</v>
      </c>
      <c r="Y72" s="56"/>
      <c r="Z72" s="17"/>
      <c r="AA72" s="55"/>
      <c r="AB72" s="48">
        <f>(B72*122.58+C72*297.941+D72*89.177+E72*140.302+F72*40+G72*60+H72*0+I72*100+J72*300)/(122.58+297.941+89.177+140.302+0+40+60+100+300)</f>
        <v>5.1274231697391306</v>
      </c>
      <c r="AC72" s="45">
        <f>(M72*'RAP TEMPLATE-GAS AVAILABILITY'!O71+N72*'RAP TEMPLATE-GAS AVAILABILITY'!P71+O72*'RAP TEMPLATE-GAS AVAILABILITY'!Q71+P72*'RAP TEMPLATE-GAS AVAILABILITY'!R71)/('RAP TEMPLATE-GAS AVAILABILITY'!O71+'RAP TEMPLATE-GAS AVAILABILITY'!P71+'RAP TEMPLATE-GAS AVAILABILITY'!Q71+'RAP TEMPLATE-GAS AVAILABILITY'!R71)</f>
        <v>5.0753330935251793</v>
      </c>
    </row>
    <row r="73" spans="1:29" ht="15.75" x14ac:dyDescent="0.25">
      <c r="A73" s="16">
        <v>43101</v>
      </c>
      <c r="B73" s="17">
        <f>CHOOSE(CONTROL!$C$42, 6.0007, 6.0007) * CHOOSE(CONTROL!$C$21, $C$9, 100%, $E$9)</f>
        <v>6.0007000000000001</v>
      </c>
      <c r="C73" s="17">
        <f>CHOOSE(CONTROL!$C$42, 6.0058, 6.0058) * CHOOSE(CONTROL!$C$21, $C$9, 100%, $E$9)</f>
        <v>6.0057999999999998</v>
      </c>
      <c r="D73" s="17">
        <f>CHOOSE(CONTROL!$C$42, 6.1243, 6.1243) * CHOOSE(CONTROL!$C$21, $C$9, 100%, $E$9)</f>
        <v>6.1242999999999999</v>
      </c>
      <c r="E73" s="17">
        <f>CHOOSE(CONTROL!$C$42, 6.1584, 6.1584) * CHOOSE(CONTROL!$C$21, $C$9, 100%, $E$9)</f>
        <v>6.1584000000000003</v>
      </c>
      <c r="F73" s="17">
        <f>CHOOSE(CONTROL!$C$42, 6.0211, 6.0211)*CHOOSE(CONTROL!$C$21, $C$9, 100%, $E$9)</f>
        <v>6.0210999999999997</v>
      </c>
      <c r="G73" s="17">
        <f>CHOOSE(CONTROL!$C$42, 6.038, 6.038)*CHOOSE(CONTROL!$C$21, $C$9, 100%, $E$9)</f>
        <v>6.0380000000000003</v>
      </c>
      <c r="H73" s="17">
        <f>CHOOSE(CONTROL!$C$42, 6.1476, 6.1476) * CHOOSE(CONTROL!$C$21, $C$9, 100%, $E$9)</f>
        <v>6.1475999999999997</v>
      </c>
      <c r="I73" s="17">
        <f>CHOOSE(CONTROL!$C$42, 6.0431, 6.0431)* CHOOSE(CONTROL!$C$21, $C$9, 100%, $E$9)</f>
        <v>6.0430999999999999</v>
      </c>
      <c r="J73" s="17">
        <f>CHOOSE(CONTROL!$C$42, 6.0141, 6.0141)* CHOOSE(CONTROL!$C$21, $C$9, 100%, $E$9)</f>
        <v>6.0141</v>
      </c>
      <c r="K73" s="52">
        <f>CHOOSE(CONTROL!$C$42, 6.0389, 6.0389) * CHOOSE(CONTROL!$C$21, $C$9, 100%, $E$9)</f>
        <v>6.0388999999999999</v>
      </c>
      <c r="L73" s="17">
        <f>CHOOSE(CONTROL!$C$42, 6.7346, 6.7346) * CHOOSE(CONTROL!$C$21, $C$9, 100%, $E$9)</f>
        <v>6.7346000000000004</v>
      </c>
      <c r="M73" s="17">
        <f>CHOOSE(CONTROL!$C$42, 5.9137, 5.9137) * CHOOSE(CONTROL!$C$21, $C$9, 100%, $E$9)</f>
        <v>5.9137000000000004</v>
      </c>
      <c r="N73" s="17">
        <f>CHOOSE(CONTROL!$C$42, 5.9302, 5.9302) * CHOOSE(CONTROL!$C$21, $C$9, 100%, $E$9)</f>
        <v>5.9302000000000001</v>
      </c>
      <c r="O73" s="17">
        <f>CHOOSE(CONTROL!$C$42, 6.0447, 6.0447) * CHOOSE(CONTROL!$C$21, $C$9, 100%, $E$9)</f>
        <v>6.0446999999999997</v>
      </c>
      <c r="P73" s="17">
        <f>CHOOSE(CONTROL!$C$42, 5.9419, 5.9419) * CHOOSE(CONTROL!$C$21, $C$9, 100%, $E$9)</f>
        <v>5.9419000000000004</v>
      </c>
      <c r="Q73" s="17">
        <f>CHOOSE(CONTROL!$C$42, 6.6394, 6.6394) * CHOOSE(CONTROL!$C$21, $C$9, 100%, $E$9)</f>
        <v>6.6394000000000002</v>
      </c>
      <c r="R73" s="17">
        <f>CHOOSE(CONTROL!$C$42, 7.243, 7.243) * CHOOSE(CONTROL!$C$21, $C$9, 100%, $E$9)</f>
        <v>7.2430000000000003</v>
      </c>
      <c r="S73" s="17">
        <f>CHOOSE(CONTROL!$C$42, 5.7576, 5.7576) * CHOOSE(CONTROL!$C$21, $C$9, 100%, $E$9)</f>
        <v>5.7576000000000001</v>
      </c>
      <c r="T7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73" s="56">
        <f>(1000*CHOOSE(CONTROL!$C$42, 695, 695)*CHOOSE(CONTROL!$C$42, 0.5599, 0.5599)*CHOOSE(CONTROL!$C$42, 31, 31))/1000000</f>
        <v>12.063045499999998</v>
      </c>
      <c r="V73" s="56">
        <f>(1000*CHOOSE(CONTROL!$C$42, 500, 500)*CHOOSE(CONTROL!$C$42, 0.275, 0.275)*CHOOSE(CONTROL!$C$42, 31, 31))/1000000</f>
        <v>4.2625000000000002</v>
      </c>
      <c r="W73" s="56">
        <f>(1000*CHOOSE(CONTROL!$C$42, 0.1146, 0.1146)*CHOOSE(CONTROL!$C$42, 121.5, 121.5)*CHOOSE(CONTROL!$C$42, 31, 31))/1000000</f>
        <v>0.43164089999999994</v>
      </c>
      <c r="X73" s="56">
        <f>(31*0.2374*100000/1000000)</f>
        <v>0.73594000000000004</v>
      </c>
      <c r="Y73" s="56"/>
      <c r="Z73" s="17"/>
      <c r="AA73" s="55"/>
      <c r="AB73" s="48">
        <f>(B73*122.58+C73*297.941+D73*89.177+E73*140.302+F73*40+G73*60+H73*0+I73*100+J73*300)/(122.58+297.941+89.177+140.302+0+40+60+100+300)</f>
        <v>6.0406838275652168</v>
      </c>
      <c r="AC73" s="45">
        <f>(M73*'RAP TEMPLATE-GAS AVAILABILITY'!O72+N73*'RAP TEMPLATE-GAS AVAILABILITY'!P72+O73*'RAP TEMPLATE-GAS AVAILABILITY'!Q72+P73*'RAP TEMPLATE-GAS AVAILABILITY'!R72)/('RAP TEMPLATE-GAS AVAILABILITY'!O72+'RAP TEMPLATE-GAS AVAILABILITY'!P72+'RAP TEMPLATE-GAS AVAILABILITY'!Q72+'RAP TEMPLATE-GAS AVAILABILITY'!R72)</f>
        <v>5.9780812949640287</v>
      </c>
    </row>
    <row r="74" spans="1:29" ht="15.75" x14ac:dyDescent="0.25">
      <c r="A74" s="16">
        <v>43132</v>
      </c>
      <c r="B74" s="17">
        <f>CHOOSE(CONTROL!$C$42, 6.1199, 6.1199) * CHOOSE(CONTROL!$C$21, $C$9, 100%, $E$9)</f>
        <v>6.1199000000000003</v>
      </c>
      <c r="C74" s="17">
        <f>CHOOSE(CONTROL!$C$42, 6.125, 6.125) * CHOOSE(CONTROL!$C$21, $C$9, 100%, $E$9)</f>
        <v>6.125</v>
      </c>
      <c r="D74" s="17">
        <f>CHOOSE(CONTROL!$C$42, 6.2435, 6.2435) * CHOOSE(CONTROL!$C$21, $C$9, 100%, $E$9)</f>
        <v>6.2435</v>
      </c>
      <c r="E74" s="17">
        <f>CHOOSE(CONTROL!$C$42, 6.2776, 6.2776) * CHOOSE(CONTROL!$C$21, $C$9, 100%, $E$9)</f>
        <v>6.2775999999999996</v>
      </c>
      <c r="F74" s="17">
        <f>CHOOSE(CONTROL!$C$42, 6.1403, 6.1403)*CHOOSE(CONTROL!$C$21, $C$9, 100%, $E$9)</f>
        <v>6.1402999999999999</v>
      </c>
      <c r="G74" s="17">
        <f>CHOOSE(CONTROL!$C$42, 6.1571, 6.1571)*CHOOSE(CONTROL!$C$21, $C$9, 100%, $E$9)</f>
        <v>6.1570999999999998</v>
      </c>
      <c r="H74" s="17">
        <f>CHOOSE(CONTROL!$C$42, 6.2668, 6.2668) * CHOOSE(CONTROL!$C$21, $C$9, 100%, $E$9)</f>
        <v>6.2667999999999999</v>
      </c>
      <c r="I74" s="17">
        <f>CHOOSE(CONTROL!$C$42, 6.1627, 6.1627)* CHOOSE(CONTROL!$C$21, $C$9, 100%, $E$9)</f>
        <v>6.1627000000000001</v>
      </c>
      <c r="J74" s="17">
        <f>CHOOSE(CONTROL!$C$42, 6.1333, 6.1333)* CHOOSE(CONTROL!$C$21, $C$9, 100%, $E$9)</f>
        <v>6.1333000000000002</v>
      </c>
      <c r="K74" s="52">
        <f>CHOOSE(CONTROL!$C$42, 6.1585, 6.1585) * CHOOSE(CONTROL!$C$21, $C$9, 100%, $E$9)</f>
        <v>6.1585000000000001</v>
      </c>
      <c r="L74" s="17">
        <f>CHOOSE(CONTROL!$C$42, 6.8538, 6.8538) * CHOOSE(CONTROL!$C$21, $C$9, 100%, $E$9)</f>
        <v>6.8537999999999997</v>
      </c>
      <c r="M74" s="17">
        <f>CHOOSE(CONTROL!$C$42, 6.0307, 6.0307) * CHOOSE(CONTROL!$C$21, $C$9, 100%, $E$9)</f>
        <v>6.0307000000000004</v>
      </c>
      <c r="N74" s="17">
        <f>CHOOSE(CONTROL!$C$42, 6.0472, 6.0472) * CHOOSE(CONTROL!$C$21, $C$9, 100%, $E$9)</f>
        <v>6.0472000000000001</v>
      </c>
      <c r="O74" s="17">
        <f>CHOOSE(CONTROL!$C$42, 6.1617, 6.1617) * CHOOSE(CONTROL!$C$21, $C$9, 100%, $E$9)</f>
        <v>6.1616999999999997</v>
      </c>
      <c r="P74" s="17">
        <f>CHOOSE(CONTROL!$C$42, 6.0593, 6.0593) * CHOOSE(CONTROL!$C$21, $C$9, 100%, $E$9)</f>
        <v>6.0593000000000004</v>
      </c>
      <c r="Q74" s="17">
        <f>CHOOSE(CONTROL!$C$42, 6.7564, 6.7564) * CHOOSE(CONTROL!$C$21, $C$9, 100%, $E$9)</f>
        <v>6.7564000000000002</v>
      </c>
      <c r="R74" s="17">
        <f>CHOOSE(CONTROL!$C$42, 7.3603, 7.3603) * CHOOSE(CONTROL!$C$21, $C$9, 100%, $E$9)</f>
        <v>7.3602999999999996</v>
      </c>
      <c r="S74" s="17">
        <f>CHOOSE(CONTROL!$C$42, 5.8721, 5.8721) * CHOOSE(CONTROL!$C$21, $C$9, 100%, $E$9)</f>
        <v>5.8720999999999997</v>
      </c>
      <c r="T7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74" s="56">
        <f>(1000*CHOOSE(CONTROL!$C$42, 695, 695)*CHOOSE(CONTROL!$C$42, 0.5599, 0.5599)*CHOOSE(CONTROL!$C$42, 28, 28))/1000000</f>
        <v>10.895653999999999</v>
      </c>
      <c r="V74" s="56">
        <f>(1000*CHOOSE(CONTROL!$C$42, 500, 500)*CHOOSE(CONTROL!$C$42, 0.275, 0.275)*CHOOSE(CONTROL!$C$42, 28, 28))/1000000</f>
        <v>3.85</v>
      </c>
      <c r="W74" s="56">
        <f>(1000*CHOOSE(CONTROL!$C$42, 0.1146, 0.1146)*CHOOSE(CONTROL!$C$42, 121.5, 121.5)*CHOOSE(CONTROL!$C$42, 28, 28))/1000000</f>
        <v>0.38986920000000003</v>
      </c>
      <c r="X74" s="56">
        <f>(28*0.2374*100000/1000000)</f>
        <v>0.66471999999999998</v>
      </c>
      <c r="Y74" s="56"/>
      <c r="Z74" s="17"/>
      <c r="AA74" s="55"/>
      <c r="AB74" s="48">
        <f>(B74*122.58+C74*297.941+D74*89.177+E74*140.302+F74*40+G74*60+H74*0+I74*100+J74*300)/(122.58+297.941+89.177+140.302+0+40+60+100+300)</f>
        <v>6.1599133927826095</v>
      </c>
      <c r="AC74" s="45">
        <f>(M74*'RAP TEMPLATE-GAS AVAILABILITY'!O73+N74*'RAP TEMPLATE-GAS AVAILABILITY'!P73+O74*'RAP TEMPLATE-GAS AVAILABILITY'!Q73+P74*'RAP TEMPLATE-GAS AVAILABILITY'!R73)/('RAP TEMPLATE-GAS AVAILABILITY'!O73+'RAP TEMPLATE-GAS AVAILABILITY'!P73+'RAP TEMPLATE-GAS AVAILABILITY'!Q73+'RAP TEMPLATE-GAS AVAILABILITY'!R73)</f>
        <v>6.0951388489208638</v>
      </c>
    </row>
    <row r="75" spans="1:29" ht="15.75" x14ac:dyDescent="0.25">
      <c r="A75" s="16">
        <v>43160</v>
      </c>
      <c r="B75" s="17">
        <f>CHOOSE(CONTROL!$C$42, 5.9587, 5.9587) * CHOOSE(CONTROL!$C$21, $C$9, 100%, $E$9)</f>
        <v>5.9587000000000003</v>
      </c>
      <c r="C75" s="17">
        <f>CHOOSE(CONTROL!$C$42, 5.9638, 5.9638) * CHOOSE(CONTROL!$C$21, $C$9, 100%, $E$9)</f>
        <v>5.9638</v>
      </c>
      <c r="D75" s="17">
        <f>CHOOSE(CONTROL!$C$42, 6.0822, 6.0822) * CHOOSE(CONTROL!$C$21, $C$9, 100%, $E$9)</f>
        <v>6.0822000000000003</v>
      </c>
      <c r="E75" s="17">
        <f>CHOOSE(CONTROL!$C$42, 6.1163, 6.1163) * CHOOSE(CONTROL!$C$21, $C$9, 100%, $E$9)</f>
        <v>6.1162999999999998</v>
      </c>
      <c r="F75" s="17">
        <f>CHOOSE(CONTROL!$C$42, 5.9784, 5.9784)*CHOOSE(CONTROL!$C$21, $C$9, 100%, $E$9)</f>
        <v>5.9783999999999997</v>
      </c>
      <c r="G75" s="17">
        <f>CHOOSE(CONTROL!$C$42, 5.9951, 5.9951)*CHOOSE(CONTROL!$C$21, $C$9, 100%, $E$9)</f>
        <v>5.9950999999999999</v>
      </c>
      <c r="H75" s="17">
        <f>CHOOSE(CONTROL!$C$42, 6.1055, 6.1055) * CHOOSE(CONTROL!$C$21, $C$9, 100%, $E$9)</f>
        <v>6.1055000000000001</v>
      </c>
      <c r="I75" s="17">
        <f>CHOOSE(CONTROL!$C$42, 6.001, 6.001)* CHOOSE(CONTROL!$C$21, $C$9, 100%, $E$9)</f>
        <v>6.0010000000000003</v>
      </c>
      <c r="J75" s="17">
        <f>CHOOSE(CONTROL!$C$42, 5.9714, 5.9714)* CHOOSE(CONTROL!$C$21, $C$9, 100%, $E$9)</f>
        <v>5.9714</v>
      </c>
      <c r="K75" s="52">
        <f>CHOOSE(CONTROL!$C$42, 5.9968, 5.9968) * CHOOSE(CONTROL!$C$21, $C$9, 100%, $E$9)</f>
        <v>5.9968000000000004</v>
      </c>
      <c r="L75" s="17">
        <f>CHOOSE(CONTROL!$C$42, 6.6925, 6.6925) * CHOOSE(CONTROL!$C$21, $C$9, 100%, $E$9)</f>
        <v>6.6924999999999999</v>
      </c>
      <c r="M75" s="17">
        <f>CHOOSE(CONTROL!$C$42, 5.8717, 5.8717) * CHOOSE(CONTROL!$C$21, $C$9, 100%, $E$9)</f>
        <v>5.8716999999999997</v>
      </c>
      <c r="N75" s="17">
        <f>CHOOSE(CONTROL!$C$42, 5.888, 5.888) * CHOOSE(CONTROL!$C$21, $C$9, 100%, $E$9)</f>
        <v>5.8879999999999999</v>
      </c>
      <c r="O75" s="17">
        <f>CHOOSE(CONTROL!$C$42, 6.0034, 6.0034) * CHOOSE(CONTROL!$C$21, $C$9, 100%, $E$9)</f>
        <v>6.0034000000000001</v>
      </c>
      <c r="P75" s="17">
        <f>CHOOSE(CONTROL!$C$42, 5.9005, 5.9005) * CHOOSE(CONTROL!$C$21, $C$9, 100%, $E$9)</f>
        <v>5.9005000000000001</v>
      </c>
      <c r="Q75" s="17">
        <f>CHOOSE(CONTROL!$C$42, 6.5981, 6.5981) * CHOOSE(CONTROL!$C$21, $C$9, 100%, $E$9)</f>
        <v>6.5980999999999996</v>
      </c>
      <c r="R75" s="17">
        <f>CHOOSE(CONTROL!$C$42, 7.2016, 7.2016) * CHOOSE(CONTROL!$C$21, $C$9, 100%, $E$9)</f>
        <v>7.2016</v>
      </c>
      <c r="S75" s="17">
        <f>CHOOSE(CONTROL!$C$42, 5.7172, 5.7172) * CHOOSE(CONTROL!$C$21, $C$9, 100%, $E$9)</f>
        <v>5.7172000000000001</v>
      </c>
      <c r="T7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75" s="56">
        <f>(1000*CHOOSE(CONTROL!$C$42, 695, 695)*CHOOSE(CONTROL!$C$42, 0.5599, 0.5599)*CHOOSE(CONTROL!$C$42, 31, 31))/1000000</f>
        <v>12.063045499999998</v>
      </c>
      <c r="V75" s="56">
        <f>(1000*CHOOSE(CONTROL!$C$42, 500, 500)*CHOOSE(CONTROL!$C$42, 0.275, 0.275)*CHOOSE(CONTROL!$C$42, 31, 31))/1000000</f>
        <v>4.2625000000000002</v>
      </c>
      <c r="W75" s="56">
        <f>(1000*CHOOSE(CONTROL!$C$42, 0.1146, 0.1146)*CHOOSE(CONTROL!$C$42, 121.5, 121.5)*CHOOSE(CONTROL!$C$42, 31, 31))/1000000</f>
        <v>0.43164089999999994</v>
      </c>
      <c r="X75" s="56">
        <f>(31*0.2374*100000/1000000)</f>
        <v>0.73594000000000004</v>
      </c>
      <c r="Y75" s="56"/>
      <c r="Z75" s="17"/>
      <c r="AA75" s="55"/>
      <c r="AB75" s="48">
        <f>(B75*122.58+C75*297.941+D75*89.177+E75*140.302+F75*40+G75*60+H75*0+I75*100+J75*300)/(122.58+297.941+89.177+140.302+0+40+60+100+300)</f>
        <v>5.9984012641739133</v>
      </c>
      <c r="AC75" s="45">
        <f>(M75*'RAP TEMPLATE-GAS AVAILABILITY'!O74+N75*'RAP TEMPLATE-GAS AVAILABILITY'!P74+O75*'RAP TEMPLATE-GAS AVAILABILITY'!Q74+P75*'RAP TEMPLATE-GAS AVAILABILITY'!R74)/('RAP TEMPLATE-GAS AVAILABILITY'!O74+'RAP TEMPLATE-GAS AVAILABILITY'!P74+'RAP TEMPLATE-GAS AVAILABILITY'!Q74+'RAP TEMPLATE-GAS AVAILABILITY'!R74)</f>
        <v>5.9364733812949639</v>
      </c>
    </row>
    <row r="76" spans="1:29" ht="15.75" x14ac:dyDescent="0.25">
      <c r="A76" s="16">
        <v>43191</v>
      </c>
      <c r="B76" s="17">
        <f>CHOOSE(CONTROL!$C$42, 5.9541, 5.9541) * CHOOSE(CONTROL!$C$21, $C$9, 100%, $E$9)</f>
        <v>5.9541000000000004</v>
      </c>
      <c r="C76" s="17">
        <f>CHOOSE(CONTROL!$C$42, 5.9586, 5.9586) * CHOOSE(CONTROL!$C$21, $C$9, 100%, $E$9)</f>
        <v>5.9585999999999997</v>
      </c>
      <c r="D76" s="17">
        <f>CHOOSE(CONTROL!$C$42, 6.2328, 6.2328) * CHOOSE(CONTROL!$C$21, $C$9, 100%, $E$9)</f>
        <v>6.2328000000000001</v>
      </c>
      <c r="E76" s="17">
        <f>CHOOSE(CONTROL!$C$42, 6.2649, 6.2649) * CHOOSE(CONTROL!$C$21, $C$9, 100%, $E$9)</f>
        <v>6.2648999999999999</v>
      </c>
      <c r="F76" s="17">
        <f>CHOOSE(CONTROL!$C$42, 5.9734, 5.9734)*CHOOSE(CONTROL!$C$21, $C$9, 100%, $E$9)</f>
        <v>5.9733999999999998</v>
      </c>
      <c r="G76" s="17">
        <f>CHOOSE(CONTROL!$C$42, 5.9898, 5.9898)*CHOOSE(CONTROL!$C$21, $C$9, 100%, $E$9)</f>
        <v>5.9897999999999998</v>
      </c>
      <c r="H76" s="17">
        <f>CHOOSE(CONTROL!$C$42, 6.2547, 6.2547) * CHOOSE(CONTROL!$C$21, $C$9, 100%, $E$9)</f>
        <v>6.2546999999999997</v>
      </c>
      <c r="I76" s="17">
        <f>CHOOSE(CONTROL!$C$42, 5.994, 5.994)* CHOOSE(CONTROL!$C$21, $C$9, 100%, $E$9)</f>
        <v>5.9939999999999998</v>
      </c>
      <c r="J76" s="17">
        <f>CHOOSE(CONTROL!$C$42, 5.9664, 5.9664)* CHOOSE(CONTROL!$C$21, $C$9, 100%, $E$9)</f>
        <v>5.9664000000000001</v>
      </c>
      <c r="K76" s="52">
        <f>CHOOSE(CONTROL!$C$42, 5.9898, 5.9898) * CHOOSE(CONTROL!$C$21, $C$9, 100%, $E$9)</f>
        <v>5.9897999999999998</v>
      </c>
      <c r="L76" s="17">
        <f>CHOOSE(CONTROL!$C$42, 6.8417, 6.8417) * CHOOSE(CONTROL!$C$21, $C$9, 100%, $E$9)</f>
        <v>6.8417000000000003</v>
      </c>
      <c r="M76" s="17">
        <f>CHOOSE(CONTROL!$C$42, 5.8668, 5.8668) * CHOOSE(CONTROL!$C$21, $C$9, 100%, $E$9)</f>
        <v>5.8667999999999996</v>
      </c>
      <c r="N76" s="17">
        <f>CHOOSE(CONTROL!$C$42, 5.8828, 5.8828) * CHOOSE(CONTROL!$C$21, $C$9, 100%, $E$9)</f>
        <v>5.8827999999999996</v>
      </c>
      <c r="O76" s="17">
        <f>CHOOSE(CONTROL!$C$42, 6.1499, 6.1499) * CHOOSE(CONTROL!$C$21, $C$9, 100%, $E$9)</f>
        <v>6.1498999999999997</v>
      </c>
      <c r="P76" s="17">
        <f>CHOOSE(CONTROL!$C$42, 5.8937, 5.8937) * CHOOSE(CONTROL!$C$21, $C$9, 100%, $E$9)</f>
        <v>5.8936999999999999</v>
      </c>
      <c r="Q76" s="17">
        <f>CHOOSE(CONTROL!$C$42, 6.7446, 6.7446) * CHOOSE(CONTROL!$C$21, $C$9, 100%, $E$9)</f>
        <v>6.7446000000000002</v>
      </c>
      <c r="R76" s="17">
        <f>CHOOSE(CONTROL!$C$42, 7.3484, 7.3484) * CHOOSE(CONTROL!$C$21, $C$9, 100%, $E$9)</f>
        <v>7.3483999999999998</v>
      </c>
      <c r="S76" s="17">
        <f>CHOOSE(CONTROL!$C$42, 5.712, 5.712) * CHOOSE(CONTROL!$C$21, $C$9, 100%, $E$9)</f>
        <v>5.7119999999999997</v>
      </c>
      <c r="T7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76" s="56">
        <f>(1000*CHOOSE(CONTROL!$C$42, 695, 695)*CHOOSE(CONTROL!$C$42, 0.5599, 0.5599)*CHOOSE(CONTROL!$C$42, 30, 30))/1000000</f>
        <v>11.673914999999997</v>
      </c>
      <c r="V76" s="56">
        <f>(1000*CHOOSE(CONTROL!$C$42, 500, 500)*CHOOSE(CONTROL!$C$42, 0.275, 0.275)*CHOOSE(CONTROL!$C$42, 30, 30))/1000000</f>
        <v>4.125</v>
      </c>
      <c r="W76" s="56">
        <f>(1000*CHOOSE(CONTROL!$C$42, 0.1146, 0.1146)*CHOOSE(CONTROL!$C$42, 121.5, 121.5)*CHOOSE(CONTROL!$C$42, 30, 30))/1000000</f>
        <v>0.417717</v>
      </c>
      <c r="X76" s="56">
        <f>(30*0.1790888*145000/1000000)+(30*0.2374*100000/1000000)</f>
        <v>1.4912362799999999</v>
      </c>
      <c r="Y76" s="56"/>
      <c r="Z76" s="17"/>
      <c r="AA76" s="55"/>
      <c r="AB76" s="48">
        <f>(B76*141.293+C76*267.993+D76*115.016+E76*189.698+F76*40+G76*85+H76*0+I76*100+J76*300)/(141.293+267.993+115.016+189.698+0+40+85+100+300)</f>
        <v>6.0378010218724771</v>
      </c>
      <c r="AC76" s="45">
        <f>(M76*'RAP TEMPLATE-GAS AVAILABILITY'!O75+N76*'RAP TEMPLATE-GAS AVAILABILITY'!P75+O76*'RAP TEMPLATE-GAS AVAILABILITY'!Q75+P76*'RAP TEMPLATE-GAS AVAILABILITY'!R75)/('RAP TEMPLATE-GAS AVAILABILITY'!O75+'RAP TEMPLATE-GAS AVAILABILITY'!P75+'RAP TEMPLATE-GAS AVAILABILITY'!Q75+'RAP TEMPLATE-GAS AVAILABILITY'!R75)</f>
        <v>5.9537848920863299</v>
      </c>
    </row>
    <row r="77" spans="1:29" ht="15.75" x14ac:dyDescent="0.25">
      <c r="A77" s="16">
        <v>43221</v>
      </c>
      <c r="B77" s="17">
        <f>CHOOSE(CONTROL!$C$42, 6.0203, 6.0203) * CHOOSE(CONTROL!$C$21, $C$9, 100%, $E$9)</f>
        <v>6.0202999999999998</v>
      </c>
      <c r="C77" s="17">
        <f>CHOOSE(CONTROL!$C$42, 6.0283, 6.0283) * CHOOSE(CONTROL!$C$21, $C$9, 100%, $E$9)</f>
        <v>6.0282999999999998</v>
      </c>
      <c r="D77" s="17">
        <f>CHOOSE(CONTROL!$C$42, 6.2994, 6.2994) * CHOOSE(CONTROL!$C$21, $C$9, 100%, $E$9)</f>
        <v>6.2994000000000003</v>
      </c>
      <c r="E77" s="17">
        <f>CHOOSE(CONTROL!$C$42, 6.3309, 6.3309) * CHOOSE(CONTROL!$C$21, $C$9, 100%, $E$9)</f>
        <v>6.3308999999999997</v>
      </c>
      <c r="F77" s="17">
        <f>CHOOSE(CONTROL!$C$42, 6.0385, 6.0385)*CHOOSE(CONTROL!$C$21, $C$9, 100%, $E$9)</f>
        <v>6.0385</v>
      </c>
      <c r="G77" s="17">
        <f>CHOOSE(CONTROL!$C$42, 6.0551, 6.0551)*CHOOSE(CONTROL!$C$21, $C$9, 100%, $E$9)</f>
        <v>6.0551000000000004</v>
      </c>
      <c r="H77" s="17">
        <f>CHOOSE(CONTROL!$C$42, 6.3195, 6.3195) * CHOOSE(CONTROL!$C$21, $C$9, 100%, $E$9)</f>
        <v>6.3194999999999997</v>
      </c>
      <c r="I77" s="17">
        <f>CHOOSE(CONTROL!$C$42, 6.059, 6.059)* CHOOSE(CONTROL!$C$21, $C$9, 100%, $E$9)</f>
        <v>6.0590000000000002</v>
      </c>
      <c r="J77" s="17">
        <f>CHOOSE(CONTROL!$C$42, 6.0315, 6.0315)* CHOOSE(CONTROL!$C$21, $C$9, 100%, $E$9)</f>
        <v>6.0315000000000003</v>
      </c>
      <c r="K77" s="52">
        <f>CHOOSE(CONTROL!$C$42, 6.0548, 6.0548) * CHOOSE(CONTROL!$C$21, $C$9, 100%, $E$9)</f>
        <v>6.0548000000000002</v>
      </c>
      <c r="L77" s="17">
        <f>CHOOSE(CONTROL!$C$42, 6.9065, 6.9065) * CHOOSE(CONTROL!$C$21, $C$9, 100%, $E$9)</f>
        <v>6.9065000000000003</v>
      </c>
      <c r="M77" s="17">
        <f>CHOOSE(CONTROL!$C$42, 5.9307, 5.9307) * CHOOSE(CONTROL!$C$21, $C$9, 100%, $E$9)</f>
        <v>5.9306999999999999</v>
      </c>
      <c r="N77" s="17">
        <f>CHOOSE(CONTROL!$C$42, 5.947, 5.947) * CHOOSE(CONTROL!$C$21, $C$9, 100%, $E$9)</f>
        <v>5.9470000000000001</v>
      </c>
      <c r="O77" s="17">
        <f>CHOOSE(CONTROL!$C$42, 6.2135, 6.2135) * CHOOSE(CONTROL!$C$21, $C$9, 100%, $E$9)</f>
        <v>6.2134999999999998</v>
      </c>
      <c r="P77" s="17">
        <f>CHOOSE(CONTROL!$C$42, 5.9575, 5.9575) * CHOOSE(CONTROL!$C$21, $C$9, 100%, $E$9)</f>
        <v>5.9574999999999996</v>
      </c>
      <c r="Q77" s="17">
        <f>CHOOSE(CONTROL!$C$42, 6.8082, 6.8082) * CHOOSE(CONTROL!$C$21, $C$9, 100%, $E$9)</f>
        <v>6.8082000000000003</v>
      </c>
      <c r="R77" s="17">
        <f>CHOOSE(CONTROL!$C$42, 7.4122, 7.4122) * CHOOSE(CONTROL!$C$21, $C$9, 100%, $E$9)</f>
        <v>7.4122000000000003</v>
      </c>
      <c r="S77" s="17">
        <f>CHOOSE(CONTROL!$C$42, 5.7743, 5.7743) * CHOOSE(CONTROL!$C$21, $C$9, 100%, $E$9)</f>
        <v>5.7743000000000002</v>
      </c>
      <c r="T7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77" s="56">
        <f>(1000*CHOOSE(CONTROL!$C$42, 695, 695)*CHOOSE(CONTROL!$C$42, 0.5599, 0.5599)*CHOOSE(CONTROL!$C$42, 31, 31))/1000000</f>
        <v>12.063045499999998</v>
      </c>
      <c r="V77" s="56">
        <f>(1000*CHOOSE(CONTROL!$C$42, 500, 500)*CHOOSE(CONTROL!$C$42, 0.275, 0.275)*CHOOSE(CONTROL!$C$42, 31, 31))/1000000</f>
        <v>4.2625000000000002</v>
      </c>
      <c r="W77" s="56">
        <f>(1000*CHOOSE(CONTROL!$C$42, 0.1146, 0.1146)*CHOOSE(CONTROL!$C$42, 121.5, 121.5)*CHOOSE(CONTROL!$C$42, 31, 31))/1000000</f>
        <v>0.43164089999999994</v>
      </c>
      <c r="X77" s="56">
        <f>(31*0.1790888*145000/1000000)+(31*0.2374*100000/1000000)</f>
        <v>1.5409441560000001</v>
      </c>
      <c r="Y77" s="56"/>
      <c r="Z77" s="17"/>
      <c r="AA77" s="55"/>
      <c r="AB77" s="48">
        <f>(B77*194.205+C77*267.466+D77*133.845+E77*153.484+F77*40+G77*85+H77*0+I77*100+J77*300)/(194.205+267.466+133.845+153.484+0+40+85+100+300)</f>
        <v>6.0972890093406589</v>
      </c>
      <c r="AC77" s="45">
        <f>(M77*'RAP TEMPLATE-GAS AVAILABILITY'!O76+N77*'RAP TEMPLATE-GAS AVAILABILITY'!P76+O77*'RAP TEMPLATE-GAS AVAILABILITY'!Q76+P77*'RAP TEMPLATE-GAS AVAILABILITY'!R76)/('RAP TEMPLATE-GAS AVAILABILITY'!O76+'RAP TEMPLATE-GAS AVAILABILITY'!P76+'RAP TEMPLATE-GAS AVAILABILITY'!Q76+'RAP TEMPLATE-GAS AVAILABILITY'!R76)</f>
        <v>6.0176553956834526</v>
      </c>
    </row>
    <row r="78" spans="1:29" ht="15.75" x14ac:dyDescent="0.25">
      <c r="A78" s="16">
        <v>43252</v>
      </c>
      <c r="B78" s="17">
        <f>CHOOSE(CONTROL!$C$42, 6.2035, 6.2035) * CHOOSE(CONTROL!$C$21, $C$9, 100%, $E$9)</f>
        <v>6.2035</v>
      </c>
      <c r="C78" s="17">
        <f>CHOOSE(CONTROL!$C$42, 6.2115, 6.2115) * CHOOSE(CONTROL!$C$21, $C$9, 100%, $E$9)</f>
        <v>6.2115</v>
      </c>
      <c r="D78" s="17">
        <f>CHOOSE(CONTROL!$C$42, 6.4826, 6.4826) * CHOOSE(CONTROL!$C$21, $C$9, 100%, $E$9)</f>
        <v>6.4825999999999997</v>
      </c>
      <c r="E78" s="17">
        <f>CHOOSE(CONTROL!$C$42, 6.514, 6.514) * CHOOSE(CONTROL!$C$21, $C$9, 100%, $E$9)</f>
        <v>6.5140000000000002</v>
      </c>
      <c r="F78" s="17">
        <f>CHOOSE(CONTROL!$C$42, 6.2219, 6.2219)*CHOOSE(CONTROL!$C$21, $C$9, 100%, $E$9)</f>
        <v>6.2218999999999998</v>
      </c>
      <c r="G78" s="17">
        <f>CHOOSE(CONTROL!$C$42, 6.2386, 6.2386)*CHOOSE(CONTROL!$C$21, $C$9, 100%, $E$9)</f>
        <v>6.2385999999999999</v>
      </c>
      <c r="H78" s="17">
        <f>CHOOSE(CONTROL!$C$42, 6.5027, 6.5027) * CHOOSE(CONTROL!$C$21, $C$9, 100%, $E$9)</f>
        <v>6.5026999999999999</v>
      </c>
      <c r="I78" s="17">
        <f>CHOOSE(CONTROL!$C$42, 6.2428, 6.2428)* CHOOSE(CONTROL!$C$21, $C$9, 100%, $E$9)</f>
        <v>6.2427999999999999</v>
      </c>
      <c r="J78" s="17">
        <f>CHOOSE(CONTROL!$C$42, 6.2149, 6.2149)* CHOOSE(CONTROL!$C$21, $C$9, 100%, $E$9)</f>
        <v>6.2149000000000001</v>
      </c>
      <c r="K78" s="52">
        <f>CHOOSE(CONTROL!$C$42, 6.2386, 6.2386) * CHOOSE(CONTROL!$C$21, $C$9, 100%, $E$9)</f>
        <v>6.2385999999999999</v>
      </c>
      <c r="L78" s="17">
        <f>CHOOSE(CONTROL!$C$42, 7.0897, 7.0897) * CHOOSE(CONTROL!$C$21, $C$9, 100%, $E$9)</f>
        <v>7.0896999999999997</v>
      </c>
      <c r="M78" s="17">
        <f>CHOOSE(CONTROL!$C$42, 6.1108, 6.1108) * CHOOSE(CONTROL!$C$21, $C$9, 100%, $E$9)</f>
        <v>6.1108000000000002</v>
      </c>
      <c r="N78" s="17">
        <f>CHOOSE(CONTROL!$C$42, 6.1272, 6.1272) * CHOOSE(CONTROL!$C$21, $C$9, 100%, $E$9)</f>
        <v>6.1272000000000002</v>
      </c>
      <c r="O78" s="17">
        <f>CHOOSE(CONTROL!$C$42, 6.3934, 6.3934) * CHOOSE(CONTROL!$C$21, $C$9, 100%, $E$9)</f>
        <v>6.3933999999999997</v>
      </c>
      <c r="P78" s="17">
        <f>CHOOSE(CONTROL!$C$42, 6.1379, 6.1379) * CHOOSE(CONTROL!$C$21, $C$9, 100%, $E$9)</f>
        <v>6.1379000000000001</v>
      </c>
      <c r="Q78" s="17">
        <f>CHOOSE(CONTROL!$C$42, 6.9881, 6.9881) * CHOOSE(CONTROL!$C$21, $C$9, 100%, $E$9)</f>
        <v>6.9881000000000002</v>
      </c>
      <c r="R78" s="17">
        <f>CHOOSE(CONTROL!$C$42, 7.5926, 7.5926) * CHOOSE(CONTROL!$C$21, $C$9, 100%, $E$9)</f>
        <v>7.5926</v>
      </c>
      <c r="S78" s="17">
        <f>CHOOSE(CONTROL!$C$42, 5.9503, 5.9503) * CHOOSE(CONTROL!$C$21, $C$9, 100%, $E$9)</f>
        <v>5.9503000000000004</v>
      </c>
      <c r="T7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78" s="56">
        <f>(1000*CHOOSE(CONTROL!$C$42, 695, 695)*CHOOSE(CONTROL!$C$42, 0.5599, 0.5599)*CHOOSE(CONTROL!$C$42, 30, 30))/1000000</f>
        <v>11.673914999999997</v>
      </c>
      <c r="V78" s="56">
        <f>(1000*CHOOSE(CONTROL!$C$42, 500, 500)*CHOOSE(CONTROL!$C$42, 0.275, 0.275)*CHOOSE(CONTROL!$C$42, 30, 30))/1000000</f>
        <v>4.125</v>
      </c>
      <c r="W78" s="56">
        <f>(1000*CHOOSE(CONTROL!$C$42, 0.1146, 0.1146)*CHOOSE(CONTROL!$C$42, 121.5, 121.5)*CHOOSE(CONTROL!$C$42, 30, 30))/1000000</f>
        <v>0.417717</v>
      </c>
      <c r="X78" s="56">
        <f>(30*0.1790888*145000/1000000)+(30*0.2374*100000/1000000)</f>
        <v>1.4912362799999999</v>
      </c>
      <c r="Y78" s="56"/>
      <c r="Z78" s="17"/>
      <c r="AA78" s="55"/>
      <c r="AB78" s="48">
        <f>(B78*194.205+C78*267.466+D78*133.845+E78*153.484+F78*40+G78*85+H78*0+I78*100+J78*300)/(194.205+267.466+133.845+153.484+0+40+85+100+300)</f>
        <v>6.2805974485871268</v>
      </c>
      <c r="AC78" s="45">
        <f>(M78*'RAP TEMPLATE-GAS AVAILABILITY'!O77+N78*'RAP TEMPLATE-GAS AVAILABILITY'!P77+O78*'RAP TEMPLATE-GAS AVAILABILITY'!Q77+P78*'RAP TEMPLATE-GAS AVAILABILITY'!R77)/('RAP TEMPLATE-GAS AVAILABILITY'!O77+'RAP TEMPLATE-GAS AVAILABILITY'!P77+'RAP TEMPLATE-GAS AVAILABILITY'!Q77+'RAP TEMPLATE-GAS AVAILABILITY'!R77)</f>
        <v>6.1977654676258993</v>
      </c>
    </row>
    <row r="79" spans="1:29" ht="15.75" x14ac:dyDescent="0.25">
      <c r="A79" s="16">
        <v>43282</v>
      </c>
      <c r="B79" s="17">
        <f>CHOOSE(CONTROL!$C$42, 6.0972, 6.0972) * CHOOSE(CONTROL!$C$21, $C$9, 100%, $E$9)</f>
        <v>6.0972</v>
      </c>
      <c r="C79" s="17">
        <f>CHOOSE(CONTROL!$C$42, 6.1052, 6.1052) * CHOOSE(CONTROL!$C$21, $C$9, 100%, $E$9)</f>
        <v>6.1052</v>
      </c>
      <c r="D79" s="17">
        <f>CHOOSE(CONTROL!$C$42, 6.3763, 6.3763) * CHOOSE(CONTROL!$C$21, $C$9, 100%, $E$9)</f>
        <v>6.3762999999999996</v>
      </c>
      <c r="E79" s="17">
        <f>CHOOSE(CONTROL!$C$42, 6.4078, 6.4078) * CHOOSE(CONTROL!$C$21, $C$9, 100%, $E$9)</f>
        <v>6.4077999999999999</v>
      </c>
      <c r="F79" s="17">
        <f>CHOOSE(CONTROL!$C$42, 6.1161, 6.1161)*CHOOSE(CONTROL!$C$21, $C$9, 100%, $E$9)</f>
        <v>6.1161000000000003</v>
      </c>
      <c r="G79" s="17">
        <f>CHOOSE(CONTROL!$C$42, 6.1329, 6.1329)*CHOOSE(CONTROL!$C$21, $C$9, 100%, $E$9)</f>
        <v>6.1329000000000002</v>
      </c>
      <c r="H79" s="17">
        <f>CHOOSE(CONTROL!$C$42, 6.3964, 6.3964) * CHOOSE(CONTROL!$C$21, $C$9, 100%, $E$9)</f>
        <v>6.3963999999999999</v>
      </c>
      <c r="I79" s="17">
        <f>CHOOSE(CONTROL!$C$42, 6.1362, 6.1362)* CHOOSE(CONTROL!$C$21, $C$9, 100%, $E$9)</f>
        <v>6.1361999999999997</v>
      </c>
      <c r="J79" s="17">
        <f>CHOOSE(CONTROL!$C$42, 6.1091, 6.1091)* CHOOSE(CONTROL!$C$21, $C$9, 100%, $E$9)</f>
        <v>6.1090999999999998</v>
      </c>
      <c r="K79" s="52">
        <f>CHOOSE(CONTROL!$C$42, 6.1319, 6.1319) * CHOOSE(CONTROL!$C$21, $C$9, 100%, $E$9)</f>
        <v>6.1318999999999999</v>
      </c>
      <c r="L79" s="17">
        <f>CHOOSE(CONTROL!$C$42, 6.9834, 6.9834) * CHOOSE(CONTROL!$C$21, $C$9, 100%, $E$9)</f>
        <v>6.9833999999999996</v>
      </c>
      <c r="M79" s="17">
        <f>CHOOSE(CONTROL!$C$42, 6.0069, 6.0069) * CHOOSE(CONTROL!$C$21, $C$9, 100%, $E$9)</f>
        <v>6.0068999999999999</v>
      </c>
      <c r="N79" s="17">
        <f>CHOOSE(CONTROL!$C$42, 6.0234, 6.0234) * CHOOSE(CONTROL!$C$21, $C$9, 100%, $E$9)</f>
        <v>6.0233999999999996</v>
      </c>
      <c r="O79" s="17">
        <f>CHOOSE(CONTROL!$C$42, 6.289, 6.289) * CHOOSE(CONTROL!$C$21, $C$9, 100%, $E$9)</f>
        <v>6.2889999999999997</v>
      </c>
      <c r="P79" s="17">
        <f>CHOOSE(CONTROL!$C$42, 6.0332, 6.0332) * CHOOSE(CONTROL!$C$21, $C$9, 100%, $E$9)</f>
        <v>6.0331999999999999</v>
      </c>
      <c r="Q79" s="17">
        <f>CHOOSE(CONTROL!$C$42, 6.8837, 6.8837) * CHOOSE(CONTROL!$C$21, $C$9, 100%, $E$9)</f>
        <v>6.8837000000000002</v>
      </c>
      <c r="R79" s="17">
        <f>CHOOSE(CONTROL!$C$42, 7.4879, 7.4879) * CHOOSE(CONTROL!$C$21, $C$9, 100%, $E$9)</f>
        <v>7.4878999999999998</v>
      </c>
      <c r="S79" s="17">
        <f>CHOOSE(CONTROL!$C$42, 5.8482, 5.8482) * CHOOSE(CONTROL!$C$21, $C$9, 100%, $E$9)</f>
        <v>5.8482000000000003</v>
      </c>
      <c r="T7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79" s="56">
        <f>(1000*CHOOSE(CONTROL!$C$42, 695, 695)*CHOOSE(CONTROL!$C$42, 0.5599, 0.5599)*CHOOSE(CONTROL!$C$42, 31, 31))/1000000</f>
        <v>12.063045499999998</v>
      </c>
      <c r="V79" s="56">
        <f>(1000*CHOOSE(CONTROL!$C$42, 500, 500)*CHOOSE(CONTROL!$C$42, 0.275, 0.275)*CHOOSE(CONTROL!$C$42, 31, 31))/1000000</f>
        <v>4.2625000000000002</v>
      </c>
      <c r="W79" s="56">
        <f>(1000*CHOOSE(CONTROL!$C$42, 0.1146, 0.1146)*CHOOSE(CONTROL!$C$42, 121.5, 121.5)*CHOOSE(CONTROL!$C$42, 31, 31))/1000000</f>
        <v>0.43164089999999994</v>
      </c>
      <c r="X79" s="56">
        <f>(31*0.1790888*145000/1000000)+(31*0.2374*100000/1000000)</f>
        <v>1.5409441560000001</v>
      </c>
      <c r="Y79" s="56"/>
      <c r="Z79" s="17"/>
      <c r="AA79" s="55"/>
      <c r="AB79" s="48">
        <f>(B79*194.205+C79*267.466+D79*133.845+E79*153.484+F79*40+G79*85+H79*0+I79*100+J79*300)/(194.205+267.466+133.845+153.484+0+40+85+100+300)</f>
        <v>6.1744594175039254</v>
      </c>
      <c r="AC79" s="45">
        <f>(M79*'RAP TEMPLATE-GAS AVAILABILITY'!O78+N79*'RAP TEMPLATE-GAS AVAILABILITY'!P78+O79*'RAP TEMPLATE-GAS AVAILABILITY'!Q78+P79*'RAP TEMPLATE-GAS AVAILABILITY'!R78)/('RAP TEMPLATE-GAS AVAILABILITY'!O78+'RAP TEMPLATE-GAS AVAILABILITY'!P78+'RAP TEMPLATE-GAS AVAILABILITY'!Q78+'RAP TEMPLATE-GAS AVAILABILITY'!R78)</f>
        <v>6.0936330935251792</v>
      </c>
    </row>
    <row r="80" spans="1:29" ht="15.75" x14ac:dyDescent="0.25">
      <c r="A80" s="16">
        <v>43313</v>
      </c>
      <c r="B80" s="17">
        <f>CHOOSE(CONTROL!$C$42, 5.8085, 5.8085) * CHOOSE(CONTROL!$C$21, $C$9, 100%, $E$9)</f>
        <v>5.8085000000000004</v>
      </c>
      <c r="C80" s="17">
        <f>CHOOSE(CONTROL!$C$42, 5.8166, 5.8166) * CHOOSE(CONTROL!$C$21, $C$9, 100%, $E$9)</f>
        <v>5.8166000000000002</v>
      </c>
      <c r="D80" s="17">
        <f>CHOOSE(CONTROL!$C$42, 6.0876, 6.0876) * CHOOSE(CONTROL!$C$21, $C$9, 100%, $E$9)</f>
        <v>6.0876000000000001</v>
      </c>
      <c r="E80" s="17">
        <f>CHOOSE(CONTROL!$C$42, 6.1191, 6.1191) * CHOOSE(CONTROL!$C$21, $C$9, 100%, $E$9)</f>
        <v>6.1191000000000004</v>
      </c>
      <c r="F80" s="17">
        <f>CHOOSE(CONTROL!$C$42, 5.8277, 5.8277)*CHOOSE(CONTROL!$C$21, $C$9, 100%, $E$9)</f>
        <v>5.8277000000000001</v>
      </c>
      <c r="G80" s="17">
        <f>CHOOSE(CONTROL!$C$42, 5.8445, 5.8445)*CHOOSE(CONTROL!$C$21, $C$9, 100%, $E$9)</f>
        <v>5.8445</v>
      </c>
      <c r="H80" s="17">
        <f>CHOOSE(CONTROL!$C$42, 6.1077, 6.1077) * CHOOSE(CONTROL!$C$21, $C$9, 100%, $E$9)</f>
        <v>6.1077000000000004</v>
      </c>
      <c r="I80" s="17">
        <f>CHOOSE(CONTROL!$C$42, 5.8466, 5.8466)* CHOOSE(CONTROL!$C$21, $C$9, 100%, $E$9)</f>
        <v>5.8465999999999996</v>
      </c>
      <c r="J80" s="17">
        <f>CHOOSE(CONTROL!$C$42, 5.8207, 5.8207)* CHOOSE(CONTROL!$C$21, $C$9, 100%, $E$9)</f>
        <v>5.8207000000000004</v>
      </c>
      <c r="K80" s="52">
        <f>CHOOSE(CONTROL!$C$42, 5.8424, 5.8424) * CHOOSE(CONTROL!$C$21, $C$9, 100%, $E$9)</f>
        <v>5.8423999999999996</v>
      </c>
      <c r="L80" s="17">
        <f>CHOOSE(CONTROL!$C$42, 6.6947, 6.6947) * CHOOSE(CONTROL!$C$21, $C$9, 100%, $E$9)</f>
        <v>6.6947000000000001</v>
      </c>
      <c r="M80" s="17">
        <f>CHOOSE(CONTROL!$C$42, 5.7237, 5.7237) * CHOOSE(CONTROL!$C$21, $C$9, 100%, $E$9)</f>
        <v>5.7237</v>
      </c>
      <c r="N80" s="17">
        <f>CHOOSE(CONTROL!$C$42, 5.7402, 5.7402) * CHOOSE(CONTROL!$C$21, $C$9, 100%, $E$9)</f>
        <v>5.7401999999999997</v>
      </c>
      <c r="O80" s="17">
        <f>CHOOSE(CONTROL!$C$42, 6.0056, 6.0056) * CHOOSE(CONTROL!$C$21, $C$9, 100%, $E$9)</f>
        <v>6.0056000000000003</v>
      </c>
      <c r="P80" s="17">
        <f>CHOOSE(CONTROL!$C$42, 5.7489, 5.7489) * CHOOSE(CONTROL!$C$21, $C$9, 100%, $E$9)</f>
        <v>5.7488999999999999</v>
      </c>
      <c r="Q80" s="17">
        <f>CHOOSE(CONTROL!$C$42, 6.6003, 6.6003) * CHOOSE(CONTROL!$C$21, $C$9, 100%, $E$9)</f>
        <v>6.6002999999999998</v>
      </c>
      <c r="R80" s="17">
        <f>CHOOSE(CONTROL!$C$42, 7.2038, 7.2038) * CHOOSE(CONTROL!$C$21, $C$9, 100%, $E$9)</f>
        <v>7.2038000000000002</v>
      </c>
      <c r="S80" s="17">
        <f>CHOOSE(CONTROL!$C$42, 5.5708, 5.5708) * CHOOSE(CONTROL!$C$21, $C$9, 100%, $E$9)</f>
        <v>5.5708000000000002</v>
      </c>
      <c r="T8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80" s="56">
        <f>(1000*CHOOSE(CONTROL!$C$42, 695, 695)*CHOOSE(CONTROL!$C$42, 0.5599, 0.5599)*CHOOSE(CONTROL!$C$42, 31, 31))/1000000</f>
        <v>12.063045499999998</v>
      </c>
      <c r="V80" s="56">
        <f>(1000*CHOOSE(CONTROL!$C$42, 500, 500)*CHOOSE(CONTROL!$C$42, 0.275, 0.275)*CHOOSE(CONTROL!$C$42, 31, 31))/1000000</f>
        <v>4.2625000000000002</v>
      </c>
      <c r="W80" s="56">
        <f>(1000*CHOOSE(CONTROL!$C$42, 0.1146, 0.1146)*CHOOSE(CONTROL!$C$42, 121.5, 121.5)*CHOOSE(CONTROL!$C$42, 31, 31))/1000000</f>
        <v>0.43164089999999994</v>
      </c>
      <c r="X80" s="56">
        <f>(31*0.1790888*145000/1000000)+(31*0.2374*100000/1000000)</f>
        <v>1.5409441560000001</v>
      </c>
      <c r="Y80" s="56"/>
      <c r="Z80" s="17"/>
      <c r="AA80" s="55"/>
      <c r="AB80" s="48">
        <f>(B80*194.205+C80*267.466+D80*133.845+E80*153.484+F80*40+G80*85+H80*0+I80*100+J80*300)/(194.205+267.466+133.845+153.484+0+40+85+100+300)</f>
        <v>5.8858098465463105</v>
      </c>
      <c r="AC80" s="45">
        <f>(M80*'RAP TEMPLATE-GAS AVAILABILITY'!O79+N80*'RAP TEMPLATE-GAS AVAILABILITY'!P79+O80*'RAP TEMPLATE-GAS AVAILABILITY'!Q79+P80*'RAP TEMPLATE-GAS AVAILABILITY'!R79)/('RAP TEMPLATE-GAS AVAILABILITY'!O79+'RAP TEMPLATE-GAS AVAILABILITY'!P79+'RAP TEMPLATE-GAS AVAILABILITY'!Q79+'RAP TEMPLATE-GAS AVAILABILITY'!R79)</f>
        <v>5.8102187050359708</v>
      </c>
    </row>
    <row r="81" spans="1:29" ht="15.75" x14ac:dyDescent="0.25">
      <c r="A81" s="16">
        <v>43344</v>
      </c>
      <c r="B81" s="17">
        <f>CHOOSE(CONTROL!$C$42, 5.4515, 5.4515) * CHOOSE(CONTROL!$C$21, $C$9, 100%, $E$9)</f>
        <v>5.4515000000000002</v>
      </c>
      <c r="C81" s="17">
        <f>CHOOSE(CONTROL!$C$42, 5.4595, 5.4595) * CHOOSE(CONTROL!$C$21, $C$9, 100%, $E$9)</f>
        <v>5.4595000000000002</v>
      </c>
      <c r="D81" s="17">
        <f>CHOOSE(CONTROL!$C$42, 5.7306, 5.7306) * CHOOSE(CONTROL!$C$21, $C$9, 100%, $E$9)</f>
        <v>5.7305999999999999</v>
      </c>
      <c r="E81" s="17">
        <f>CHOOSE(CONTROL!$C$42, 5.762, 5.762) * CHOOSE(CONTROL!$C$21, $C$9, 100%, $E$9)</f>
        <v>5.7619999999999996</v>
      </c>
      <c r="F81" s="17">
        <f>CHOOSE(CONTROL!$C$42, 5.4707, 5.4707)*CHOOSE(CONTROL!$C$21, $C$9, 100%, $E$9)</f>
        <v>5.4706999999999999</v>
      </c>
      <c r="G81" s="17">
        <f>CHOOSE(CONTROL!$C$42, 5.4876, 5.4876)*CHOOSE(CONTROL!$C$21, $C$9, 100%, $E$9)</f>
        <v>5.4875999999999996</v>
      </c>
      <c r="H81" s="17">
        <f>CHOOSE(CONTROL!$C$42, 5.7507, 5.7507) * CHOOSE(CONTROL!$C$21, $C$9, 100%, $E$9)</f>
        <v>5.7507000000000001</v>
      </c>
      <c r="I81" s="17">
        <f>CHOOSE(CONTROL!$C$42, 5.4884, 5.4884)* CHOOSE(CONTROL!$C$21, $C$9, 100%, $E$9)</f>
        <v>5.4884000000000004</v>
      </c>
      <c r="J81" s="17">
        <f>CHOOSE(CONTROL!$C$42, 5.4637, 5.4637)* CHOOSE(CONTROL!$C$21, $C$9, 100%, $E$9)</f>
        <v>5.4637000000000002</v>
      </c>
      <c r="K81" s="52">
        <f>CHOOSE(CONTROL!$C$42, 5.4842, 5.4842) * CHOOSE(CONTROL!$C$21, $C$9, 100%, $E$9)</f>
        <v>5.4842000000000004</v>
      </c>
      <c r="L81" s="17">
        <f>CHOOSE(CONTROL!$C$42, 6.3377, 6.3377) * CHOOSE(CONTROL!$C$21, $C$9, 100%, $E$9)</f>
        <v>6.3376999999999999</v>
      </c>
      <c r="M81" s="17">
        <f>CHOOSE(CONTROL!$C$42, 5.3731, 5.3731) * CHOOSE(CONTROL!$C$21, $C$9, 100%, $E$9)</f>
        <v>5.3731</v>
      </c>
      <c r="N81" s="17">
        <f>CHOOSE(CONTROL!$C$42, 5.3897, 5.3897) * CHOOSE(CONTROL!$C$21, $C$9, 100%, $E$9)</f>
        <v>5.3897000000000004</v>
      </c>
      <c r="O81" s="17">
        <f>CHOOSE(CONTROL!$C$42, 5.6549, 5.6549) * CHOOSE(CONTROL!$C$21, $C$9, 100%, $E$9)</f>
        <v>5.6548999999999996</v>
      </c>
      <c r="P81" s="17">
        <f>CHOOSE(CONTROL!$C$42, 5.3972, 5.3972) * CHOOSE(CONTROL!$C$21, $C$9, 100%, $E$9)</f>
        <v>5.3971999999999998</v>
      </c>
      <c r="Q81" s="17">
        <f>CHOOSE(CONTROL!$C$42, 6.2496, 6.2496) * CHOOSE(CONTROL!$C$21, $C$9, 100%, $E$9)</f>
        <v>6.2496</v>
      </c>
      <c r="R81" s="17">
        <f>CHOOSE(CONTROL!$C$42, 6.8522, 6.8522) * CHOOSE(CONTROL!$C$21, $C$9, 100%, $E$9)</f>
        <v>6.8521999999999998</v>
      </c>
      <c r="S81" s="17">
        <f>CHOOSE(CONTROL!$C$42, 5.2277, 5.2277) * CHOOSE(CONTROL!$C$21, $C$9, 100%, $E$9)</f>
        <v>5.2276999999999996</v>
      </c>
      <c r="T8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81" s="56">
        <f>(1000*CHOOSE(CONTROL!$C$42, 695, 695)*CHOOSE(CONTROL!$C$42, 0.5599, 0.5599)*CHOOSE(CONTROL!$C$42, 30, 30))/1000000</f>
        <v>11.673914999999997</v>
      </c>
      <c r="V81" s="56">
        <f>(1000*CHOOSE(CONTROL!$C$42, 500, 500)*CHOOSE(CONTROL!$C$42, 0.275, 0.275)*CHOOSE(CONTROL!$C$42, 30, 30))/1000000</f>
        <v>4.125</v>
      </c>
      <c r="W81" s="56">
        <f>(1000*CHOOSE(CONTROL!$C$42, 0.1146, 0.1146)*CHOOSE(CONTROL!$C$42, 121.5, 121.5)*CHOOSE(CONTROL!$C$42, 30, 30))/1000000</f>
        <v>0.417717</v>
      </c>
      <c r="X81" s="56">
        <f>(30*0.1790888*145000/1000000)+(30*0.2374*100000/1000000)</f>
        <v>1.4912362799999999</v>
      </c>
      <c r="Y81" s="56"/>
      <c r="Z81" s="17"/>
      <c r="AA81" s="55"/>
      <c r="AB81" s="48">
        <f>(B81*194.205+C81*267.466+D81*133.845+E81*153.484+F81*40+G81*85+H81*0+I81*100+J81*300)/(194.205+267.466+133.845+153.484+0+40+85+100+300)</f>
        <v>5.5286892853218212</v>
      </c>
      <c r="AC81" s="45">
        <f>(M81*'RAP TEMPLATE-GAS AVAILABILITY'!O80+N81*'RAP TEMPLATE-GAS AVAILABILITY'!P80+O81*'RAP TEMPLATE-GAS AVAILABILITY'!Q80+P81*'RAP TEMPLATE-GAS AVAILABILITY'!R80)/('RAP TEMPLATE-GAS AVAILABILITY'!O80+'RAP TEMPLATE-GAS AVAILABILITY'!P80+'RAP TEMPLATE-GAS AVAILABILITY'!Q80+'RAP TEMPLATE-GAS AVAILABILITY'!R80)</f>
        <v>5.4594553956834533</v>
      </c>
    </row>
    <row r="82" spans="1:29" ht="15.75" x14ac:dyDescent="0.25">
      <c r="A82" s="16">
        <v>43374</v>
      </c>
      <c r="B82" s="17">
        <f>CHOOSE(CONTROL!$C$42, 5.3503, 5.3503) * CHOOSE(CONTROL!$C$21, $C$9, 100%, $E$9)</f>
        <v>5.3502999999999998</v>
      </c>
      <c r="C82" s="17">
        <f>CHOOSE(CONTROL!$C$42, 5.3556, 5.3556) * CHOOSE(CONTROL!$C$21, $C$9, 100%, $E$9)</f>
        <v>5.3555999999999999</v>
      </c>
      <c r="D82" s="17">
        <f>CHOOSE(CONTROL!$C$42, 5.6316, 5.6316) * CHOOSE(CONTROL!$C$21, $C$9, 100%, $E$9)</f>
        <v>5.6315999999999997</v>
      </c>
      <c r="E82" s="17">
        <f>CHOOSE(CONTROL!$C$42, 5.6607, 5.6607) * CHOOSE(CONTROL!$C$21, $C$9, 100%, $E$9)</f>
        <v>5.6607000000000003</v>
      </c>
      <c r="F82" s="17">
        <f>CHOOSE(CONTROL!$C$42, 5.3717, 5.3717)*CHOOSE(CONTROL!$C$21, $C$9, 100%, $E$9)</f>
        <v>5.3716999999999997</v>
      </c>
      <c r="G82" s="17">
        <f>CHOOSE(CONTROL!$C$42, 5.3885, 5.3885)*CHOOSE(CONTROL!$C$21, $C$9, 100%, $E$9)</f>
        <v>5.3884999999999996</v>
      </c>
      <c r="H82" s="17">
        <f>CHOOSE(CONTROL!$C$42, 5.6512, 5.6512) * CHOOSE(CONTROL!$C$21, $C$9, 100%, $E$9)</f>
        <v>5.6512000000000002</v>
      </c>
      <c r="I82" s="17">
        <f>CHOOSE(CONTROL!$C$42, 5.3886, 5.3886)* CHOOSE(CONTROL!$C$21, $C$9, 100%, $E$9)</f>
        <v>5.3886000000000003</v>
      </c>
      <c r="J82" s="17">
        <f>CHOOSE(CONTROL!$C$42, 5.3647, 5.3647)* CHOOSE(CONTROL!$C$21, $C$9, 100%, $E$9)</f>
        <v>5.3647</v>
      </c>
      <c r="K82" s="52">
        <f>CHOOSE(CONTROL!$C$42, 5.3844, 5.3844) * CHOOSE(CONTROL!$C$21, $C$9, 100%, $E$9)</f>
        <v>5.3844000000000003</v>
      </c>
      <c r="L82" s="17">
        <f>CHOOSE(CONTROL!$C$42, 6.2382, 6.2382) * CHOOSE(CONTROL!$C$21, $C$9, 100%, $E$9)</f>
        <v>6.2382</v>
      </c>
      <c r="M82" s="17">
        <f>CHOOSE(CONTROL!$C$42, 5.2759, 5.2759) * CHOOSE(CONTROL!$C$21, $C$9, 100%, $E$9)</f>
        <v>5.2759</v>
      </c>
      <c r="N82" s="17">
        <f>CHOOSE(CONTROL!$C$42, 5.2924, 5.2924) * CHOOSE(CONTROL!$C$21, $C$9, 100%, $E$9)</f>
        <v>5.2923999999999998</v>
      </c>
      <c r="O82" s="17">
        <f>CHOOSE(CONTROL!$C$42, 5.5572, 5.5572) * CHOOSE(CONTROL!$C$21, $C$9, 100%, $E$9)</f>
        <v>5.5571999999999999</v>
      </c>
      <c r="P82" s="17">
        <f>CHOOSE(CONTROL!$C$42, 5.2992, 5.2992) * CHOOSE(CONTROL!$C$21, $C$9, 100%, $E$9)</f>
        <v>5.2991999999999999</v>
      </c>
      <c r="Q82" s="17">
        <f>CHOOSE(CONTROL!$C$42, 6.1519, 6.1519) * CHOOSE(CONTROL!$C$21, $C$9, 100%, $E$9)</f>
        <v>6.1519000000000004</v>
      </c>
      <c r="R82" s="17">
        <f>CHOOSE(CONTROL!$C$42, 6.7543, 6.7543) * CHOOSE(CONTROL!$C$21, $C$9, 100%, $E$9)</f>
        <v>6.7542999999999997</v>
      </c>
      <c r="S82" s="17">
        <f>CHOOSE(CONTROL!$C$42, 5.1321, 5.1321) * CHOOSE(CONTROL!$C$21, $C$9, 100%, $E$9)</f>
        <v>5.1321000000000003</v>
      </c>
      <c r="T8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82" s="56">
        <f>(1000*CHOOSE(CONTROL!$C$42, 695, 695)*CHOOSE(CONTROL!$C$42, 0.5599, 0.5599)*CHOOSE(CONTROL!$C$42, 31, 31))/1000000</f>
        <v>12.063045499999998</v>
      </c>
      <c r="V82" s="56">
        <f>(1000*CHOOSE(CONTROL!$C$42, 500, 500)*CHOOSE(CONTROL!$C$42, 0.275, 0.275)*CHOOSE(CONTROL!$C$42, 31, 31))/1000000</f>
        <v>4.2625000000000002</v>
      </c>
      <c r="W82" s="56">
        <f>(1000*CHOOSE(CONTROL!$C$42, 0.1146, 0.1146)*CHOOSE(CONTROL!$C$42, 121.5, 121.5)*CHOOSE(CONTROL!$C$42, 31, 31))/1000000</f>
        <v>0.43164089999999994</v>
      </c>
      <c r="X82" s="56">
        <f>(31*0.1790888*145000/1000000)+(31*0.2374*100000/1000000)</f>
        <v>1.5409441560000001</v>
      </c>
      <c r="Y82" s="56"/>
      <c r="Z82" s="17"/>
      <c r="AA82" s="55"/>
      <c r="AB82" s="48">
        <f>(B82*131.881+C82*277.167+D82*79.08+E82*225.872+F82*40+G82*85+H82*0+I82*100+J82*300)/(131.881+277.167+79.08+225.872+0+40+85+100+300)</f>
        <v>5.4359157045197737</v>
      </c>
      <c r="AC82" s="45">
        <f>(M82*'RAP TEMPLATE-GAS AVAILABILITY'!O81+N82*'RAP TEMPLATE-GAS AVAILABILITY'!P81+O82*'RAP TEMPLATE-GAS AVAILABILITY'!Q81+P82*'RAP TEMPLATE-GAS AVAILABILITY'!R81)/('RAP TEMPLATE-GAS AVAILABILITY'!O81+'RAP TEMPLATE-GAS AVAILABILITY'!P81+'RAP TEMPLATE-GAS AVAILABILITY'!Q81+'RAP TEMPLATE-GAS AVAILABILITY'!R81)</f>
        <v>5.3619769784172666</v>
      </c>
    </row>
    <row r="83" spans="1:29" ht="15.75" x14ac:dyDescent="0.25">
      <c r="A83" s="16">
        <v>43405</v>
      </c>
      <c r="B83" s="17">
        <f>CHOOSE(CONTROL!$C$42, 5.5018, 5.5018) * CHOOSE(CONTROL!$C$21, $C$9, 100%, $E$9)</f>
        <v>5.5018000000000002</v>
      </c>
      <c r="C83" s="17">
        <f>CHOOSE(CONTROL!$C$42, 5.5069, 5.5069) * CHOOSE(CONTROL!$C$21, $C$9, 100%, $E$9)</f>
        <v>5.5068999999999999</v>
      </c>
      <c r="D83" s="17">
        <f>CHOOSE(CONTROL!$C$42, 5.6019, 5.6019) * CHOOSE(CONTROL!$C$21, $C$9, 100%, $E$9)</f>
        <v>5.6018999999999997</v>
      </c>
      <c r="E83" s="17">
        <f>CHOOSE(CONTROL!$C$42, 5.636, 5.636) * CHOOSE(CONTROL!$C$21, $C$9, 100%, $E$9)</f>
        <v>5.6360000000000001</v>
      </c>
      <c r="F83" s="17">
        <f>CHOOSE(CONTROL!$C$42, 5.5257, 5.5257)*CHOOSE(CONTROL!$C$21, $C$9, 100%, $E$9)</f>
        <v>5.5256999999999996</v>
      </c>
      <c r="G83" s="17">
        <f>CHOOSE(CONTROL!$C$42, 5.5428, 5.5428)*CHOOSE(CONTROL!$C$21, $C$9, 100%, $E$9)</f>
        <v>5.5427999999999997</v>
      </c>
      <c r="H83" s="17">
        <f>CHOOSE(CONTROL!$C$42, 5.6252, 5.6252) * CHOOSE(CONTROL!$C$21, $C$9, 100%, $E$9)</f>
        <v>5.6252000000000004</v>
      </c>
      <c r="I83" s="17">
        <f>CHOOSE(CONTROL!$C$42, 5.539, 5.539)* CHOOSE(CONTROL!$C$21, $C$9, 100%, $E$9)</f>
        <v>5.5389999999999997</v>
      </c>
      <c r="J83" s="17">
        <f>CHOOSE(CONTROL!$C$42, 5.5187, 5.5187)* CHOOSE(CONTROL!$C$21, $C$9, 100%, $E$9)</f>
        <v>5.5186999999999999</v>
      </c>
      <c r="K83" s="52">
        <f>CHOOSE(CONTROL!$C$42, 5.5348, 5.5348) * CHOOSE(CONTROL!$C$21, $C$9, 100%, $E$9)</f>
        <v>5.5347999999999997</v>
      </c>
      <c r="L83" s="17">
        <f>CHOOSE(CONTROL!$C$42, 6.2122, 6.2122) * CHOOSE(CONTROL!$C$21, $C$9, 100%, $E$9)</f>
        <v>6.2122000000000002</v>
      </c>
      <c r="M83" s="17">
        <f>CHOOSE(CONTROL!$C$42, 5.4272, 5.4272) * CHOOSE(CONTROL!$C$21, $C$9, 100%, $E$9)</f>
        <v>5.4272</v>
      </c>
      <c r="N83" s="17">
        <f>CHOOSE(CONTROL!$C$42, 5.4439, 5.4439) * CHOOSE(CONTROL!$C$21, $C$9, 100%, $E$9)</f>
        <v>5.4439000000000002</v>
      </c>
      <c r="O83" s="17">
        <f>CHOOSE(CONTROL!$C$42, 5.5317, 5.5317) * CHOOSE(CONTROL!$C$21, $C$9, 100%, $E$9)</f>
        <v>5.5316999999999998</v>
      </c>
      <c r="P83" s="17">
        <f>CHOOSE(CONTROL!$C$42, 5.4468, 5.4468) * CHOOSE(CONTROL!$C$21, $C$9, 100%, $E$9)</f>
        <v>5.4467999999999996</v>
      </c>
      <c r="Q83" s="17">
        <f>CHOOSE(CONTROL!$C$42, 6.1264, 6.1264) * CHOOSE(CONTROL!$C$21, $C$9, 100%, $E$9)</f>
        <v>6.1264000000000003</v>
      </c>
      <c r="R83" s="17">
        <f>CHOOSE(CONTROL!$C$42, 6.7287, 6.7287) * CHOOSE(CONTROL!$C$21, $C$9, 100%, $E$9)</f>
        <v>6.7286999999999999</v>
      </c>
      <c r="S83" s="17">
        <f>CHOOSE(CONTROL!$C$42, 5.2782, 5.2782) * CHOOSE(CONTROL!$C$21, $C$9, 100%, $E$9)</f>
        <v>5.2782</v>
      </c>
      <c r="T8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83" s="56">
        <f>(1000*CHOOSE(CONTROL!$C$42, 695, 695)*CHOOSE(CONTROL!$C$42, 0.5599, 0.5599)*CHOOSE(CONTROL!$C$42, 30, 30))/1000000</f>
        <v>11.673914999999997</v>
      </c>
      <c r="V83" s="56">
        <f>(1000*CHOOSE(CONTROL!$C$42, 500, 500)*CHOOSE(CONTROL!$C$42, 0.275, 0.275)*CHOOSE(CONTROL!$C$42, 30, 30))/1000000</f>
        <v>4.125</v>
      </c>
      <c r="W83" s="56">
        <f>(1000*CHOOSE(CONTROL!$C$42, 0.1146, 0.1146)*CHOOSE(CONTROL!$C$42, 121.5, 121.5)*CHOOSE(CONTROL!$C$42, 30, 30))/1000000</f>
        <v>0.417717</v>
      </c>
      <c r="X83" s="56">
        <f>(30*0.2374*100000/1000000)</f>
        <v>0.71220000000000006</v>
      </c>
      <c r="Y83" s="56"/>
      <c r="Z83" s="17"/>
      <c r="AA83" s="55"/>
      <c r="AB83" s="48">
        <f>(B83*122.58+C83*297.941+D83*89.177+E83*140.302+F83*40+G83*60+H83*0+I83*100+J83*300)/(122.58+297.941+89.177+140.302+0+40+60+100+300)</f>
        <v>5.5378701262608692</v>
      </c>
      <c r="AC83" s="45">
        <f>(M83*'RAP TEMPLATE-GAS AVAILABILITY'!O82+N83*'RAP TEMPLATE-GAS AVAILABILITY'!P82+O83*'RAP TEMPLATE-GAS AVAILABILITY'!Q82+P83*'RAP TEMPLATE-GAS AVAILABILITY'!R82)/('RAP TEMPLATE-GAS AVAILABILITY'!O82+'RAP TEMPLATE-GAS AVAILABILITY'!P82+'RAP TEMPLATE-GAS AVAILABILITY'!Q82+'RAP TEMPLATE-GAS AVAILABILITY'!R82)</f>
        <v>5.4783446043165469</v>
      </c>
    </row>
    <row r="84" spans="1:29" ht="15.75" x14ac:dyDescent="0.25">
      <c r="A84" s="16">
        <v>43435</v>
      </c>
      <c r="B84" s="17">
        <f>CHOOSE(CONTROL!$C$42, 5.8884, 5.8884) * CHOOSE(CONTROL!$C$21, $C$9, 100%, $E$9)</f>
        <v>5.8883999999999999</v>
      </c>
      <c r="C84" s="17">
        <f>CHOOSE(CONTROL!$C$42, 5.8934, 5.8934) * CHOOSE(CONTROL!$C$21, $C$9, 100%, $E$9)</f>
        <v>5.8933999999999997</v>
      </c>
      <c r="D84" s="17">
        <f>CHOOSE(CONTROL!$C$42, 5.9885, 5.9885) * CHOOSE(CONTROL!$C$21, $C$9, 100%, $E$9)</f>
        <v>5.9885000000000002</v>
      </c>
      <c r="E84" s="17">
        <f>CHOOSE(CONTROL!$C$42, 6.0226, 6.0226) * CHOOSE(CONTROL!$C$21, $C$9, 100%, $E$9)</f>
        <v>6.0225999999999997</v>
      </c>
      <c r="F84" s="17">
        <f>CHOOSE(CONTROL!$C$42, 5.9146, 5.9146)*CHOOSE(CONTROL!$C$21, $C$9, 100%, $E$9)</f>
        <v>5.9146000000000001</v>
      </c>
      <c r="G84" s="17">
        <f>CHOOSE(CONTROL!$C$42, 5.9323, 5.9323)*CHOOSE(CONTROL!$C$21, $C$9, 100%, $E$9)</f>
        <v>5.9322999999999997</v>
      </c>
      <c r="H84" s="17">
        <f>CHOOSE(CONTROL!$C$42, 6.0118, 6.0118) * CHOOSE(CONTROL!$C$21, $C$9, 100%, $E$9)</f>
        <v>6.0118</v>
      </c>
      <c r="I84" s="17">
        <f>CHOOSE(CONTROL!$C$42, 5.9268, 5.9268)* CHOOSE(CONTROL!$C$21, $C$9, 100%, $E$9)</f>
        <v>5.9268000000000001</v>
      </c>
      <c r="J84" s="17">
        <f>CHOOSE(CONTROL!$C$42, 5.9076, 5.9076)* CHOOSE(CONTROL!$C$21, $C$9, 100%, $E$9)</f>
        <v>5.9076000000000004</v>
      </c>
      <c r="K84" s="52">
        <f>CHOOSE(CONTROL!$C$42, 5.9225, 5.9225) * CHOOSE(CONTROL!$C$21, $C$9, 100%, $E$9)</f>
        <v>5.9225000000000003</v>
      </c>
      <c r="L84" s="17">
        <f>CHOOSE(CONTROL!$C$42, 6.5988, 6.5988) * CHOOSE(CONTROL!$C$21, $C$9, 100%, $E$9)</f>
        <v>6.5987999999999998</v>
      </c>
      <c r="M84" s="17">
        <f>CHOOSE(CONTROL!$C$42, 5.809, 5.809) * CHOOSE(CONTROL!$C$21, $C$9, 100%, $E$9)</f>
        <v>5.8090000000000002</v>
      </c>
      <c r="N84" s="17">
        <f>CHOOSE(CONTROL!$C$42, 5.8264, 5.8264) * CHOOSE(CONTROL!$C$21, $C$9, 100%, $E$9)</f>
        <v>5.8263999999999996</v>
      </c>
      <c r="O84" s="17">
        <f>CHOOSE(CONTROL!$C$42, 5.9113, 5.9113) * CHOOSE(CONTROL!$C$21, $C$9, 100%, $E$9)</f>
        <v>5.9112999999999998</v>
      </c>
      <c r="P84" s="17">
        <f>CHOOSE(CONTROL!$C$42, 5.8276, 5.8276) * CHOOSE(CONTROL!$C$21, $C$9, 100%, $E$9)</f>
        <v>5.8276000000000003</v>
      </c>
      <c r="Q84" s="17">
        <f>CHOOSE(CONTROL!$C$42, 6.506, 6.506) * CHOOSE(CONTROL!$C$21, $C$9, 100%, $E$9)</f>
        <v>6.5060000000000002</v>
      </c>
      <c r="R84" s="17">
        <f>CHOOSE(CONTROL!$C$42, 7.1093, 7.1093) * CHOOSE(CONTROL!$C$21, $C$9, 100%, $E$9)</f>
        <v>7.1093000000000002</v>
      </c>
      <c r="S84" s="17">
        <f>CHOOSE(CONTROL!$C$42, 5.6496, 5.6496) * CHOOSE(CONTROL!$C$21, $C$9, 100%, $E$9)</f>
        <v>5.6496000000000004</v>
      </c>
      <c r="T8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84" s="56">
        <f>(1000*CHOOSE(CONTROL!$C$42, 695, 695)*CHOOSE(CONTROL!$C$42, 0.5599, 0.5599)*CHOOSE(CONTROL!$C$42, 31, 31))/1000000</f>
        <v>12.063045499999998</v>
      </c>
      <c r="V84" s="56">
        <f>(1000*CHOOSE(CONTROL!$C$42, 500, 500)*CHOOSE(CONTROL!$C$42, 0.275, 0.275)*CHOOSE(CONTROL!$C$42, 31, 31))/1000000</f>
        <v>4.2625000000000002</v>
      </c>
      <c r="W84" s="56">
        <f>(1000*CHOOSE(CONTROL!$C$42, 0.1146, 0.1146)*CHOOSE(CONTROL!$C$42, 121.5, 121.5)*CHOOSE(CONTROL!$C$42, 31, 31))/1000000</f>
        <v>0.43164089999999994</v>
      </c>
      <c r="X84" s="56">
        <f>(31*0.2374*100000/1000000)</f>
        <v>0.73594000000000004</v>
      </c>
      <c r="Y84" s="56"/>
      <c r="Z84" s="17"/>
      <c r="AA84" s="55"/>
      <c r="AB84" s="48">
        <f>(B84*122.58+C84*297.941+D84*89.177+E84*140.302+F84*40+G84*60+H84*0+I84*100+J84*300)/(122.58+297.941+89.177+140.302+0+40+60+100+300)</f>
        <v>5.9253798705217386</v>
      </c>
      <c r="AC84" s="45">
        <f>(M84*'RAP TEMPLATE-GAS AVAILABILITY'!O83+N84*'RAP TEMPLATE-GAS AVAILABILITY'!P83+O84*'RAP TEMPLATE-GAS AVAILABILITY'!Q83+P84*'RAP TEMPLATE-GAS AVAILABILITY'!R83)/('RAP TEMPLATE-GAS AVAILABILITY'!O83+'RAP TEMPLATE-GAS AVAILABILITY'!P83+'RAP TEMPLATE-GAS AVAILABILITY'!Q83+'RAP TEMPLATE-GAS AVAILABILITY'!R83)</f>
        <v>5.8590438848920865</v>
      </c>
    </row>
    <row r="85" spans="1:29" ht="15.75" x14ac:dyDescent="0.25">
      <c r="A85" s="16">
        <v>43466</v>
      </c>
      <c r="B85" s="17">
        <f>CHOOSE(CONTROL!$C$42, 6.5617, 6.5617) * CHOOSE(CONTROL!$C$21, $C$9, 100%, $E$9)</f>
        <v>6.5617000000000001</v>
      </c>
      <c r="C85" s="17">
        <f>CHOOSE(CONTROL!$C$42, 6.5667, 6.5667) * CHOOSE(CONTROL!$C$21, $C$9, 100%, $E$9)</f>
        <v>6.5667</v>
      </c>
      <c r="D85" s="17">
        <f>CHOOSE(CONTROL!$C$42, 6.6852, 6.6852) * CHOOSE(CONTROL!$C$21, $C$9, 100%, $E$9)</f>
        <v>6.6852</v>
      </c>
      <c r="E85" s="17">
        <f>CHOOSE(CONTROL!$C$42, 6.7193, 6.7193) * CHOOSE(CONTROL!$C$21, $C$9, 100%, $E$9)</f>
        <v>6.7192999999999996</v>
      </c>
      <c r="F85" s="17">
        <f>CHOOSE(CONTROL!$C$42, 6.5821, 6.5821)*CHOOSE(CONTROL!$C$21, $C$9, 100%, $E$9)</f>
        <v>6.5820999999999996</v>
      </c>
      <c r="G85" s="17">
        <f>CHOOSE(CONTROL!$C$42, 6.5989, 6.5989)*CHOOSE(CONTROL!$C$21, $C$9, 100%, $E$9)</f>
        <v>6.5989000000000004</v>
      </c>
      <c r="H85" s="17">
        <f>CHOOSE(CONTROL!$C$42, 6.7085, 6.7085) * CHOOSE(CONTROL!$C$21, $C$9, 100%, $E$9)</f>
        <v>6.7084999999999999</v>
      </c>
      <c r="I85" s="17">
        <f>CHOOSE(CONTROL!$C$42, 6.6058, 6.6058)* CHOOSE(CONTROL!$C$21, $C$9, 100%, $E$9)</f>
        <v>6.6058000000000003</v>
      </c>
      <c r="J85" s="17">
        <f>CHOOSE(CONTROL!$C$42, 6.5751, 6.5751)* CHOOSE(CONTROL!$C$21, $C$9, 100%, $E$9)</f>
        <v>6.5750999999999999</v>
      </c>
      <c r="K85" s="52">
        <f>CHOOSE(CONTROL!$C$42, 6.6016, 6.6016) * CHOOSE(CONTROL!$C$21, $C$9, 100%, $E$9)</f>
        <v>6.6016000000000004</v>
      </c>
      <c r="L85" s="17">
        <f>CHOOSE(CONTROL!$C$42, 7.2955, 7.2955) * CHOOSE(CONTROL!$C$21, $C$9, 100%, $E$9)</f>
        <v>7.2954999999999997</v>
      </c>
      <c r="M85" s="17">
        <f>CHOOSE(CONTROL!$C$42, 6.4645, 6.4645) * CHOOSE(CONTROL!$C$21, $C$9, 100%, $E$9)</f>
        <v>6.4645000000000001</v>
      </c>
      <c r="N85" s="17">
        <f>CHOOSE(CONTROL!$C$42, 6.481, 6.481) * CHOOSE(CONTROL!$C$21, $C$9, 100%, $E$9)</f>
        <v>6.4809999999999999</v>
      </c>
      <c r="O85" s="17">
        <f>CHOOSE(CONTROL!$C$42, 6.5955, 6.5955) * CHOOSE(CONTROL!$C$21, $C$9, 100%, $E$9)</f>
        <v>6.5955000000000004</v>
      </c>
      <c r="P85" s="17">
        <f>CHOOSE(CONTROL!$C$42, 6.4944, 6.4944) * CHOOSE(CONTROL!$C$21, $C$9, 100%, $E$9)</f>
        <v>6.4943999999999997</v>
      </c>
      <c r="Q85" s="17">
        <f>CHOOSE(CONTROL!$C$42, 7.1902, 7.1902) * CHOOSE(CONTROL!$C$21, $C$9, 100%, $E$9)</f>
        <v>7.1901999999999999</v>
      </c>
      <c r="R85" s="17">
        <f>CHOOSE(CONTROL!$C$42, 7.7952, 7.7952) * CHOOSE(CONTROL!$C$21, $C$9, 100%, $E$9)</f>
        <v>7.7952000000000004</v>
      </c>
      <c r="S85" s="17">
        <f>CHOOSE(CONTROL!$C$42, 6.2966, 6.2966) * CHOOSE(CONTROL!$C$21, $C$9, 100%, $E$9)</f>
        <v>6.2965999999999998</v>
      </c>
      <c r="T8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85" s="56">
        <f>(1000*CHOOSE(CONTROL!$C$42, 695, 695)*CHOOSE(CONTROL!$C$42, 0.5599, 0.5599)*CHOOSE(CONTROL!$C$42, 31, 31))/1000000</f>
        <v>12.063045499999998</v>
      </c>
      <c r="V85" s="56">
        <f>(1000*CHOOSE(CONTROL!$C$42, 500, 500)*CHOOSE(CONTROL!$C$42, 0.275, 0.275)*CHOOSE(CONTROL!$C$42, 31, 31))/1000000</f>
        <v>4.2625000000000002</v>
      </c>
      <c r="W85" s="56">
        <f>(1000*CHOOSE(CONTROL!$C$42, 0.1146, 0.1146)*CHOOSE(CONTROL!$C$42, 121.5, 121.5)*CHOOSE(CONTROL!$C$42, 31, 31))/1000000</f>
        <v>0.43164089999999994</v>
      </c>
      <c r="X85" s="56">
        <f>(31*0.2374*100000/1000000)</f>
        <v>0.73594000000000004</v>
      </c>
      <c r="Y85" s="56"/>
      <c r="Z85" s="17"/>
      <c r="AA85" s="55"/>
      <c r="AB85" s="48">
        <f>(B85*122.58+C85*297.941+D85*89.177+E85*140.302+F85*40+G85*60+H85*0+I85*100+J85*300)/(122.58+297.941+89.177+140.302+0+40+60+100+300)</f>
        <v>6.6017805736521726</v>
      </c>
      <c r="AC85" s="45">
        <f>(M85*'RAP TEMPLATE-GAS AVAILABILITY'!O84+N85*'RAP TEMPLATE-GAS AVAILABILITY'!P84+O85*'RAP TEMPLATE-GAS AVAILABILITY'!Q84+P85*'RAP TEMPLATE-GAS AVAILABILITY'!R84)/('RAP TEMPLATE-GAS AVAILABILITY'!O84+'RAP TEMPLATE-GAS AVAILABILITY'!P84+'RAP TEMPLATE-GAS AVAILABILITY'!Q84+'RAP TEMPLATE-GAS AVAILABILITY'!R84)</f>
        <v>6.529125899280575</v>
      </c>
    </row>
    <row r="86" spans="1:29" ht="15.75" x14ac:dyDescent="0.25">
      <c r="A86" s="16">
        <v>43497</v>
      </c>
      <c r="B86" s="17">
        <f>CHOOSE(CONTROL!$C$42, 6.692, 6.692) * CHOOSE(CONTROL!$C$21, $C$9, 100%, $E$9)</f>
        <v>6.6920000000000002</v>
      </c>
      <c r="C86" s="17">
        <f>CHOOSE(CONTROL!$C$42, 6.6971, 6.6971) * CHOOSE(CONTROL!$C$21, $C$9, 100%, $E$9)</f>
        <v>6.6970999999999998</v>
      </c>
      <c r="D86" s="17">
        <f>CHOOSE(CONTROL!$C$42, 6.8156, 6.8156) * CHOOSE(CONTROL!$C$21, $C$9, 100%, $E$9)</f>
        <v>6.8155999999999999</v>
      </c>
      <c r="E86" s="17">
        <f>CHOOSE(CONTROL!$C$42, 6.8497, 6.8497) * CHOOSE(CONTROL!$C$21, $C$9, 100%, $E$9)</f>
        <v>6.8497000000000003</v>
      </c>
      <c r="F86" s="17">
        <f>CHOOSE(CONTROL!$C$42, 6.7124, 6.7124)*CHOOSE(CONTROL!$C$21, $C$9, 100%, $E$9)</f>
        <v>6.7123999999999997</v>
      </c>
      <c r="G86" s="17">
        <f>CHOOSE(CONTROL!$C$42, 6.7292, 6.7292)*CHOOSE(CONTROL!$C$21, $C$9, 100%, $E$9)</f>
        <v>6.7291999999999996</v>
      </c>
      <c r="H86" s="17">
        <f>CHOOSE(CONTROL!$C$42, 6.8389, 6.8389) * CHOOSE(CONTROL!$C$21, $C$9, 100%, $E$9)</f>
        <v>6.8388999999999998</v>
      </c>
      <c r="I86" s="17">
        <f>CHOOSE(CONTROL!$C$42, 6.7366, 6.7366)* CHOOSE(CONTROL!$C$21, $C$9, 100%, $E$9)</f>
        <v>6.7366000000000001</v>
      </c>
      <c r="J86" s="17">
        <f>CHOOSE(CONTROL!$C$42, 6.7054, 6.7054)* CHOOSE(CONTROL!$C$21, $C$9, 100%, $E$9)</f>
        <v>6.7054</v>
      </c>
      <c r="K86" s="52">
        <f>CHOOSE(CONTROL!$C$42, 6.7324, 6.7324) * CHOOSE(CONTROL!$C$21, $C$9, 100%, $E$9)</f>
        <v>6.7324000000000002</v>
      </c>
      <c r="L86" s="17">
        <f>CHOOSE(CONTROL!$C$42, 7.4259, 7.4259) * CHOOSE(CONTROL!$C$21, $C$9, 100%, $E$9)</f>
        <v>7.4259000000000004</v>
      </c>
      <c r="M86" s="17">
        <f>CHOOSE(CONTROL!$C$42, 6.5925, 6.5925) * CHOOSE(CONTROL!$C$21, $C$9, 100%, $E$9)</f>
        <v>6.5925000000000002</v>
      </c>
      <c r="N86" s="17">
        <f>CHOOSE(CONTROL!$C$42, 6.609, 6.609) * CHOOSE(CONTROL!$C$21, $C$9, 100%, $E$9)</f>
        <v>6.609</v>
      </c>
      <c r="O86" s="17">
        <f>CHOOSE(CONTROL!$C$42, 6.7235, 6.7235) * CHOOSE(CONTROL!$C$21, $C$9, 100%, $E$9)</f>
        <v>6.7234999999999996</v>
      </c>
      <c r="P86" s="17">
        <f>CHOOSE(CONTROL!$C$42, 6.6228, 6.6228) * CHOOSE(CONTROL!$C$21, $C$9, 100%, $E$9)</f>
        <v>6.6227999999999998</v>
      </c>
      <c r="Q86" s="17">
        <f>CHOOSE(CONTROL!$C$42, 7.3182, 7.3182) * CHOOSE(CONTROL!$C$21, $C$9, 100%, $E$9)</f>
        <v>7.3182</v>
      </c>
      <c r="R86" s="17">
        <f>CHOOSE(CONTROL!$C$42, 7.9235, 7.9235) * CHOOSE(CONTROL!$C$21, $C$9, 100%, $E$9)</f>
        <v>7.9234999999999998</v>
      </c>
      <c r="S86" s="17">
        <f>CHOOSE(CONTROL!$C$42, 6.4218, 6.4218) * CHOOSE(CONTROL!$C$21, $C$9, 100%, $E$9)</f>
        <v>6.4218000000000002</v>
      </c>
      <c r="T8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86" s="56">
        <f>(1000*CHOOSE(CONTROL!$C$42, 695, 695)*CHOOSE(CONTROL!$C$42, 0.5599, 0.5599)*CHOOSE(CONTROL!$C$42, 28, 28))/1000000</f>
        <v>10.895653999999999</v>
      </c>
      <c r="V86" s="56">
        <f>(1000*CHOOSE(CONTROL!$C$42, 500, 500)*CHOOSE(CONTROL!$C$42, 0.275, 0.275)*CHOOSE(CONTROL!$C$42, 28, 28))/1000000</f>
        <v>3.85</v>
      </c>
      <c r="W86" s="56">
        <f>(1000*CHOOSE(CONTROL!$C$42, 0.1146, 0.1146)*CHOOSE(CONTROL!$C$42, 121.5, 121.5)*CHOOSE(CONTROL!$C$42, 28, 28))/1000000</f>
        <v>0.38986920000000003</v>
      </c>
      <c r="X86" s="56">
        <f>(28*0.2374*100000/1000000)</f>
        <v>0.66471999999999998</v>
      </c>
      <c r="Y86" s="56"/>
      <c r="Z86" s="17"/>
      <c r="AA86" s="55"/>
      <c r="AB86" s="48">
        <f>(B86*122.58+C86*297.941+D86*89.177+E86*140.302+F86*40+G86*60+H86*0+I86*100+J86*300)/(122.58+297.941+89.177+140.302+0+40+60+100+300)</f>
        <v>6.7321699145217382</v>
      </c>
      <c r="AC86" s="45">
        <f>(M86*'RAP TEMPLATE-GAS AVAILABILITY'!O85+N86*'RAP TEMPLATE-GAS AVAILABILITY'!P85+O86*'RAP TEMPLATE-GAS AVAILABILITY'!Q85+P86*'RAP TEMPLATE-GAS AVAILABILITY'!R85)/('RAP TEMPLATE-GAS AVAILABILITY'!O85+'RAP TEMPLATE-GAS AVAILABILITY'!P85+'RAP TEMPLATE-GAS AVAILABILITY'!Q85+'RAP TEMPLATE-GAS AVAILABILITY'!R85)</f>
        <v>6.6571834532374092</v>
      </c>
    </row>
    <row r="87" spans="1:29" ht="15.75" x14ac:dyDescent="0.25">
      <c r="A87" s="16">
        <v>43525</v>
      </c>
      <c r="B87" s="17">
        <f>CHOOSE(CONTROL!$C$42, 6.5157, 6.5157) * CHOOSE(CONTROL!$C$21, $C$9, 100%, $E$9)</f>
        <v>6.5156999999999998</v>
      </c>
      <c r="C87" s="17">
        <f>CHOOSE(CONTROL!$C$42, 6.5208, 6.5208) * CHOOSE(CONTROL!$C$21, $C$9, 100%, $E$9)</f>
        <v>6.5208000000000004</v>
      </c>
      <c r="D87" s="17">
        <f>CHOOSE(CONTROL!$C$42, 6.6392, 6.6392) * CHOOSE(CONTROL!$C$21, $C$9, 100%, $E$9)</f>
        <v>6.6391999999999998</v>
      </c>
      <c r="E87" s="17">
        <f>CHOOSE(CONTROL!$C$42, 6.6733, 6.6733) * CHOOSE(CONTROL!$C$21, $C$9, 100%, $E$9)</f>
        <v>6.6733000000000002</v>
      </c>
      <c r="F87" s="17">
        <f>CHOOSE(CONTROL!$C$42, 6.5354, 6.5354)*CHOOSE(CONTROL!$C$21, $C$9, 100%, $E$9)</f>
        <v>6.5354000000000001</v>
      </c>
      <c r="G87" s="17">
        <f>CHOOSE(CONTROL!$C$42, 6.5521, 6.5521)*CHOOSE(CONTROL!$C$21, $C$9, 100%, $E$9)</f>
        <v>6.5521000000000003</v>
      </c>
      <c r="H87" s="17">
        <f>CHOOSE(CONTROL!$C$42, 6.6625, 6.6625) * CHOOSE(CONTROL!$C$21, $C$9, 100%, $E$9)</f>
        <v>6.6624999999999996</v>
      </c>
      <c r="I87" s="17">
        <f>CHOOSE(CONTROL!$C$42, 6.5597, 6.5597)* CHOOSE(CONTROL!$C$21, $C$9, 100%, $E$9)</f>
        <v>6.5597000000000003</v>
      </c>
      <c r="J87" s="17">
        <f>CHOOSE(CONTROL!$C$42, 6.5284, 6.5284)* CHOOSE(CONTROL!$C$21, $C$9, 100%, $E$9)</f>
        <v>6.5284000000000004</v>
      </c>
      <c r="K87" s="52">
        <f>CHOOSE(CONTROL!$C$42, 6.5555, 6.5555) * CHOOSE(CONTROL!$C$21, $C$9, 100%, $E$9)</f>
        <v>6.5555000000000003</v>
      </c>
      <c r="L87" s="17">
        <f>CHOOSE(CONTROL!$C$42, 7.2495, 7.2495) * CHOOSE(CONTROL!$C$21, $C$9, 100%, $E$9)</f>
        <v>7.2495000000000003</v>
      </c>
      <c r="M87" s="17">
        <f>CHOOSE(CONTROL!$C$42, 6.4187, 6.4187) * CHOOSE(CONTROL!$C$21, $C$9, 100%, $E$9)</f>
        <v>6.4187000000000003</v>
      </c>
      <c r="N87" s="17">
        <f>CHOOSE(CONTROL!$C$42, 6.435, 6.435) * CHOOSE(CONTROL!$C$21, $C$9, 100%, $E$9)</f>
        <v>6.4349999999999996</v>
      </c>
      <c r="O87" s="17">
        <f>CHOOSE(CONTROL!$C$42, 6.5504, 6.5504) * CHOOSE(CONTROL!$C$21, $C$9, 100%, $E$9)</f>
        <v>6.5503999999999998</v>
      </c>
      <c r="P87" s="17">
        <f>CHOOSE(CONTROL!$C$42, 6.4491, 6.4491) * CHOOSE(CONTROL!$C$21, $C$9, 100%, $E$9)</f>
        <v>6.4490999999999996</v>
      </c>
      <c r="Q87" s="17">
        <f>CHOOSE(CONTROL!$C$42, 7.1451, 7.1451) * CHOOSE(CONTROL!$C$21, $C$9, 100%, $E$9)</f>
        <v>7.1451000000000002</v>
      </c>
      <c r="R87" s="17">
        <f>CHOOSE(CONTROL!$C$42, 7.7499, 7.7499) * CHOOSE(CONTROL!$C$21, $C$9, 100%, $E$9)</f>
        <v>7.7499000000000002</v>
      </c>
      <c r="S87" s="17">
        <f>CHOOSE(CONTROL!$C$42, 6.2524, 6.2524) * CHOOSE(CONTROL!$C$21, $C$9, 100%, $E$9)</f>
        <v>6.2523999999999997</v>
      </c>
      <c r="T8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87" s="56">
        <f>(1000*CHOOSE(CONTROL!$C$42, 695, 695)*CHOOSE(CONTROL!$C$42, 0.5599, 0.5599)*CHOOSE(CONTROL!$C$42, 31, 31))/1000000</f>
        <v>12.063045499999998</v>
      </c>
      <c r="V87" s="56">
        <f>(1000*CHOOSE(CONTROL!$C$42, 500, 500)*CHOOSE(CONTROL!$C$42, 0.275, 0.275)*CHOOSE(CONTROL!$C$42, 31, 31))/1000000</f>
        <v>4.2625000000000002</v>
      </c>
      <c r="W87" s="56">
        <f>(1000*CHOOSE(CONTROL!$C$42, 0.1146, 0.1146)*CHOOSE(CONTROL!$C$42, 121.5, 121.5)*CHOOSE(CONTROL!$C$42, 31, 31))/1000000</f>
        <v>0.43164089999999994</v>
      </c>
      <c r="X87" s="56">
        <f>(31*0.2374*100000/1000000)</f>
        <v>0.73594000000000004</v>
      </c>
      <c r="Y87" s="56"/>
      <c r="Z87" s="17"/>
      <c r="AA87" s="55"/>
      <c r="AB87" s="48">
        <f>(B87*122.58+C87*297.941+D87*89.177+E87*140.302+F87*40+G87*60+H87*0+I87*100+J87*300)/(122.58+297.941+89.177+140.302+0+40+60+100+300)</f>
        <v>6.55554909026087</v>
      </c>
      <c r="AC87" s="45">
        <f>(M87*'RAP TEMPLATE-GAS AVAILABILITY'!O86+N87*'RAP TEMPLATE-GAS AVAILABILITY'!P86+O87*'RAP TEMPLATE-GAS AVAILABILITY'!Q86+P87*'RAP TEMPLATE-GAS AVAILABILITY'!R86)/('RAP TEMPLATE-GAS AVAILABILITY'!O86+'RAP TEMPLATE-GAS AVAILABILITY'!P86+'RAP TEMPLATE-GAS AVAILABILITY'!Q86+'RAP TEMPLATE-GAS AVAILABILITY'!R86)</f>
        <v>6.483703597122302</v>
      </c>
    </row>
    <row r="88" spans="1:29" ht="15.75" x14ac:dyDescent="0.25">
      <c r="A88" s="16">
        <v>43556</v>
      </c>
      <c r="B88" s="17">
        <f>CHOOSE(CONTROL!$C$42, 6.5106, 6.5106) * CHOOSE(CONTROL!$C$21, $C$9, 100%, $E$9)</f>
        <v>6.5106000000000002</v>
      </c>
      <c r="C88" s="17">
        <f>CHOOSE(CONTROL!$C$42, 6.5151, 6.5151) * CHOOSE(CONTROL!$C$21, $C$9, 100%, $E$9)</f>
        <v>6.5151000000000003</v>
      </c>
      <c r="D88" s="17">
        <f>CHOOSE(CONTROL!$C$42, 6.7893, 6.7893) * CHOOSE(CONTROL!$C$21, $C$9, 100%, $E$9)</f>
        <v>6.7892999999999999</v>
      </c>
      <c r="E88" s="17">
        <f>CHOOSE(CONTROL!$C$42, 6.8214, 6.8214) * CHOOSE(CONTROL!$C$21, $C$9, 100%, $E$9)</f>
        <v>6.8213999999999997</v>
      </c>
      <c r="F88" s="17">
        <f>CHOOSE(CONTROL!$C$42, 6.5299, 6.5299)*CHOOSE(CONTROL!$C$21, $C$9, 100%, $E$9)</f>
        <v>6.5298999999999996</v>
      </c>
      <c r="G88" s="17">
        <f>CHOOSE(CONTROL!$C$42, 6.5462, 6.5462)*CHOOSE(CONTROL!$C$21, $C$9, 100%, $E$9)</f>
        <v>6.5461999999999998</v>
      </c>
      <c r="H88" s="17">
        <f>CHOOSE(CONTROL!$C$42, 6.8112, 6.8112) * CHOOSE(CONTROL!$C$21, $C$9, 100%, $E$9)</f>
        <v>6.8112000000000004</v>
      </c>
      <c r="I88" s="17">
        <f>CHOOSE(CONTROL!$C$42, 6.5522, 6.5522)* CHOOSE(CONTROL!$C$21, $C$9, 100%, $E$9)</f>
        <v>6.5522</v>
      </c>
      <c r="J88" s="17">
        <f>CHOOSE(CONTROL!$C$42, 6.5229, 6.5229)* CHOOSE(CONTROL!$C$21, $C$9, 100%, $E$9)</f>
        <v>6.5228999999999999</v>
      </c>
      <c r="K88" s="52">
        <f>CHOOSE(CONTROL!$C$42, 6.548, 6.548) * CHOOSE(CONTROL!$C$21, $C$9, 100%, $E$9)</f>
        <v>6.548</v>
      </c>
      <c r="L88" s="17">
        <f>CHOOSE(CONTROL!$C$42, 7.3982, 7.3982) * CHOOSE(CONTROL!$C$21, $C$9, 100%, $E$9)</f>
        <v>7.3982000000000001</v>
      </c>
      <c r="M88" s="17">
        <f>CHOOSE(CONTROL!$C$42, 6.4133, 6.4133) * CHOOSE(CONTROL!$C$21, $C$9, 100%, $E$9)</f>
        <v>6.4132999999999996</v>
      </c>
      <c r="N88" s="17">
        <f>CHOOSE(CONTROL!$C$42, 6.4293, 6.4293) * CHOOSE(CONTROL!$C$21, $C$9, 100%, $E$9)</f>
        <v>6.4292999999999996</v>
      </c>
      <c r="O88" s="17">
        <f>CHOOSE(CONTROL!$C$42, 6.6964, 6.6964) * CHOOSE(CONTROL!$C$21, $C$9, 100%, $E$9)</f>
        <v>6.6963999999999997</v>
      </c>
      <c r="P88" s="17">
        <f>CHOOSE(CONTROL!$C$42, 6.4418, 6.4418) * CHOOSE(CONTROL!$C$21, $C$9, 100%, $E$9)</f>
        <v>6.4417999999999997</v>
      </c>
      <c r="Q88" s="17">
        <f>CHOOSE(CONTROL!$C$42, 7.2911, 7.2911) * CHOOSE(CONTROL!$C$21, $C$9, 100%, $E$9)</f>
        <v>7.2911000000000001</v>
      </c>
      <c r="R88" s="17">
        <f>CHOOSE(CONTROL!$C$42, 7.8963, 7.8963) * CHOOSE(CONTROL!$C$21, $C$9, 100%, $E$9)</f>
        <v>7.8963000000000001</v>
      </c>
      <c r="S88" s="17">
        <f>CHOOSE(CONTROL!$C$42, 6.2467, 6.2467) * CHOOSE(CONTROL!$C$21, $C$9, 100%, $E$9)</f>
        <v>6.2466999999999997</v>
      </c>
      <c r="T8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88" s="56">
        <f>(1000*CHOOSE(CONTROL!$C$42, 695, 695)*CHOOSE(CONTROL!$C$42, 0.5599, 0.5599)*CHOOSE(CONTROL!$C$42, 30, 30))/1000000</f>
        <v>11.673914999999997</v>
      </c>
      <c r="V88" s="56">
        <f>(1000*CHOOSE(CONTROL!$C$42, 500, 500)*CHOOSE(CONTROL!$C$42, 0.275, 0.275)*CHOOSE(CONTROL!$C$42, 30, 30))/1000000</f>
        <v>4.125</v>
      </c>
      <c r="W88" s="56">
        <f>(1000*CHOOSE(CONTROL!$C$42, 0.1146, 0.1146)*CHOOSE(CONTROL!$C$42, 121.5, 121.5)*CHOOSE(CONTROL!$C$42, 30, 30))/1000000</f>
        <v>0.417717</v>
      </c>
      <c r="X88" s="56">
        <f>(30*0.1790888*145000/1000000)+(30*0.2374*100000/1000000)</f>
        <v>1.4912362799999999</v>
      </c>
      <c r="Y88" s="56"/>
      <c r="Z88" s="17"/>
      <c r="AA88" s="55"/>
      <c r="AB88" s="48">
        <f>(B88*141.293+C88*267.993+D88*115.016+E88*189.698+F88*40+G88*85+H88*0+I88*100+J88*300)/(141.293+267.993+115.016+189.698+0+40+85+100+300)</f>
        <v>6.5944313689265535</v>
      </c>
      <c r="AC88" s="45">
        <f>(M88*'RAP TEMPLATE-GAS AVAILABILITY'!O87+N88*'RAP TEMPLATE-GAS AVAILABILITY'!P87+O88*'RAP TEMPLATE-GAS AVAILABILITY'!Q87+P88*'RAP TEMPLATE-GAS AVAILABILITY'!R87)/('RAP TEMPLATE-GAS AVAILABILITY'!O87+'RAP TEMPLATE-GAS AVAILABILITY'!P87+'RAP TEMPLATE-GAS AVAILABILITY'!Q87+'RAP TEMPLATE-GAS AVAILABILITY'!R87)</f>
        <v>6.5005151079136692</v>
      </c>
    </row>
    <row r="89" spans="1:29" ht="15.75" x14ac:dyDescent="0.25">
      <c r="A89" s="16">
        <v>43586</v>
      </c>
      <c r="B89" s="17">
        <f>CHOOSE(CONTROL!$C$42, 6.5829, 6.5829) * CHOOSE(CONTROL!$C$21, $C$9, 100%, $E$9)</f>
        <v>6.5829000000000004</v>
      </c>
      <c r="C89" s="17">
        <f>CHOOSE(CONTROL!$C$42, 6.5909, 6.5909) * CHOOSE(CONTROL!$C$21, $C$9, 100%, $E$9)</f>
        <v>6.5909000000000004</v>
      </c>
      <c r="D89" s="17">
        <f>CHOOSE(CONTROL!$C$42, 6.862, 6.862) * CHOOSE(CONTROL!$C$21, $C$9, 100%, $E$9)</f>
        <v>6.8620000000000001</v>
      </c>
      <c r="E89" s="17">
        <f>CHOOSE(CONTROL!$C$42, 6.8934, 6.8934) * CHOOSE(CONTROL!$C$21, $C$9, 100%, $E$9)</f>
        <v>6.8933999999999997</v>
      </c>
      <c r="F89" s="17">
        <f>CHOOSE(CONTROL!$C$42, 6.601, 6.601)*CHOOSE(CONTROL!$C$21, $C$9, 100%, $E$9)</f>
        <v>6.601</v>
      </c>
      <c r="G89" s="17">
        <f>CHOOSE(CONTROL!$C$42, 6.6177, 6.6177)*CHOOSE(CONTROL!$C$21, $C$9, 100%, $E$9)</f>
        <v>6.6177000000000001</v>
      </c>
      <c r="H89" s="17">
        <f>CHOOSE(CONTROL!$C$42, 6.882, 6.882) * CHOOSE(CONTROL!$C$21, $C$9, 100%, $E$9)</f>
        <v>6.8819999999999997</v>
      </c>
      <c r="I89" s="17">
        <f>CHOOSE(CONTROL!$C$42, 6.6233, 6.6233)* CHOOSE(CONTROL!$C$21, $C$9, 100%, $E$9)</f>
        <v>6.6233000000000004</v>
      </c>
      <c r="J89" s="17">
        <f>CHOOSE(CONTROL!$C$42, 6.594, 6.594)* CHOOSE(CONTROL!$C$21, $C$9, 100%, $E$9)</f>
        <v>6.5940000000000003</v>
      </c>
      <c r="K89" s="52">
        <f>CHOOSE(CONTROL!$C$42, 6.6191, 6.6191) * CHOOSE(CONTROL!$C$21, $C$9, 100%, $E$9)</f>
        <v>6.6191000000000004</v>
      </c>
      <c r="L89" s="17">
        <f>CHOOSE(CONTROL!$C$42, 7.469, 7.469) * CHOOSE(CONTROL!$C$21, $C$9, 100%, $E$9)</f>
        <v>7.4690000000000003</v>
      </c>
      <c r="M89" s="17">
        <f>CHOOSE(CONTROL!$C$42, 6.4831, 6.4831) * CHOOSE(CONTROL!$C$21, $C$9, 100%, $E$9)</f>
        <v>6.4831000000000003</v>
      </c>
      <c r="N89" s="17">
        <f>CHOOSE(CONTROL!$C$42, 6.4994, 6.4994) * CHOOSE(CONTROL!$C$21, $C$9, 100%, $E$9)</f>
        <v>6.4993999999999996</v>
      </c>
      <c r="O89" s="17">
        <f>CHOOSE(CONTROL!$C$42, 6.766, 6.766) * CHOOSE(CONTROL!$C$21, $C$9, 100%, $E$9)</f>
        <v>6.766</v>
      </c>
      <c r="P89" s="17">
        <f>CHOOSE(CONTROL!$C$42, 6.5116, 6.5116) * CHOOSE(CONTROL!$C$21, $C$9, 100%, $E$9)</f>
        <v>6.5115999999999996</v>
      </c>
      <c r="Q89" s="17">
        <f>CHOOSE(CONTROL!$C$42, 7.3607, 7.3607) * CHOOSE(CONTROL!$C$21, $C$9, 100%, $E$9)</f>
        <v>7.3606999999999996</v>
      </c>
      <c r="R89" s="17">
        <f>CHOOSE(CONTROL!$C$42, 7.9661, 7.9661) * CHOOSE(CONTROL!$C$21, $C$9, 100%, $E$9)</f>
        <v>7.9661</v>
      </c>
      <c r="S89" s="17">
        <f>CHOOSE(CONTROL!$C$42, 6.3148, 6.3148) * CHOOSE(CONTROL!$C$21, $C$9, 100%, $E$9)</f>
        <v>6.3148</v>
      </c>
      <c r="T8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89" s="56">
        <f>(1000*CHOOSE(CONTROL!$C$42, 695, 695)*CHOOSE(CONTROL!$C$42, 0.5599, 0.5599)*CHOOSE(CONTROL!$C$42, 31, 31))/1000000</f>
        <v>12.063045499999998</v>
      </c>
      <c r="V89" s="56">
        <f>(1000*CHOOSE(CONTROL!$C$42, 500, 500)*CHOOSE(CONTROL!$C$42, 0.275, 0.275)*CHOOSE(CONTROL!$C$42, 31, 31))/1000000</f>
        <v>4.2625000000000002</v>
      </c>
      <c r="W89" s="56">
        <f>(1000*CHOOSE(CONTROL!$C$42, 0.1146, 0.1146)*CHOOSE(CONTROL!$C$42, 121.5, 121.5)*CHOOSE(CONTROL!$C$42, 31, 31))/1000000</f>
        <v>0.43164089999999994</v>
      </c>
      <c r="X89" s="56">
        <f>(31*0.1790888*145000/1000000)+(31*0.2374*100000/1000000)</f>
        <v>1.5409441560000001</v>
      </c>
      <c r="Y89" s="56"/>
      <c r="Z89" s="17"/>
      <c r="AA89" s="55"/>
      <c r="AB89" s="48">
        <f>(B89*194.205+C89*267.466+D89*133.845+E89*153.484+F89*40+G89*85+H89*0+I89*100+J89*300)/(194.205+267.466+133.845+153.484+0+40+85+100+300)</f>
        <v>6.6599837123233909</v>
      </c>
      <c r="AC89" s="45">
        <f>(M89*'RAP TEMPLATE-GAS AVAILABILITY'!O88+N89*'RAP TEMPLATE-GAS AVAILABILITY'!P88+O89*'RAP TEMPLATE-GAS AVAILABILITY'!Q88+P89*'RAP TEMPLATE-GAS AVAILABILITY'!R88)/('RAP TEMPLATE-GAS AVAILABILITY'!O88+'RAP TEMPLATE-GAS AVAILABILITY'!P88+'RAP TEMPLATE-GAS AVAILABILITY'!Q88+'RAP TEMPLATE-GAS AVAILABILITY'!R88)</f>
        <v>6.5703280575539562</v>
      </c>
    </row>
    <row r="90" spans="1:29" ht="15.75" x14ac:dyDescent="0.25">
      <c r="A90" s="16">
        <v>43617</v>
      </c>
      <c r="B90" s="17">
        <f>CHOOSE(CONTROL!$C$42, 6.7832, 6.7832) * CHOOSE(CONTROL!$C$21, $C$9, 100%, $E$9)</f>
        <v>6.7831999999999999</v>
      </c>
      <c r="C90" s="17">
        <f>CHOOSE(CONTROL!$C$42, 6.7912, 6.7912) * CHOOSE(CONTROL!$C$21, $C$9, 100%, $E$9)</f>
        <v>6.7911999999999999</v>
      </c>
      <c r="D90" s="17">
        <f>CHOOSE(CONTROL!$C$42, 7.0623, 7.0623) * CHOOSE(CONTROL!$C$21, $C$9, 100%, $E$9)</f>
        <v>7.0622999999999996</v>
      </c>
      <c r="E90" s="17">
        <f>CHOOSE(CONTROL!$C$42, 7.0937, 7.0937) * CHOOSE(CONTROL!$C$21, $C$9, 100%, $E$9)</f>
        <v>7.0937000000000001</v>
      </c>
      <c r="F90" s="17">
        <f>CHOOSE(CONTROL!$C$42, 6.8016, 6.8016)*CHOOSE(CONTROL!$C$21, $C$9, 100%, $E$9)</f>
        <v>6.8015999999999996</v>
      </c>
      <c r="G90" s="17">
        <f>CHOOSE(CONTROL!$C$42, 6.8183, 6.8183)*CHOOSE(CONTROL!$C$21, $C$9, 100%, $E$9)</f>
        <v>6.8182999999999998</v>
      </c>
      <c r="H90" s="17">
        <f>CHOOSE(CONTROL!$C$42, 7.0824, 7.0824) * CHOOSE(CONTROL!$C$21, $C$9, 100%, $E$9)</f>
        <v>7.0823999999999998</v>
      </c>
      <c r="I90" s="17">
        <f>CHOOSE(CONTROL!$C$42, 6.8243, 6.8243)* CHOOSE(CONTROL!$C$21, $C$9, 100%, $E$9)</f>
        <v>6.8243</v>
      </c>
      <c r="J90" s="17">
        <f>CHOOSE(CONTROL!$C$42, 6.7946, 6.7946)* CHOOSE(CONTROL!$C$21, $C$9, 100%, $E$9)</f>
        <v>6.7946</v>
      </c>
      <c r="K90" s="52">
        <f>CHOOSE(CONTROL!$C$42, 6.8201, 6.8201) * CHOOSE(CONTROL!$C$21, $C$9, 100%, $E$9)</f>
        <v>6.8201000000000001</v>
      </c>
      <c r="L90" s="17">
        <f>CHOOSE(CONTROL!$C$42, 7.6694, 7.6694) * CHOOSE(CONTROL!$C$21, $C$9, 100%, $E$9)</f>
        <v>7.6694000000000004</v>
      </c>
      <c r="M90" s="17">
        <f>CHOOSE(CONTROL!$C$42, 6.6801, 6.6801) * CHOOSE(CONTROL!$C$21, $C$9, 100%, $E$9)</f>
        <v>6.6801000000000004</v>
      </c>
      <c r="N90" s="17">
        <f>CHOOSE(CONTROL!$C$42, 6.6965, 6.6965) * CHOOSE(CONTROL!$C$21, $C$9, 100%, $E$9)</f>
        <v>6.6965000000000003</v>
      </c>
      <c r="O90" s="17">
        <f>CHOOSE(CONTROL!$C$42, 6.9627, 6.9627) * CHOOSE(CONTROL!$C$21, $C$9, 100%, $E$9)</f>
        <v>6.9626999999999999</v>
      </c>
      <c r="P90" s="17">
        <f>CHOOSE(CONTROL!$C$42, 6.7089, 6.7089) * CHOOSE(CONTROL!$C$21, $C$9, 100%, $E$9)</f>
        <v>6.7088999999999999</v>
      </c>
      <c r="Q90" s="17">
        <f>CHOOSE(CONTROL!$C$42, 7.5574, 7.5574) * CHOOSE(CONTROL!$C$21, $C$9, 100%, $E$9)</f>
        <v>7.5574000000000003</v>
      </c>
      <c r="R90" s="17">
        <f>CHOOSE(CONTROL!$C$42, 8.1633, 8.1633) * CHOOSE(CONTROL!$C$21, $C$9, 100%, $E$9)</f>
        <v>8.1632999999999996</v>
      </c>
      <c r="S90" s="17">
        <f>CHOOSE(CONTROL!$C$42, 6.5073, 6.5073) * CHOOSE(CONTROL!$C$21, $C$9, 100%, $E$9)</f>
        <v>6.5072999999999999</v>
      </c>
      <c r="T9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90" s="56">
        <f>(1000*CHOOSE(CONTROL!$C$42, 695, 695)*CHOOSE(CONTROL!$C$42, 0.5599, 0.5599)*CHOOSE(CONTROL!$C$42, 30, 30))/1000000</f>
        <v>11.673914999999997</v>
      </c>
      <c r="V90" s="56">
        <f>(1000*CHOOSE(CONTROL!$C$42, 500, 500)*CHOOSE(CONTROL!$C$42, 0.275, 0.275)*CHOOSE(CONTROL!$C$42, 30, 30))/1000000</f>
        <v>4.125</v>
      </c>
      <c r="W90" s="56">
        <f>(1000*CHOOSE(CONTROL!$C$42, 0.1146, 0.1146)*CHOOSE(CONTROL!$C$42, 121.5, 121.5)*CHOOSE(CONTROL!$C$42, 30, 30))/1000000</f>
        <v>0.417717</v>
      </c>
      <c r="X90" s="56">
        <f>(30*0.1790888*145000/1000000)+(30*0.2374*100000/1000000)</f>
        <v>1.4912362799999999</v>
      </c>
      <c r="Y90" s="56"/>
      <c r="Z90" s="17"/>
      <c r="AA90" s="55"/>
      <c r="AB90" s="48">
        <f>(B90*194.205+C90*267.466+D90*133.845+E90*153.484+F90*40+G90*85+H90*0+I90*100+J90*300)/(194.205+267.466+133.845+153.484+0+40+85+100+300)</f>
        <v>6.8604387358712717</v>
      </c>
      <c r="AC90" s="45">
        <f>(M90*'RAP TEMPLATE-GAS AVAILABILITY'!O89+N90*'RAP TEMPLATE-GAS AVAILABILITY'!P89+O90*'RAP TEMPLATE-GAS AVAILABILITY'!Q89+P90*'RAP TEMPLATE-GAS AVAILABILITY'!R89)/('RAP TEMPLATE-GAS AVAILABILITY'!O89+'RAP TEMPLATE-GAS AVAILABILITY'!P89+'RAP TEMPLATE-GAS AVAILABILITY'!Q89+'RAP TEMPLATE-GAS AVAILABILITY'!R89)</f>
        <v>6.7673100719424468</v>
      </c>
    </row>
    <row r="91" spans="1:29" ht="15.75" x14ac:dyDescent="0.25">
      <c r="A91" s="16">
        <v>43647</v>
      </c>
      <c r="B91" s="17">
        <f>CHOOSE(CONTROL!$C$42, 6.667, 6.667) * CHOOSE(CONTROL!$C$21, $C$9, 100%, $E$9)</f>
        <v>6.6669999999999998</v>
      </c>
      <c r="C91" s="17">
        <f>CHOOSE(CONTROL!$C$42, 6.675, 6.675) * CHOOSE(CONTROL!$C$21, $C$9, 100%, $E$9)</f>
        <v>6.6749999999999998</v>
      </c>
      <c r="D91" s="17">
        <f>CHOOSE(CONTROL!$C$42, 6.946, 6.946) * CHOOSE(CONTROL!$C$21, $C$9, 100%, $E$9)</f>
        <v>6.9459999999999997</v>
      </c>
      <c r="E91" s="17">
        <f>CHOOSE(CONTROL!$C$42, 6.9775, 6.9775) * CHOOSE(CONTROL!$C$21, $C$9, 100%, $E$9)</f>
        <v>6.9775</v>
      </c>
      <c r="F91" s="17">
        <f>CHOOSE(CONTROL!$C$42, 6.6858, 6.6858)*CHOOSE(CONTROL!$C$21, $C$9, 100%, $E$9)</f>
        <v>6.6858000000000004</v>
      </c>
      <c r="G91" s="17">
        <f>CHOOSE(CONTROL!$C$42, 6.7026, 6.7026)*CHOOSE(CONTROL!$C$21, $C$9, 100%, $E$9)</f>
        <v>6.7026000000000003</v>
      </c>
      <c r="H91" s="17">
        <f>CHOOSE(CONTROL!$C$42, 6.9661, 6.9661) * CHOOSE(CONTROL!$C$21, $C$9, 100%, $E$9)</f>
        <v>6.9661</v>
      </c>
      <c r="I91" s="17">
        <f>CHOOSE(CONTROL!$C$42, 6.7077, 6.7077)* CHOOSE(CONTROL!$C$21, $C$9, 100%, $E$9)</f>
        <v>6.7077</v>
      </c>
      <c r="J91" s="17">
        <f>CHOOSE(CONTROL!$C$42, 6.6788, 6.6788)* CHOOSE(CONTROL!$C$21, $C$9, 100%, $E$9)</f>
        <v>6.6787999999999998</v>
      </c>
      <c r="K91" s="52">
        <f>CHOOSE(CONTROL!$C$42, 6.7035, 6.7035) * CHOOSE(CONTROL!$C$21, $C$9, 100%, $E$9)</f>
        <v>6.7035</v>
      </c>
      <c r="L91" s="17">
        <f>CHOOSE(CONTROL!$C$42, 7.5531, 7.5531) * CHOOSE(CONTROL!$C$21, $C$9, 100%, $E$9)</f>
        <v>7.5530999999999997</v>
      </c>
      <c r="M91" s="17">
        <f>CHOOSE(CONTROL!$C$42, 6.5664, 6.5664) * CHOOSE(CONTROL!$C$21, $C$9, 100%, $E$9)</f>
        <v>6.5663999999999998</v>
      </c>
      <c r="N91" s="17">
        <f>CHOOSE(CONTROL!$C$42, 6.5829, 6.5829) * CHOOSE(CONTROL!$C$21, $C$9, 100%, $E$9)</f>
        <v>6.5829000000000004</v>
      </c>
      <c r="O91" s="17">
        <f>CHOOSE(CONTROL!$C$42, 6.8485, 6.8485) * CHOOSE(CONTROL!$C$21, $C$9, 100%, $E$9)</f>
        <v>6.8484999999999996</v>
      </c>
      <c r="P91" s="17">
        <f>CHOOSE(CONTROL!$C$42, 6.5944, 6.5944) * CHOOSE(CONTROL!$C$21, $C$9, 100%, $E$9)</f>
        <v>6.5944000000000003</v>
      </c>
      <c r="Q91" s="17">
        <f>CHOOSE(CONTROL!$C$42, 7.4432, 7.4432) * CHOOSE(CONTROL!$C$21, $C$9, 100%, $E$9)</f>
        <v>7.4432</v>
      </c>
      <c r="R91" s="17">
        <f>CHOOSE(CONTROL!$C$42, 8.0488, 8.0488) * CHOOSE(CONTROL!$C$21, $C$9, 100%, $E$9)</f>
        <v>8.0488</v>
      </c>
      <c r="S91" s="17">
        <f>CHOOSE(CONTROL!$C$42, 6.3956, 6.3956) * CHOOSE(CONTROL!$C$21, $C$9, 100%, $E$9)</f>
        <v>6.3956</v>
      </c>
      <c r="T9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91" s="56">
        <f>(1000*CHOOSE(CONTROL!$C$42, 695, 695)*CHOOSE(CONTROL!$C$42, 0.5599, 0.5599)*CHOOSE(CONTROL!$C$42, 31, 31))/1000000</f>
        <v>12.063045499999998</v>
      </c>
      <c r="V91" s="56">
        <f>(1000*CHOOSE(CONTROL!$C$42, 500, 500)*CHOOSE(CONTROL!$C$42, 0.275, 0.275)*CHOOSE(CONTROL!$C$42, 31, 31))/1000000</f>
        <v>4.2625000000000002</v>
      </c>
      <c r="W91" s="56">
        <f>(1000*CHOOSE(CONTROL!$C$42, 0.1146, 0.1146)*CHOOSE(CONTROL!$C$42, 121.5, 121.5)*CHOOSE(CONTROL!$C$42, 31, 31))/1000000</f>
        <v>0.43164089999999994</v>
      </c>
      <c r="X91" s="56">
        <f>(31*0.1790888*145000/1000000)+(31*0.2374*100000/1000000)</f>
        <v>1.5409441560000001</v>
      </c>
      <c r="Y91" s="56"/>
      <c r="Z91" s="17"/>
      <c r="AA91" s="55"/>
      <c r="AB91" s="48">
        <f>(B91*194.205+C91*267.466+D91*133.845+E91*153.484+F91*40+G91*85+H91*0+I91*100+J91*300)/(194.205+267.466+133.845+153.484+0+40+85+100+300)</f>
        <v>6.7443369427001576</v>
      </c>
      <c r="AC91" s="45">
        <f>(M91*'RAP TEMPLATE-GAS AVAILABILITY'!O90+N91*'RAP TEMPLATE-GAS AVAILABILITY'!P90+O91*'RAP TEMPLATE-GAS AVAILABILITY'!Q90+P91*'RAP TEMPLATE-GAS AVAILABILITY'!R90)/('RAP TEMPLATE-GAS AVAILABILITY'!O90+'RAP TEMPLATE-GAS AVAILABILITY'!P90+'RAP TEMPLATE-GAS AVAILABILITY'!Q90+'RAP TEMPLATE-GAS AVAILABILITY'!R90)</f>
        <v>6.6533776978417265</v>
      </c>
    </row>
    <row r="92" spans="1:29" ht="15.75" x14ac:dyDescent="0.25">
      <c r="A92" s="16">
        <v>43678</v>
      </c>
      <c r="B92" s="17">
        <f>CHOOSE(CONTROL!$C$42, 6.3513, 6.3513) * CHOOSE(CONTROL!$C$21, $C$9, 100%, $E$9)</f>
        <v>6.3513000000000002</v>
      </c>
      <c r="C92" s="17">
        <f>CHOOSE(CONTROL!$C$42, 6.3593, 6.3593) * CHOOSE(CONTROL!$C$21, $C$9, 100%, $E$9)</f>
        <v>6.3593000000000002</v>
      </c>
      <c r="D92" s="17">
        <f>CHOOSE(CONTROL!$C$42, 6.6303, 6.6303) * CHOOSE(CONTROL!$C$21, $C$9, 100%, $E$9)</f>
        <v>6.6303000000000001</v>
      </c>
      <c r="E92" s="17">
        <f>CHOOSE(CONTROL!$C$42, 6.6618, 6.6618) * CHOOSE(CONTROL!$C$21, $C$9, 100%, $E$9)</f>
        <v>6.6618000000000004</v>
      </c>
      <c r="F92" s="17">
        <f>CHOOSE(CONTROL!$C$42, 6.3704, 6.3704)*CHOOSE(CONTROL!$C$21, $C$9, 100%, $E$9)</f>
        <v>6.3704000000000001</v>
      </c>
      <c r="G92" s="17">
        <f>CHOOSE(CONTROL!$C$42, 6.3873, 6.3873)*CHOOSE(CONTROL!$C$21, $C$9, 100%, $E$9)</f>
        <v>6.3872999999999998</v>
      </c>
      <c r="H92" s="17">
        <f>CHOOSE(CONTROL!$C$42, 6.6504, 6.6504) * CHOOSE(CONTROL!$C$21, $C$9, 100%, $E$9)</f>
        <v>6.6504000000000003</v>
      </c>
      <c r="I92" s="17">
        <f>CHOOSE(CONTROL!$C$42, 6.391, 6.391)* CHOOSE(CONTROL!$C$21, $C$9, 100%, $E$9)</f>
        <v>6.391</v>
      </c>
      <c r="J92" s="17">
        <f>CHOOSE(CONTROL!$C$42, 6.3634, 6.3634)* CHOOSE(CONTROL!$C$21, $C$9, 100%, $E$9)</f>
        <v>6.3634000000000004</v>
      </c>
      <c r="K92" s="52">
        <f>CHOOSE(CONTROL!$C$42, 6.3868, 6.3868) * CHOOSE(CONTROL!$C$21, $C$9, 100%, $E$9)</f>
        <v>6.3868</v>
      </c>
      <c r="L92" s="17">
        <f>CHOOSE(CONTROL!$C$42, 7.2374, 7.2374) * CHOOSE(CONTROL!$C$21, $C$9, 100%, $E$9)</f>
        <v>7.2374000000000001</v>
      </c>
      <c r="M92" s="17">
        <f>CHOOSE(CONTROL!$C$42, 6.2566, 6.2566) * CHOOSE(CONTROL!$C$21, $C$9, 100%, $E$9)</f>
        <v>6.2565999999999997</v>
      </c>
      <c r="N92" s="17">
        <f>CHOOSE(CONTROL!$C$42, 6.2732, 6.2732) * CHOOSE(CONTROL!$C$21, $C$9, 100%, $E$9)</f>
        <v>6.2732000000000001</v>
      </c>
      <c r="O92" s="17">
        <f>CHOOSE(CONTROL!$C$42, 6.5385, 6.5385) * CHOOSE(CONTROL!$C$21, $C$9, 100%, $E$9)</f>
        <v>6.5385</v>
      </c>
      <c r="P92" s="17">
        <f>CHOOSE(CONTROL!$C$42, 6.2835, 6.2835) * CHOOSE(CONTROL!$C$21, $C$9, 100%, $E$9)</f>
        <v>6.2835000000000001</v>
      </c>
      <c r="Q92" s="17">
        <f>CHOOSE(CONTROL!$C$42, 7.1332, 7.1332) * CHOOSE(CONTROL!$C$21, $C$9, 100%, $E$9)</f>
        <v>7.1332000000000004</v>
      </c>
      <c r="R92" s="17">
        <f>CHOOSE(CONTROL!$C$42, 7.738, 7.738) * CHOOSE(CONTROL!$C$21, $C$9, 100%, $E$9)</f>
        <v>7.7380000000000004</v>
      </c>
      <c r="S92" s="17">
        <f>CHOOSE(CONTROL!$C$42, 6.0923, 6.0923) * CHOOSE(CONTROL!$C$21, $C$9, 100%, $E$9)</f>
        <v>6.0922999999999998</v>
      </c>
      <c r="T9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92" s="56">
        <f>(1000*CHOOSE(CONTROL!$C$42, 695, 695)*CHOOSE(CONTROL!$C$42, 0.5599, 0.5599)*CHOOSE(CONTROL!$C$42, 31, 31))/1000000</f>
        <v>12.063045499999998</v>
      </c>
      <c r="V92" s="56">
        <f>(1000*CHOOSE(CONTROL!$C$42, 500, 500)*CHOOSE(CONTROL!$C$42, 0.275, 0.275)*CHOOSE(CONTROL!$C$42, 31, 31))/1000000</f>
        <v>4.2625000000000002</v>
      </c>
      <c r="W92" s="56">
        <f>(1000*CHOOSE(CONTROL!$C$42, 0.1146, 0.1146)*CHOOSE(CONTROL!$C$42, 121.5, 121.5)*CHOOSE(CONTROL!$C$42, 31, 31))/1000000</f>
        <v>0.43164089999999994</v>
      </c>
      <c r="X92" s="56">
        <f>(31*0.1790888*145000/1000000)+(31*0.2374*100000/1000000)</f>
        <v>1.5409441560000001</v>
      </c>
      <c r="Y92" s="56"/>
      <c r="Z92" s="17"/>
      <c r="AA92" s="55"/>
      <c r="AB92" s="48">
        <f>(B92*194.205+C92*267.466+D92*133.845+E92*153.484+F92*40+G92*85+H92*0+I92*100+J92*300)/(194.205+267.466+133.845+153.484+0+40+85+100+300)</f>
        <v>6.4286652001569866</v>
      </c>
      <c r="AC92" s="45">
        <f>(M92*'RAP TEMPLATE-GAS AVAILABILITY'!O91+N92*'RAP TEMPLATE-GAS AVAILABILITY'!P91+O92*'RAP TEMPLATE-GAS AVAILABILITY'!Q91+P92*'RAP TEMPLATE-GAS AVAILABILITY'!R91)/('RAP TEMPLATE-GAS AVAILABILITY'!O91+'RAP TEMPLATE-GAS AVAILABILITY'!P91+'RAP TEMPLATE-GAS AVAILABILITY'!Q91+'RAP TEMPLATE-GAS AVAILABILITY'!R91)</f>
        <v>6.3433863309352523</v>
      </c>
    </row>
    <row r="93" spans="1:29" ht="15.75" x14ac:dyDescent="0.25">
      <c r="A93" s="16">
        <v>43709</v>
      </c>
      <c r="B93" s="17">
        <f>CHOOSE(CONTROL!$C$42, 5.9608, 5.9608) * CHOOSE(CONTROL!$C$21, $C$9, 100%, $E$9)</f>
        <v>5.9607999999999999</v>
      </c>
      <c r="C93" s="17">
        <f>CHOOSE(CONTROL!$C$42, 5.9688, 5.9688) * CHOOSE(CONTROL!$C$21, $C$9, 100%, $E$9)</f>
        <v>5.9687999999999999</v>
      </c>
      <c r="D93" s="17">
        <f>CHOOSE(CONTROL!$C$42, 6.2399, 6.2399) * CHOOSE(CONTROL!$C$21, $C$9, 100%, $E$9)</f>
        <v>6.2398999999999996</v>
      </c>
      <c r="E93" s="17">
        <f>CHOOSE(CONTROL!$C$42, 6.2713, 6.2713) * CHOOSE(CONTROL!$C$21, $C$9, 100%, $E$9)</f>
        <v>6.2713000000000001</v>
      </c>
      <c r="F93" s="17">
        <f>CHOOSE(CONTROL!$C$42, 5.98, 5.98)*CHOOSE(CONTROL!$C$21, $C$9, 100%, $E$9)</f>
        <v>5.98</v>
      </c>
      <c r="G93" s="17">
        <f>CHOOSE(CONTROL!$C$42, 5.9969, 5.9969)*CHOOSE(CONTROL!$C$21, $C$9, 100%, $E$9)</f>
        <v>5.9969000000000001</v>
      </c>
      <c r="H93" s="17">
        <f>CHOOSE(CONTROL!$C$42, 6.26, 6.26) * CHOOSE(CONTROL!$C$21, $C$9, 100%, $E$9)</f>
        <v>6.26</v>
      </c>
      <c r="I93" s="17">
        <f>CHOOSE(CONTROL!$C$42, 5.9993, 5.9993)* CHOOSE(CONTROL!$C$21, $C$9, 100%, $E$9)</f>
        <v>5.9992999999999999</v>
      </c>
      <c r="J93" s="17">
        <f>CHOOSE(CONTROL!$C$42, 5.973, 5.973)* CHOOSE(CONTROL!$C$21, $C$9, 100%, $E$9)</f>
        <v>5.9729999999999999</v>
      </c>
      <c r="K93" s="52">
        <f>CHOOSE(CONTROL!$C$42, 5.9951, 5.9951) * CHOOSE(CONTROL!$C$21, $C$9, 100%, $E$9)</f>
        <v>5.9950999999999999</v>
      </c>
      <c r="L93" s="17">
        <f>CHOOSE(CONTROL!$C$42, 6.847, 6.847) * CHOOSE(CONTROL!$C$21, $C$9, 100%, $E$9)</f>
        <v>6.8470000000000004</v>
      </c>
      <c r="M93" s="17">
        <f>CHOOSE(CONTROL!$C$42, 5.8732, 5.8732) * CHOOSE(CONTROL!$C$21, $C$9, 100%, $E$9)</f>
        <v>5.8731999999999998</v>
      </c>
      <c r="N93" s="17">
        <f>CHOOSE(CONTROL!$C$42, 5.8898, 5.8898) * CHOOSE(CONTROL!$C$21, $C$9, 100%, $E$9)</f>
        <v>5.8898000000000001</v>
      </c>
      <c r="O93" s="17">
        <f>CHOOSE(CONTROL!$C$42, 6.1551, 6.1551) * CHOOSE(CONTROL!$C$21, $C$9, 100%, $E$9)</f>
        <v>6.1551</v>
      </c>
      <c r="P93" s="17">
        <f>CHOOSE(CONTROL!$C$42, 5.8989, 5.8989) * CHOOSE(CONTROL!$C$21, $C$9, 100%, $E$9)</f>
        <v>5.8989000000000003</v>
      </c>
      <c r="Q93" s="17">
        <f>CHOOSE(CONTROL!$C$42, 6.7498, 6.7498) * CHOOSE(CONTROL!$C$21, $C$9, 100%, $E$9)</f>
        <v>6.7497999999999996</v>
      </c>
      <c r="R93" s="17">
        <f>CHOOSE(CONTROL!$C$42, 7.3536, 7.3536) * CHOOSE(CONTROL!$C$21, $C$9, 100%, $E$9)</f>
        <v>7.3536000000000001</v>
      </c>
      <c r="S93" s="17">
        <f>CHOOSE(CONTROL!$C$42, 5.7171, 5.7171) * CHOOSE(CONTROL!$C$21, $C$9, 100%, $E$9)</f>
        <v>5.7171000000000003</v>
      </c>
      <c r="T9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93" s="56">
        <f>(1000*CHOOSE(CONTROL!$C$42, 695, 695)*CHOOSE(CONTROL!$C$42, 0.5599, 0.5599)*CHOOSE(CONTROL!$C$42, 30, 30))/1000000</f>
        <v>11.673914999999997</v>
      </c>
      <c r="V93" s="56">
        <f>(1000*CHOOSE(CONTROL!$C$42, 500, 500)*CHOOSE(CONTROL!$C$42, 0.275, 0.275)*CHOOSE(CONTROL!$C$42, 30, 30))/1000000</f>
        <v>4.125</v>
      </c>
      <c r="W93" s="56">
        <f>(1000*CHOOSE(CONTROL!$C$42, 0.1146, 0.1146)*CHOOSE(CONTROL!$C$42, 121.5, 121.5)*CHOOSE(CONTROL!$C$42, 30, 30))/1000000</f>
        <v>0.417717</v>
      </c>
      <c r="X93" s="56">
        <f>(30*0.1790888*145000/1000000)+(30*0.2374*100000/1000000)</f>
        <v>1.4912362799999999</v>
      </c>
      <c r="Y93" s="56"/>
      <c r="Z93" s="17"/>
      <c r="AA93" s="55"/>
      <c r="AB93" s="48">
        <f>(B93*194.205+C93*267.466+D93*133.845+E93*153.484+F93*40+G93*85+H93*0+I93*100+J93*300)/(194.205+267.466+133.845+153.484+0+40+85+100+300)</f>
        <v>6.038114874018838</v>
      </c>
      <c r="AC93" s="45">
        <f>(M93*'RAP TEMPLATE-GAS AVAILABILITY'!O92+N93*'RAP TEMPLATE-GAS AVAILABILITY'!P92+O93*'RAP TEMPLATE-GAS AVAILABILITY'!Q92+P93*'RAP TEMPLATE-GAS AVAILABILITY'!R92)/('RAP TEMPLATE-GAS AVAILABILITY'!O92+'RAP TEMPLATE-GAS AVAILABILITY'!P92+'RAP TEMPLATE-GAS AVAILABILITY'!Q92+'RAP TEMPLATE-GAS AVAILABILITY'!R92)</f>
        <v>5.959813669064749</v>
      </c>
    </row>
    <row r="94" spans="1:29" ht="15.75" x14ac:dyDescent="0.25">
      <c r="A94" s="16">
        <v>43739</v>
      </c>
      <c r="B94" s="17">
        <f>CHOOSE(CONTROL!$C$42, 5.8503, 5.8503) * CHOOSE(CONTROL!$C$21, $C$9, 100%, $E$9)</f>
        <v>5.8502999999999998</v>
      </c>
      <c r="C94" s="17">
        <f>CHOOSE(CONTROL!$C$42, 5.8556, 5.8556) * CHOOSE(CONTROL!$C$21, $C$9, 100%, $E$9)</f>
        <v>5.8555999999999999</v>
      </c>
      <c r="D94" s="17">
        <f>CHOOSE(CONTROL!$C$42, 6.1316, 6.1316) * CHOOSE(CONTROL!$C$21, $C$9, 100%, $E$9)</f>
        <v>6.1315999999999997</v>
      </c>
      <c r="E94" s="17">
        <f>CHOOSE(CONTROL!$C$42, 6.1607, 6.1607) * CHOOSE(CONTROL!$C$21, $C$9, 100%, $E$9)</f>
        <v>6.1607000000000003</v>
      </c>
      <c r="F94" s="17">
        <f>CHOOSE(CONTROL!$C$42, 5.8717, 5.8717)*CHOOSE(CONTROL!$C$21, $C$9, 100%, $E$9)</f>
        <v>5.8716999999999997</v>
      </c>
      <c r="G94" s="17">
        <f>CHOOSE(CONTROL!$C$42, 5.8884, 5.8884)*CHOOSE(CONTROL!$C$21, $C$9, 100%, $E$9)</f>
        <v>5.8883999999999999</v>
      </c>
      <c r="H94" s="17">
        <f>CHOOSE(CONTROL!$C$42, 6.1512, 6.1512) * CHOOSE(CONTROL!$C$21, $C$9, 100%, $E$9)</f>
        <v>6.1512000000000002</v>
      </c>
      <c r="I94" s="17">
        <f>CHOOSE(CONTROL!$C$42, 5.8902, 5.8902)* CHOOSE(CONTROL!$C$21, $C$9, 100%, $E$9)</f>
        <v>5.8902000000000001</v>
      </c>
      <c r="J94" s="17">
        <f>CHOOSE(CONTROL!$C$42, 5.8647, 5.8647)* CHOOSE(CONTROL!$C$21, $C$9, 100%, $E$9)</f>
        <v>5.8647</v>
      </c>
      <c r="K94" s="52">
        <f>CHOOSE(CONTROL!$C$42, 5.886, 5.886) * CHOOSE(CONTROL!$C$21, $C$9, 100%, $E$9)</f>
        <v>5.8860000000000001</v>
      </c>
      <c r="L94" s="17">
        <f>CHOOSE(CONTROL!$C$42, 6.7382, 6.7382) * CHOOSE(CONTROL!$C$21, $C$9, 100%, $E$9)</f>
        <v>6.7382</v>
      </c>
      <c r="M94" s="17">
        <f>CHOOSE(CONTROL!$C$42, 5.7669, 5.7669) * CHOOSE(CONTROL!$C$21, $C$9, 100%, $E$9)</f>
        <v>5.7668999999999997</v>
      </c>
      <c r="N94" s="17">
        <f>CHOOSE(CONTROL!$C$42, 5.7834, 5.7834) * CHOOSE(CONTROL!$C$21, $C$9, 100%, $E$9)</f>
        <v>5.7834000000000003</v>
      </c>
      <c r="O94" s="17">
        <f>CHOOSE(CONTROL!$C$42, 6.0482, 6.0482) * CHOOSE(CONTROL!$C$21, $C$9, 100%, $E$9)</f>
        <v>6.0481999999999996</v>
      </c>
      <c r="P94" s="17">
        <f>CHOOSE(CONTROL!$C$42, 5.7917, 5.7917) * CHOOSE(CONTROL!$C$21, $C$9, 100%, $E$9)</f>
        <v>5.7916999999999996</v>
      </c>
      <c r="Q94" s="17">
        <f>CHOOSE(CONTROL!$C$42, 6.6429, 6.6429) * CHOOSE(CONTROL!$C$21, $C$9, 100%, $E$9)</f>
        <v>6.6429</v>
      </c>
      <c r="R94" s="17">
        <f>CHOOSE(CONTROL!$C$42, 7.2466, 7.2466) * CHOOSE(CONTROL!$C$21, $C$9, 100%, $E$9)</f>
        <v>7.2465999999999999</v>
      </c>
      <c r="S94" s="17">
        <f>CHOOSE(CONTROL!$C$42, 5.6126, 5.6126) * CHOOSE(CONTROL!$C$21, $C$9, 100%, $E$9)</f>
        <v>5.6125999999999996</v>
      </c>
      <c r="T9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94" s="56">
        <f>(1000*CHOOSE(CONTROL!$C$42, 695, 695)*CHOOSE(CONTROL!$C$42, 0.5599, 0.5599)*CHOOSE(CONTROL!$C$42, 31, 31))/1000000</f>
        <v>12.063045499999998</v>
      </c>
      <c r="V94" s="56">
        <f>(1000*CHOOSE(CONTROL!$C$42, 500, 500)*CHOOSE(CONTROL!$C$42, 0.275, 0.275)*CHOOSE(CONTROL!$C$42, 31, 31))/1000000</f>
        <v>4.2625000000000002</v>
      </c>
      <c r="W94" s="56">
        <f>(1000*CHOOSE(CONTROL!$C$42, 0.1146, 0.1146)*CHOOSE(CONTROL!$C$42, 121.5, 121.5)*CHOOSE(CONTROL!$C$42, 31, 31))/1000000</f>
        <v>0.43164089999999994</v>
      </c>
      <c r="X94" s="56">
        <f>(31*0.1790888*145000/1000000)+(31*0.2374*100000/1000000)</f>
        <v>1.5409441560000001</v>
      </c>
      <c r="Y94" s="56"/>
      <c r="Z94" s="17"/>
      <c r="AA94" s="55"/>
      <c r="AB94" s="48">
        <f>(B94*131.881+C94*277.167+D94*79.08+E94*225.872+F94*40+G94*85+H94*0+I94*100+J94*300)/(131.881+277.167+79.08+225.872+0+40+85+100+300)</f>
        <v>5.9360379805488304</v>
      </c>
      <c r="AC94" s="45">
        <f>(M94*'RAP TEMPLATE-GAS AVAILABILITY'!O93+N94*'RAP TEMPLATE-GAS AVAILABILITY'!P93+O94*'RAP TEMPLATE-GAS AVAILABILITY'!Q93+P94*'RAP TEMPLATE-GAS AVAILABILITY'!R93)/('RAP TEMPLATE-GAS AVAILABILITY'!O93+'RAP TEMPLATE-GAS AVAILABILITY'!P93+'RAP TEMPLATE-GAS AVAILABILITY'!Q93+'RAP TEMPLATE-GAS AVAILABILITY'!R93)</f>
        <v>5.8531928057553957</v>
      </c>
    </row>
    <row r="95" spans="1:29" ht="15.75" x14ac:dyDescent="0.25">
      <c r="A95" s="16">
        <v>43770</v>
      </c>
      <c r="B95" s="17">
        <f>CHOOSE(CONTROL!$C$42, 6.016, 6.016) * CHOOSE(CONTROL!$C$21, $C$9, 100%, $E$9)</f>
        <v>6.016</v>
      </c>
      <c r="C95" s="17">
        <f>CHOOSE(CONTROL!$C$42, 6.0211, 6.0211) * CHOOSE(CONTROL!$C$21, $C$9, 100%, $E$9)</f>
        <v>6.0210999999999997</v>
      </c>
      <c r="D95" s="17">
        <f>CHOOSE(CONTROL!$C$42, 6.1161, 6.1161) * CHOOSE(CONTROL!$C$21, $C$9, 100%, $E$9)</f>
        <v>6.1161000000000003</v>
      </c>
      <c r="E95" s="17">
        <f>CHOOSE(CONTROL!$C$42, 6.1502, 6.1502) * CHOOSE(CONTROL!$C$21, $C$9, 100%, $E$9)</f>
        <v>6.1501999999999999</v>
      </c>
      <c r="F95" s="17">
        <f>CHOOSE(CONTROL!$C$42, 6.0399, 6.0399)*CHOOSE(CONTROL!$C$21, $C$9, 100%, $E$9)</f>
        <v>6.0399000000000003</v>
      </c>
      <c r="G95" s="17">
        <f>CHOOSE(CONTROL!$C$42, 6.057, 6.057)*CHOOSE(CONTROL!$C$21, $C$9, 100%, $E$9)</f>
        <v>6.0570000000000004</v>
      </c>
      <c r="H95" s="17">
        <f>CHOOSE(CONTROL!$C$42, 6.1394, 6.1394) * CHOOSE(CONTROL!$C$21, $C$9, 100%, $E$9)</f>
        <v>6.1394000000000002</v>
      </c>
      <c r="I95" s="17">
        <f>CHOOSE(CONTROL!$C$42, 6.0548, 6.0548)* CHOOSE(CONTROL!$C$21, $C$9, 100%, $E$9)</f>
        <v>6.0548000000000002</v>
      </c>
      <c r="J95" s="17">
        <f>CHOOSE(CONTROL!$C$42, 6.0329, 6.0329)* CHOOSE(CONTROL!$C$21, $C$9, 100%, $E$9)</f>
        <v>6.0328999999999997</v>
      </c>
      <c r="K95" s="52">
        <f>CHOOSE(CONTROL!$C$42, 6.0506, 6.0506) * CHOOSE(CONTROL!$C$21, $C$9, 100%, $E$9)</f>
        <v>6.0506000000000002</v>
      </c>
      <c r="L95" s="17">
        <f>CHOOSE(CONTROL!$C$42, 6.7264, 6.7264) * CHOOSE(CONTROL!$C$21, $C$9, 100%, $E$9)</f>
        <v>6.7263999999999999</v>
      </c>
      <c r="M95" s="17">
        <f>CHOOSE(CONTROL!$C$42, 5.9321, 5.9321) * CHOOSE(CONTROL!$C$21, $C$9, 100%, $E$9)</f>
        <v>5.9321000000000002</v>
      </c>
      <c r="N95" s="17">
        <f>CHOOSE(CONTROL!$C$42, 5.9489, 5.9489) * CHOOSE(CONTROL!$C$21, $C$9, 100%, $E$9)</f>
        <v>5.9489000000000001</v>
      </c>
      <c r="O95" s="17">
        <f>CHOOSE(CONTROL!$C$42, 6.0367, 6.0367) * CHOOSE(CONTROL!$C$21, $C$9, 100%, $E$9)</f>
        <v>6.0366999999999997</v>
      </c>
      <c r="P95" s="17">
        <f>CHOOSE(CONTROL!$C$42, 5.9534, 5.9534) * CHOOSE(CONTROL!$C$21, $C$9, 100%, $E$9)</f>
        <v>5.9534000000000002</v>
      </c>
      <c r="Q95" s="17">
        <f>CHOOSE(CONTROL!$C$42, 6.6314, 6.6314) * CHOOSE(CONTROL!$C$21, $C$9, 100%, $E$9)</f>
        <v>6.6314000000000002</v>
      </c>
      <c r="R95" s="17">
        <f>CHOOSE(CONTROL!$C$42, 7.235, 7.235) * CHOOSE(CONTROL!$C$21, $C$9, 100%, $E$9)</f>
        <v>7.2350000000000003</v>
      </c>
      <c r="S95" s="17">
        <f>CHOOSE(CONTROL!$C$42, 5.7723, 5.7723) * CHOOSE(CONTROL!$C$21, $C$9, 100%, $E$9)</f>
        <v>5.7723000000000004</v>
      </c>
      <c r="T9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95" s="56">
        <f>(1000*CHOOSE(CONTROL!$C$42, 695, 695)*CHOOSE(CONTROL!$C$42, 0.5599, 0.5599)*CHOOSE(CONTROL!$C$42, 30, 30))/1000000</f>
        <v>11.673914999999997</v>
      </c>
      <c r="V95" s="56">
        <f>(1000*CHOOSE(CONTROL!$C$42, 500, 500)*CHOOSE(CONTROL!$C$42, 0.275, 0.275)*CHOOSE(CONTROL!$C$42, 30, 30))/1000000</f>
        <v>4.125</v>
      </c>
      <c r="W95" s="56">
        <f>(1000*CHOOSE(CONTROL!$C$42, 0.1146, 0.1146)*CHOOSE(CONTROL!$C$42, 121.5, 121.5)*CHOOSE(CONTROL!$C$42, 30, 30))/1000000</f>
        <v>0.417717</v>
      </c>
      <c r="X95" s="56">
        <f>(30*0.2374*100000/1000000)</f>
        <v>0.71220000000000006</v>
      </c>
      <c r="Y95" s="56"/>
      <c r="Z95" s="17"/>
      <c r="AA95" s="55"/>
      <c r="AB95" s="48">
        <f>(B95*122.58+C95*297.941+D95*89.177+E95*140.302+F95*40+G95*60+H95*0+I95*100+J95*300)/(122.58+297.941+89.177+140.302+0+40+60+100+300)</f>
        <v>6.0522092566956518</v>
      </c>
      <c r="AC95" s="45">
        <f>(M95*'RAP TEMPLATE-GAS AVAILABILITY'!O94+N95*'RAP TEMPLATE-GAS AVAILABILITY'!P94+O95*'RAP TEMPLATE-GAS AVAILABILITY'!Q94+P95*'RAP TEMPLATE-GAS AVAILABILITY'!R94)/('RAP TEMPLATE-GAS AVAILABILITY'!O94+'RAP TEMPLATE-GAS AVAILABILITY'!P94+'RAP TEMPLATE-GAS AVAILABILITY'!Q94+'RAP TEMPLATE-GAS AVAILABILITY'!R94)</f>
        <v>5.9835402877697836</v>
      </c>
    </row>
    <row r="96" spans="1:29" ht="15.75" x14ac:dyDescent="0.25">
      <c r="A96" s="16">
        <v>43800</v>
      </c>
      <c r="B96" s="17">
        <f>CHOOSE(CONTROL!$C$42, 6.4388, 6.4388) * CHOOSE(CONTROL!$C$21, $C$9, 100%, $E$9)</f>
        <v>6.4387999999999996</v>
      </c>
      <c r="C96" s="17">
        <f>CHOOSE(CONTROL!$C$42, 6.4438, 6.4438) * CHOOSE(CONTROL!$C$21, $C$9, 100%, $E$9)</f>
        <v>6.4438000000000004</v>
      </c>
      <c r="D96" s="17">
        <f>CHOOSE(CONTROL!$C$42, 6.5389, 6.5389) * CHOOSE(CONTROL!$C$21, $C$9, 100%, $E$9)</f>
        <v>6.5388999999999999</v>
      </c>
      <c r="E96" s="17">
        <f>CHOOSE(CONTROL!$C$42, 6.573, 6.573) * CHOOSE(CONTROL!$C$21, $C$9, 100%, $E$9)</f>
        <v>6.5730000000000004</v>
      </c>
      <c r="F96" s="17">
        <f>CHOOSE(CONTROL!$C$42, 6.465, 6.465)*CHOOSE(CONTROL!$C$21, $C$9, 100%, $E$9)</f>
        <v>6.4649999999999999</v>
      </c>
      <c r="G96" s="17">
        <f>CHOOSE(CONTROL!$C$42, 6.4827, 6.4827)*CHOOSE(CONTROL!$C$21, $C$9, 100%, $E$9)</f>
        <v>6.4827000000000004</v>
      </c>
      <c r="H96" s="17">
        <f>CHOOSE(CONTROL!$C$42, 6.5622, 6.5622) * CHOOSE(CONTROL!$C$21, $C$9, 100%, $E$9)</f>
        <v>6.5621999999999998</v>
      </c>
      <c r="I96" s="17">
        <f>CHOOSE(CONTROL!$C$42, 6.4789, 6.4789)* CHOOSE(CONTROL!$C$21, $C$9, 100%, $E$9)</f>
        <v>6.4789000000000003</v>
      </c>
      <c r="J96" s="17">
        <f>CHOOSE(CONTROL!$C$42, 6.458, 6.458)* CHOOSE(CONTROL!$C$21, $C$9, 100%, $E$9)</f>
        <v>6.4580000000000002</v>
      </c>
      <c r="K96" s="52">
        <f>CHOOSE(CONTROL!$C$42, 6.4747, 6.4747) * CHOOSE(CONTROL!$C$21, $C$9, 100%, $E$9)</f>
        <v>6.4747000000000003</v>
      </c>
      <c r="L96" s="17">
        <f>CHOOSE(CONTROL!$C$42, 7.1492, 7.1492) * CHOOSE(CONTROL!$C$21, $C$9, 100%, $E$9)</f>
        <v>7.1492000000000004</v>
      </c>
      <c r="M96" s="17">
        <f>CHOOSE(CONTROL!$C$42, 6.3496, 6.3496) * CHOOSE(CONTROL!$C$21, $C$9, 100%, $E$9)</f>
        <v>6.3495999999999997</v>
      </c>
      <c r="N96" s="17">
        <f>CHOOSE(CONTROL!$C$42, 6.3669, 6.3669) * CHOOSE(CONTROL!$C$21, $C$9, 100%, $E$9)</f>
        <v>6.3669000000000002</v>
      </c>
      <c r="O96" s="17">
        <f>CHOOSE(CONTROL!$C$42, 6.4518, 6.4518) * CHOOSE(CONTROL!$C$21, $C$9, 100%, $E$9)</f>
        <v>6.4518000000000004</v>
      </c>
      <c r="P96" s="17">
        <f>CHOOSE(CONTROL!$C$42, 6.3698, 6.3698) * CHOOSE(CONTROL!$C$21, $C$9, 100%, $E$9)</f>
        <v>6.3697999999999997</v>
      </c>
      <c r="Q96" s="17">
        <f>CHOOSE(CONTROL!$C$42, 7.0465, 7.0465) * CHOOSE(CONTROL!$C$21, $C$9, 100%, $E$9)</f>
        <v>7.0465</v>
      </c>
      <c r="R96" s="17">
        <f>CHOOSE(CONTROL!$C$42, 7.6511, 7.6511) * CHOOSE(CONTROL!$C$21, $C$9, 100%, $E$9)</f>
        <v>7.6510999999999996</v>
      </c>
      <c r="S96" s="17">
        <f>CHOOSE(CONTROL!$C$42, 6.1785, 6.1785) * CHOOSE(CONTROL!$C$21, $C$9, 100%, $E$9)</f>
        <v>6.1784999999999997</v>
      </c>
      <c r="T9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96" s="56">
        <f>(1000*CHOOSE(CONTROL!$C$42, 695, 695)*CHOOSE(CONTROL!$C$42, 0.5599, 0.5599)*CHOOSE(CONTROL!$C$42, 31, 31))/1000000</f>
        <v>12.063045499999998</v>
      </c>
      <c r="V96" s="56">
        <f>(1000*CHOOSE(CONTROL!$C$42, 500, 500)*CHOOSE(CONTROL!$C$42, 0.275, 0.275)*CHOOSE(CONTROL!$C$42, 31, 31))/1000000</f>
        <v>4.2625000000000002</v>
      </c>
      <c r="W96" s="56">
        <f>(1000*CHOOSE(CONTROL!$C$42, 0.1146, 0.1146)*CHOOSE(CONTROL!$C$42, 121.5, 121.5)*CHOOSE(CONTROL!$C$42, 31, 31))/1000000</f>
        <v>0.43164089999999994</v>
      </c>
      <c r="X96" s="56">
        <f>(31*0.2374*100000/1000000)</f>
        <v>0.73594000000000004</v>
      </c>
      <c r="Y96" s="56"/>
      <c r="Z96" s="17"/>
      <c r="AA96" s="55"/>
      <c r="AB96" s="48">
        <f>(B96*122.58+C96*297.941+D96*89.177+E96*140.302+F96*40+G96*60+H96*0+I96*100+J96*300)/(122.58+297.941+89.177+140.302+0+40+60+100+300)</f>
        <v>6.4759276966086956</v>
      </c>
      <c r="AC96" s="45">
        <f>(M96*'RAP TEMPLATE-GAS AVAILABILITY'!O95+N96*'RAP TEMPLATE-GAS AVAILABILITY'!P95+O96*'RAP TEMPLATE-GAS AVAILABILITY'!Q95+P96*'RAP TEMPLATE-GAS AVAILABILITY'!R95)/('RAP TEMPLATE-GAS AVAILABILITY'!O95+'RAP TEMPLATE-GAS AVAILABILITY'!P95+'RAP TEMPLATE-GAS AVAILABILITY'!Q95+'RAP TEMPLATE-GAS AVAILABILITY'!R95)</f>
        <v>6.3998230215827343</v>
      </c>
    </row>
    <row r="97" spans="1:29" ht="15.75" x14ac:dyDescent="0.25">
      <c r="A97" s="16">
        <v>43831</v>
      </c>
      <c r="B97" s="17">
        <f>CHOOSE(CONTROL!$C$42, 7.1197, 7.1197) * CHOOSE(CONTROL!$C$21, $C$9, 100%, $E$9)</f>
        <v>7.1196999999999999</v>
      </c>
      <c r="C97" s="17">
        <f>CHOOSE(CONTROL!$C$42, 7.1248, 7.1248) * CHOOSE(CONTROL!$C$21, $C$9, 100%, $E$9)</f>
        <v>7.1247999999999996</v>
      </c>
      <c r="D97" s="17">
        <f>CHOOSE(CONTROL!$C$42, 7.2432, 7.2432) * CHOOSE(CONTROL!$C$21, $C$9, 100%, $E$9)</f>
        <v>7.2431999999999999</v>
      </c>
      <c r="E97" s="17">
        <f>CHOOSE(CONTROL!$C$42, 7.2773, 7.2773) * CHOOSE(CONTROL!$C$21, $C$9, 100%, $E$9)</f>
        <v>7.2773000000000003</v>
      </c>
      <c r="F97" s="17">
        <f>CHOOSE(CONTROL!$C$42, 7.1401, 7.1401)*CHOOSE(CONTROL!$C$21, $C$9, 100%, $E$9)</f>
        <v>7.1401000000000003</v>
      </c>
      <c r="G97" s="17">
        <f>CHOOSE(CONTROL!$C$42, 7.157, 7.157)*CHOOSE(CONTROL!$C$21, $C$9, 100%, $E$9)</f>
        <v>7.157</v>
      </c>
      <c r="H97" s="17">
        <f>CHOOSE(CONTROL!$C$42, 7.2665, 7.2665) * CHOOSE(CONTROL!$C$21, $C$9, 100%, $E$9)</f>
        <v>7.2664999999999997</v>
      </c>
      <c r="I97" s="17">
        <f>CHOOSE(CONTROL!$C$42, 7.1656, 7.1656)* CHOOSE(CONTROL!$C$21, $C$9, 100%, $E$9)</f>
        <v>7.1656000000000004</v>
      </c>
      <c r="J97" s="17">
        <f>CHOOSE(CONTROL!$C$42, 7.1331, 7.1331)* CHOOSE(CONTROL!$C$21, $C$9, 100%, $E$9)</f>
        <v>7.1330999999999998</v>
      </c>
      <c r="K97" s="52">
        <f>CHOOSE(CONTROL!$C$42, 7.1614, 7.1614) * CHOOSE(CONTROL!$C$21, $C$9, 100%, $E$9)</f>
        <v>7.1614000000000004</v>
      </c>
      <c r="L97" s="17">
        <f>CHOOSE(CONTROL!$C$42, 7.8535, 7.8535) * CHOOSE(CONTROL!$C$21, $C$9, 100%, $E$9)</f>
        <v>7.8535000000000004</v>
      </c>
      <c r="M97" s="17">
        <f>CHOOSE(CONTROL!$C$42, 7.0125, 7.0125) * CHOOSE(CONTROL!$C$21, $C$9, 100%, $E$9)</f>
        <v>7.0125000000000002</v>
      </c>
      <c r="N97" s="17">
        <f>CHOOSE(CONTROL!$C$42, 7.029, 7.029) * CHOOSE(CONTROL!$C$21, $C$9, 100%, $E$9)</f>
        <v>7.0289999999999999</v>
      </c>
      <c r="O97" s="17">
        <f>CHOOSE(CONTROL!$C$42, 7.1435, 7.1435) * CHOOSE(CONTROL!$C$21, $C$9, 100%, $E$9)</f>
        <v>7.1435000000000004</v>
      </c>
      <c r="P97" s="17">
        <f>CHOOSE(CONTROL!$C$42, 7.0441, 7.0441) * CHOOSE(CONTROL!$C$21, $C$9, 100%, $E$9)</f>
        <v>7.0441000000000003</v>
      </c>
      <c r="Q97" s="17">
        <f>CHOOSE(CONTROL!$C$42, 7.7382, 7.7382) * CHOOSE(CONTROL!$C$21, $C$9, 100%, $E$9)</f>
        <v>7.7382</v>
      </c>
      <c r="R97" s="17">
        <f>CHOOSE(CONTROL!$C$42, 8.3446, 8.3446) * CHOOSE(CONTROL!$C$21, $C$9, 100%, $E$9)</f>
        <v>8.3445999999999998</v>
      </c>
      <c r="S97" s="17">
        <f>CHOOSE(CONTROL!$C$42, 6.8328, 6.8328) * CHOOSE(CONTROL!$C$21, $C$9, 100%, $E$9)</f>
        <v>6.8327999999999998</v>
      </c>
      <c r="T9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97" s="56">
        <f>(1000*CHOOSE(CONTROL!$C$42, 695, 695)*CHOOSE(CONTROL!$C$42, 0.5599, 0.5599)*CHOOSE(CONTROL!$C$42, 31, 31))/1000000</f>
        <v>12.063045499999998</v>
      </c>
      <c r="V97" s="56">
        <f>(1000*CHOOSE(CONTROL!$C$42, 500, 500)*CHOOSE(CONTROL!$C$42, 0.275, 0.275)*CHOOSE(CONTROL!$C$42, 31, 31))/1000000</f>
        <v>4.2625000000000002</v>
      </c>
      <c r="W97" s="56">
        <f>(1000*CHOOSE(CONTROL!$C$42, 0.1146, 0.1146)*CHOOSE(CONTROL!$C$42, 121.5, 121.5)*CHOOSE(CONTROL!$C$42, 31, 31))/1000000</f>
        <v>0.43164089999999994</v>
      </c>
      <c r="X97" s="56">
        <f>(31*0.2374*100000/1000000)</f>
        <v>0.73594000000000004</v>
      </c>
      <c r="Y97" s="56"/>
      <c r="Z97" s="17"/>
      <c r="AA97" s="55"/>
      <c r="AB97" s="48">
        <f>(B97*122.58+C97*297.941+D97*89.177+E97*140.302+F97*40+G97*60+H97*0+I97*100+J97*300)/(122.58+297.941+89.177+140.302+0+40+60+100+300)</f>
        <v>7.159968220695653</v>
      </c>
      <c r="AC97" s="45">
        <f>(M97*'RAP TEMPLATE-GAS AVAILABILITY'!O96+N97*'RAP TEMPLATE-GAS AVAILABILITY'!P96+O97*'RAP TEMPLATE-GAS AVAILABILITY'!Q96+P97*'RAP TEMPLATE-GAS AVAILABILITY'!R96)/('RAP TEMPLATE-GAS AVAILABILITY'!O96+'RAP TEMPLATE-GAS AVAILABILITY'!P96+'RAP TEMPLATE-GAS AVAILABILITY'!Q96+'RAP TEMPLATE-GAS AVAILABILITY'!R96)</f>
        <v>7.0773705035971224</v>
      </c>
    </row>
    <row r="98" spans="1:29" ht="15.75" x14ac:dyDescent="0.25">
      <c r="A98" s="16">
        <v>43862</v>
      </c>
      <c r="B98" s="17">
        <f>CHOOSE(CONTROL!$C$42, 7.2612, 7.2612) * CHOOSE(CONTROL!$C$21, $C$9, 100%, $E$9)</f>
        <v>7.2611999999999997</v>
      </c>
      <c r="C98" s="17">
        <f>CHOOSE(CONTROL!$C$42, 7.2663, 7.2663) * CHOOSE(CONTROL!$C$21, $C$9, 100%, $E$9)</f>
        <v>7.2663000000000002</v>
      </c>
      <c r="D98" s="17">
        <f>CHOOSE(CONTROL!$C$42, 7.3847, 7.3847) * CHOOSE(CONTROL!$C$21, $C$9, 100%, $E$9)</f>
        <v>7.3846999999999996</v>
      </c>
      <c r="E98" s="17">
        <f>CHOOSE(CONTROL!$C$42, 7.4188, 7.4188) * CHOOSE(CONTROL!$C$21, $C$9, 100%, $E$9)</f>
        <v>7.4188000000000001</v>
      </c>
      <c r="F98" s="17">
        <f>CHOOSE(CONTROL!$C$42, 7.2816, 7.2816)*CHOOSE(CONTROL!$C$21, $C$9, 100%, $E$9)</f>
        <v>7.2816000000000001</v>
      </c>
      <c r="G98" s="17">
        <f>CHOOSE(CONTROL!$C$42, 7.2984, 7.2984)*CHOOSE(CONTROL!$C$21, $C$9, 100%, $E$9)</f>
        <v>7.2984</v>
      </c>
      <c r="H98" s="17">
        <f>CHOOSE(CONTROL!$C$42, 7.408, 7.408) * CHOOSE(CONTROL!$C$21, $C$9, 100%, $E$9)</f>
        <v>7.4080000000000004</v>
      </c>
      <c r="I98" s="17">
        <f>CHOOSE(CONTROL!$C$42, 7.3076, 7.3076)* CHOOSE(CONTROL!$C$21, $C$9, 100%, $E$9)</f>
        <v>7.3075999999999999</v>
      </c>
      <c r="J98" s="17">
        <f>CHOOSE(CONTROL!$C$42, 7.2746, 7.2746)* CHOOSE(CONTROL!$C$21, $C$9, 100%, $E$9)</f>
        <v>7.2746000000000004</v>
      </c>
      <c r="K98" s="52">
        <f>CHOOSE(CONTROL!$C$42, 7.3033, 7.3033) * CHOOSE(CONTROL!$C$21, $C$9, 100%, $E$9)</f>
        <v>7.3033000000000001</v>
      </c>
      <c r="L98" s="17">
        <f>CHOOSE(CONTROL!$C$42, 7.995, 7.995) * CHOOSE(CONTROL!$C$21, $C$9, 100%, $E$9)</f>
        <v>7.9950000000000001</v>
      </c>
      <c r="M98" s="17">
        <f>CHOOSE(CONTROL!$C$42, 7.1514, 7.1514) * CHOOSE(CONTROL!$C$21, $C$9, 100%, $E$9)</f>
        <v>7.1513999999999998</v>
      </c>
      <c r="N98" s="17">
        <f>CHOOSE(CONTROL!$C$42, 7.1679, 7.1679) * CHOOSE(CONTROL!$C$21, $C$9, 100%, $E$9)</f>
        <v>7.1679000000000004</v>
      </c>
      <c r="O98" s="17">
        <f>CHOOSE(CONTROL!$C$42, 7.2825, 7.2825) * CHOOSE(CONTROL!$C$21, $C$9, 100%, $E$9)</f>
        <v>7.2824999999999998</v>
      </c>
      <c r="P98" s="17">
        <f>CHOOSE(CONTROL!$C$42, 7.1835, 7.1835) * CHOOSE(CONTROL!$C$21, $C$9, 100%, $E$9)</f>
        <v>7.1835000000000004</v>
      </c>
      <c r="Q98" s="17">
        <f>CHOOSE(CONTROL!$C$42, 7.8772, 7.8772) * CHOOSE(CONTROL!$C$21, $C$9, 100%, $E$9)</f>
        <v>7.8772000000000002</v>
      </c>
      <c r="R98" s="17">
        <f>CHOOSE(CONTROL!$C$42, 8.4839, 8.4839) * CHOOSE(CONTROL!$C$21, $C$9, 100%, $E$9)</f>
        <v>8.4839000000000002</v>
      </c>
      <c r="S98" s="17">
        <f>CHOOSE(CONTROL!$C$42, 6.9688, 6.9688) * CHOOSE(CONTROL!$C$21, $C$9, 100%, $E$9)</f>
        <v>6.9687999999999999</v>
      </c>
      <c r="T98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98" s="56">
        <f>(1000*CHOOSE(CONTROL!$C$42, 695, 695)*CHOOSE(CONTROL!$C$42, 0.5599, 0.5599)*CHOOSE(CONTROL!$C$42, 29, 29))/1000000</f>
        <v>11.284784499999999</v>
      </c>
      <c r="V98" s="56">
        <f>(1000*CHOOSE(CONTROL!$C$42, 500, 500)*CHOOSE(CONTROL!$C$42, 0.275, 0.275)*CHOOSE(CONTROL!$C$42, 29, 29))/1000000</f>
        <v>3.9874999999999998</v>
      </c>
      <c r="W98" s="56">
        <f>(1000*CHOOSE(CONTROL!$C$42, 0.1146, 0.1146)*CHOOSE(CONTROL!$C$42, 121.5, 121.5)*CHOOSE(CONTROL!$C$42, 29, 29))/1000000</f>
        <v>0.40379309999999996</v>
      </c>
      <c r="X98" s="56">
        <f>(29*0.2374*100000/1000000)</f>
        <v>0.68845999999999996</v>
      </c>
      <c r="Y98" s="56"/>
      <c r="Z98" s="17"/>
      <c r="AA98" s="55"/>
      <c r="AB98" s="48">
        <f>(B98*122.58+C98*297.941+D98*89.177+E98*140.302+F98*40+G98*60+H98*0+I98*100+J98*300)/(122.58+297.941+89.177+140.302+0+40+60+100+300)</f>
        <v>7.3015064815652169</v>
      </c>
      <c r="AC98" s="45">
        <f>(M98*'RAP TEMPLATE-GAS AVAILABILITY'!O97+N98*'RAP TEMPLATE-GAS AVAILABILITY'!P97+O98*'RAP TEMPLATE-GAS AVAILABILITY'!Q97+P98*'RAP TEMPLATE-GAS AVAILABILITY'!R97)/('RAP TEMPLATE-GAS AVAILABILITY'!O97+'RAP TEMPLATE-GAS AVAILABILITY'!P97+'RAP TEMPLATE-GAS AVAILABILITY'!Q97+'RAP TEMPLATE-GAS AVAILABILITY'!R97)</f>
        <v>7.2163877697841734</v>
      </c>
    </row>
    <row r="99" spans="1:29" ht="15.75" x14ac:dyDescent="0.25">
      <c r="A99" s="16">
        <v>43891</v>
      </c>
      <c r="B99" s="17">
        <f>CHOOSE(CONTROL!$C$42, 7.0698, 7.0698) * CHOOSE(CONTROL!$C$21, $C$9, 100%, $E$9)</f>
        <v>7.0697999999999999</v>
      </c>
      <c r="C99" s="17">
        <f>CHOOSE(CONTROL!$C$42, 7.0749, 7.0749) * CHOOSE(CONTROL!$C$21, $C$9, 100%, $E$9)</f>
        <v>7.0749000000000004</v>
      </c>
      <c r="D99" s="17">
        <f>CHOOSE(CONTROL!$C$42, 7.1934, 7.1934) * CHOOSE(CONTROL!$C$21, $C$9, 100%, $E$9)</f>
        <v>7.1933999999999996</v>
      </c>
      <c r="E99" s="17">
        <f>CHOOSE(CONTROL!$C$42, 7.2275, 7.2275) * CHOOSE(CONTROL!$C$21, $C$9, 100%, $E$9)</f>
        <v>7.2275</v>
      </c>
      <c r="F99" s="17">
        <f>CHOOSE(CONTROL!$C$42, 7.0895, 7.0895)*CHOOSE(CONTROL!$C$21, $C$9, 100%, $E$9)</f>
        <v>7.0895000000000001</v>
      </c>
      <c r="G99" s="17">
        <f>CHOOSE(CONTROL!$C$42, 7.1062, 7.1062)*CHOOSE(CONTROL!$C$21, $C$9, 100%, $E$9)</f>
        <v>7.1062000000000003</v>
      </c>
      <c r="H99" s="17">
        <f>CHOOSE(CONTROL!$C$42, 7.2167, 7.2167) * CHOOSE(CONTROL!$C$21, $C$9, 100%, $E$9)</f>
        <v>7.2167000000000003</v>
      </c>
      <c r="I99" s="17">
        <f>CHOOSE(CONTROL!$C$42, 7.1156, 7.1156)* CHOOSE(CONTROL!$C$21, $C$9, 100%, $E$9)</f>
        <v>7.1155999999999997</v>
      </c>
      <c r="J99" s="17">
        <f>CHOOSE(CONTROL!$C$42, 7.0825, 7.0825)* CHOOSE(CONTROL!$C$21, $C$9, 100%, $E$9)</f>
        <v>7.0824999999999996</v>
      </c>
      <c r="K99" s="52">
        <f>CHOOSE(CONTROL!$C$42, 7.1114, 7.1114) * CHOOSE(CONTROL!$C$21, $C$9, 100%, $E$9)</f>
        <v>7.1113999999999997</v>
      </c>
      <c r="L99" s="17">
        <f>CHOOSE(CONTROL!$C$42, 7.8037, 7.8037) * CHOOSE(CONTROL!$C$21, $C$9, 100%, $E$9)</f>
        <v>7.8037000000000001</v>
      </c>
      <c r="M99" s="17">
        <f>CHOOSE(CONTROL!$C$42, 6.9628, 6.9628) * CHOOSE(CONTROL!$C$21, $C$9, 100%, $E$9)</f>
        <v>6.9627999999999997</v>
      </c>
      <c r="N99" s="17">
        <f>CHOOSE(CONTROL!$C$42, 6.9792, 6.9792) * CHOOSE(CONTROL!$C$21, $C$9, 100%, $E$9)</f>
        <v>6.9791999999999996</v>
      </c>
      <c r="O99" s="17">
        <f>CHOOSE(CONTROL!$C$42, 7.0945, 7.0945) * CHOOSE(CONTROL!$C$21, $C$9, 100%, $E$9)</f>
        <v>7.0945</v>
      </c>
      <c r="P99" s="17">
        <f>CHOOSE(CONTROL!$C$42, 6.995, 6.995) * CHOOSE(CONTROL!$C$21, $C$9, 100%, $E$9)</f>
        <v>6.9950000000000001</v>
      </c>
      <c r="Q99" s="17">
        <f>CHOOSE(CONTROL!$C$42, 7.6892, 7.6892) * CHOOSE(CONTROL!$C$21, $C$9, 100%, $E$9)</f>
        <v>7.6891999999999996</v>
      </c>
      <c r="R99" s="17">
        <f>CHOOSE(CONTROL!$C$42, 8.2955, 8.2955) * CHOOSE(CONTROL!$C$21, $C$9, 100%, $E$9)</f>
        <v>8.2955000000000005</v>
      </c>
      <c r="S99" s="17">
        <f>CHOOSE(CONTROL!$C$42, 6.7849, 6.7849) * CHOOSE(CONTROL!$C$21, $C$9, 100%, $E$9)</f>
        <v>6.7849000000000004</v>
      </c>
      <c r="T9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99" s="56">
        <f>(1000*CHOOSE(CONTROL!$C$42, 695, 695)*CHOOSE(CONTROL!$C$42, 0.5599, 0.5599)*CHOOSE(CONTROL!$C$42, 31, 31))/1000000</f>
        <v>12.063045499999998</v>
      </c>
      <c r="V99" s="56">
        <f>(1000*CHOOSE(CONTROL!$C$42, 500, 500)*CHOOSE(CONTROL!$C$42, 0.275, 0.275)*CHOOSE(CONTROL!$C$42, 31, 31))/1000000</f>
        <v>4.2625000000000002</v>
      </c>
      <c r="W99" s="56">
        <f>(1000*CHOOSE(CONTROL!$C$42, 0.1146, 0.1146)*CHOOSE(CONTROL!$C$42, 121.5, 121.5)*CHOOSE(CONTROL!$C$42, 31, 31))/1000000</f>
        <v>0.43164089999999994</v>
      </c>
      <c r="X99" s="56">
        <f>(31*0.2374*100000/1000000)</f>
        <v>0.73594000000000004</v>
      </c>
      <c r="Y99" s="56"/>
      <c r="Z99" s="17"/>
      <c r="AA99" s="55"/>
      <c r="AB99" s="48">
        <f>(B99*122.58+C99*297.941+D99*89.177+E99*140.302+F99*40+G99*60+H99*0+I99*100+J99*300)/(122.58+297.941+89.177+140.302+0+40+60+100+300)</f>
        <v>7.109825566695652</v>
      </c>
      <c r="AC99" s="45">
        <f>(M99*'RAP TEMPLATE-GAS AVAILABILITY'!O98+N99*'RAP TEMPLATE-GAS AVAILABILITY'!P98+O99*'RAP TEMPLATE-GAS AVAILABILITY'!Q98+P99*'RAP TEMPLATE-GAS AVAILABILITY'!R98)/('RAP TEMPLATE-GAS AVAILABILITY'!O98+'RAP TEMPLATE-GAS AVAILABILITY'!P98+'RAP TEMPLATE-GAS AVAILABILITY'!Q98+'RAP TEMPLATE-GAS AVAILABILITY'!R98)</f>
        <v>7.0280683453237405</v>
      </c>
    </row>
    <row r="100" spans="1:29" ht="15.75" x14ac:dyDescent="0.25">
      <c r="A100" s="16">
        <v>43922</v>
      </c>
      <c r="B100" s="17">
        <f>CHOOSE(CONTROL!$C$42, 7.0642, 7.0642) * CHOOSE(CONTROL!$C$21, $C$9, 100%, $E$9)</f>
        <v>7.0641999999999996</v>
      </c>
      <c r="C100" s="17">
        <f>CHOOSE(CONTROL!$C$42, 7.0687, 7.0687) * CHOOSE(CONTROL!$C$21, $C$9, 100%, $E$9)</f>
        <v>7.0686999999999998</v>
      </c>
      <c r="D100" s="17">
        <f>CHOOSE(CONTROL!$C$42, 7.3429, 7.3429) * CHOOSE(CONTROL!$C$21, $C$9, 100%, $E$9)</f>
        <v>7.3429000000000002</v>
      </c>
      <c r="E100" s="17">
        <f>CHOOSE(CONTROL!$C$42, 7.375, 7.375) * CHOOSE(CONTROL!$C$21, $C$9, 100%, $E$9)</f>
        <v>7.375</v>
      </c>
      <c r="F100" s="17">
        <f>CHOOSE(CONTROL!$C$42, 7.0835, 7.0835)*CHOOSE(CONTROL!$C$21, $C$9, 100%, $E$9)</f>
        <v>7.0834999999999999</v>
      </c>
      <c r="G100" s="17">
        <f>CHOOSE(CONTROL!$C$42, 7.0999, 7.0999)*CHOOSE(CONTROL!$C$21, $C$9, 100%, $E$9)</f>
        <v>7.0998999999999999</v>
      </c>
      <c r="H100" s="17">
        <f>CHOOSE(CONTROL!$C$42, 7.3648, 7.3648) * CHOOSE(CONTROL!$C$21, $C$9, 100%, $E$9)</f>
        <v>7.3647999999999998</v>
      </c>
      <c r="I100" s="17">
        <f>CHOOSE(CONTROL!$C$42, 7.1076, 7.1076)* CHOOSE(CONTROL!$C$21, $C$9, 100%, $E$9)</f>
        <v>7.1075999999999997</v>
      </c>
      <c r="J100" s="17">
        <f>CHOOSE(CONTROL!$C$42, 7.0765, 7.0765)* CHOOSE(CONTROL!$C$21, $C$9, 100%, $E$9)</f>
        <v>7.0765000000000002</v>
      </c>
      <c r="K100" s="52">
        <f>CHOOSE(CONTROL!$C$42, 7.1034, 7.1034) * CHOOSE(CONTROL!$C$21, $C$9, 100%, $E$9)</f>
        <v>7.1033999999999997</v>
      </c>
      <c r="L100" s="17">
        <f>CHOOSE(CONTROL!$C$42, 7.9518, 7.9518) * CHOOSE(CONTROL!$C$21, $C$9, 100%, $E$9)</f>
        <v>7.9518000000000004</v>
      </c>
      <c r="M100" s="17">
        <f>CHOOSE(CONTROL!$C$42, 6.9569, 6.9569) * CHOOSE(CONTROL!$C$21, $C$9, 100%, $E$9)</f>
        <v>6.9569000000000001</v>
      </c>
      <c r="N100" s="17">
        <f>CHOOSE(CONTROL!$C$42, 6.973, 6.973) * CHOOSE(CONTROL!$C$21, $C$9, 100%, $E$9)</f>
        <v>6.9729999999999999</v>
      </c>
      <c r="O100" s="17">
        <f>CHOOSE(CONTROL!$C$42, 7.24, 7.24) * CHOOSE(CONTROL!$C$21, $C$9, 100%, $E$9)</f>
        <v>7.24</v>
      </c>
      <c r="P100" s="17">
        <f>CHOOSE(CONTROL!$C$42, 6.9871, 6.9871) * CHOOSE(CONTROL!$C$21, $C$9, 100%, $E$9)</f>
        <v>6.9870999999999999</v>
      </c>
      <c r="Q100" s="17">
        <f>CHOOSE(CONTROL!$C$42, 7.8347, 7.8347) * CHOOSE(CONTROL!$C$21, $C$9, 100%, $E$9)</f>
        <v>7.8346999999999998</v>
      </c>
      <c r="R100" s="17">
        <f>CHOOSE(CONTROL!$C$42, 8.4413, 8.4413) * CHOOSE(CONTROL!$C$21, $C$9, 100%, $E$9)</f>
        <v>8.4413</v>
      </c>
      <c r="S100" s="17">
        <f>CHOOSE(CONTROL!$C$42, 6.7787, 6.7787) * CHOOSE(CONTROL!$C$21, $C$9, 100%, $E$9)</f>
        <v>6.7786999999999997</v>
      </c>
      <c r="T10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00" s="56">
        <f>(1000*CHOOSE(CONTROL!$C$42, 695, 695)*CHOOSE(CONTROL!$C$42, 0.5599, 0.5599)*CHOOSE(CONTROL!$C$42, 30, 30))/1000000</f>
        <v>11.673914999999997</v>
      </c>
      <c r="V100" s="56">
        <f>(1000*CHOOSE(CONTROL!$C$42, 500, 500)*CHOOSE(CONTROL!$C$42, 0.275, 0.275)*CHOOSE(CONTROL!$C$42, 30, 30))/1000000</f>
        <v>4.125</v>
      </c>
      <c r="W100" s="56">
        <f>(1000*CHOOSE(CONTROL!$C$42, 0.1146, 0.1146)*CHOOSE(CONTROL!$C$42, 121.5, 121.5)*CHOOSE(CONTROL!$C$42, 30, 30))/1000000</f>
        <v>0.417717</v>
      </c>
      <c r="X100" s="56">
        <f>(30*0.1790888*145000/1000000)+(30*0.2374*100000/1000000)</f>
        <v>1.4912362799999999</v>
      </c>
      <c r="Y100" s="56"/>
      <c r="Z100" s="17"/>
      <c r="AA100" s="55"/>
      <c r="AB100" s="48">
        <f>(B100*141.293+C100*267.993+D100*115.016+E100*189.698+F100*40+G100*85+H100*0+I100*100+J100*300)/(141.293+267.993+115.016+189.698+0+40+85+100+300)</f>
        <v>7.1481835077481852</v>
      </c>
      <c r="AC100" s="45">
        <f>(M100*'RAP TEMPLATE-GAS AVAILABILITY'!O99+N100*'RAP TEMPLATE-GAS AVAILABILITY'!P99+O100*'RAP TEMPLATE-GAS AVAILABILITY'!Q99+P100*'RAP TEMPLATE-GAS AVAILABILITY'!R99)/('RAP TEMPLATE-GAS AVAILABILITY'!O99+'RAP TEMPLATE-GAS AVAILABILITY'!P99+'RAP TEMPLATE-GAS AVAILABILITY'!Q99+'RAP TEMPLATE-GAS AVAILABILITY'!R99)</f>
        <v>7.0443827338129505</v>
      </c>
    </row>
    <row r="101" spans="1:29" ht="15.75" x14ac:dyDescent="0.25">
      <c r="A101" s="16">
        <v>43952</v>
      </c>
      <c r="B101" s="17">
        <f>CHOOSE(CONTROL!$C$42, 7.1425, 7.1425) * CHOOSE(CONTROL!$C$21, $C$9, 100%, $E$9)</f>
        <v>7.1425000000000001</v>
      </c>
      <c r="C101" s="17">
        <f>CHOOSE(CONTROL!$C$42, 7.1505, 7.1505) * CHOOSE(CONTROL!$C$21, $C$9, 100%, $E$9)</f>
        <v>7.1505000000000001</v>
      </c>
      <c r="D101" s="17">
        <f>CHOOSE(CONTROL!$C$42, 7.4216, 7.4216) * CHOOSE(CONTROL!$C$21, $C$9, 100%, $E$9)</f>
        <v>7.4215999999999998</v>
      </c>
      <c r="E101" s="17">
        <f>CHOOSE(CONTROL!$C$42, 7.4531, 7.4531) * CHOOSE(CONTROL!$C$21, $C$9, 100%, $E$9)</f>
        <v>7.4531000000000001</v>
      </c>
      <c r="F101" s="17">
        <f>CHOOSE(CONTROL!$C$42, 7.1607, 7.1607)*CHOOSE(CONTROL!$C$21, $C$9, 100%, $E$9)</f>
        <v>7.1607000000000003</v>
      </c>
      <c r="G101" s="17">
        <f>CHOOSE(CONTROL!$C$42, 7.1773, 7.1773)*CHOOSE(CONTROL!$C$21, $C$9, 100%, $E$9)</f>
        <v>7.1772999999999998</v>
      </c>
      <c r="H101" s="17">
        <f>CHOOSE(CONTROL!$C$42, 7.4417, 7.4417) * CHOOSE(CONTROL!$C$21, $C$9, 100%, $E$9)</f>
        <v>7.4417</v>
      </c>
      <c r="I101" s="17">
        <f>CHOOSE(CONTROL!$C$42, 7.1848, 7.1848)* CHOOSE(CONTROL!$C$21, $C$9, 100%, $E$9)</f>
        <v>7.1848000000000001</v>
      </c>
      <c r="J101" s="17">
        <f>CHOOSE(CONTROL!$C$42, 7.1537, 7.1537)* CHOOSE(CONTROL!$C$21, $C$9, 100%, $E$9)</f>
        <v>7.1536999999999997</v>
      </c>
      <c r="K101" s="52">
        <f>CHOOSE(CONTROL!$C$42, 7.1805, 7.1805) * CHOOSE(CONTROL!$C$21, $C$9, 100%, $E$9)</f>
        <v>7.1805000000000003</v>
      </c>
      <c r="L101" s="17">
        <f>CHOOSE(CONTROL!$C$42, 8.0287, 8.0287) * CHOOSE(CONTROL!$C$21, $C$9, 100%, $E$9)</f>
        <v>8.0287000000000006</v>
      </c>
      <c r="M101" s="17">
        <f>CHOOSE(CONTROL!$C$42, 7.0327, 7.0327) * CHOOSE(CONTROL!$C$21, $C$9, 100%, $E$9)</f>
        <v>7.0327000000000002</v>
      </c>
      <c r="N101" s="17">
        <f>CHOOSE(CONTROL!$C$42, 7.049, 7.049) * CHOOSE(CONTROL!$C$21, $C$9, 100%, $E$9)</f>
        <v>7.0490000000000004</v>
      </c>
      <c r="O101" s="17">
        <f>CHOOSE(CONTROL!$C$42, 7.3155, 7.3155) * CHOOSE(CONTROL!$C$21, $C$9, 100%, $E$9)</f>
        <v>7.3155000000000001</v>
      </c>
      <c r="P101" s="17">
        <f>CHOOSE(CONTROL!$C$42, 7.0629, 7.0629) * CHOOSE(CONTROL!$C$21, $C$9, 100%, $E$9)</f>
        <v>7.0629</v>
      </c>
      <c r="Q101" s="17">
        <f>CHOOSE(CONTROL!$C$42, 7.9102, 7.9102) * CHOOSE(CONTROL!$C$21, $C$9, 100%, $E$9)</f>
        <v>7.9101999999999997</v>
      </c>
      <c r="R101" s="17">
        <f>CHOOSE(CONTROL!$C$42, 8.517, 8.517) * CHOOSE(CONTROL!$C$21, $C$9, 100%, $E$9)</f>
        <v>8.5169999999999995</v>
      </c>
      <c r="S101" s="17">
        <f>CHOOSE(CONTROL!$C$42, 6.8526, 6.8526) * CHOOSE(CONTROL!$C$21, $C$9, 100%, $E$9)</f>
        <v>6.8525999999999998</v>
      </c>
      <c r="T10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01" s="56">
        <f>(1000*CHOOSE(CONTROL!$C$42, 695, 695)*CHOOSE(CONTROL!$C$42, 0.5599, 0.5599)*CHOOSE(CONTROL!$C$42, 31, 31))/1000000</f>
        <v>12.063045499999998</v>
      </c>
      <c r="V101" s="56">
        <f>(1000*CHOOSE(CONTROL!$C$42, 500, 500)*CHOOSE(CONTROL!$C$42, 0.275, 0.275)*CHOOSE(CONTROL!$C$42, 31, 31))/1000000</f>
        <v>4.2625000000000002</v>
      </c>
      <c r="W101" s="56">
        <f>(1000*CHOOSE(CONTROL!$C$42, 0.1146, 0.1146)*CHOOSE(CONTROL!$C$42, 121.5, 121.5)*CHOOSE(CONTROL!$C$42, 31, 31))/1000000</f>
        <v>0.43164089999999994</v>
      </c>
      <c r="X101" s="56">
        <f>(31*0.1790888*145000/1000000)+(31*0.2374*100000/1000000)</f>
        <v>1.5409441560000001</v>
      </c>
      <c r="Y101" s="56"/>
      <c r="Z101" s="17"/>
      <c r="AA101" s="55"/>
      <c r="AB101" s="48">
        <f>(B101*194.205+C101*267.466+D101*133.845+E101*153.484+F101*40+G101*85+H101*0+I101*100+J101*300)/(194.205+267.466+133.845+153.484+0+40+85+100+300)</f>
        <v>7.2197715839089485</v>
      </c>
      <c r="AC101" s="45">
        <f>(M101*'RAP TEMPLATE-GAS AVAILABILITY'!O100+N101*'RAP TEMPLATE-GAS AVAILABILITY'!P100+O101*'RAP TEMPLATE-GAS AVAILABILITY'!Q100+P101*'RAP TEMPLATE-GAS AVAILABILITY'!R100)/('RAP TEMPLATE-GAS AVAILABILITY'!O100+'RAP TEMPLATE-GAS AVAILABILITY'!P100+'RAP TEMPLATE-GAS AVAILABILITY'!Q100+'RAP TEMPLATE-GAS AVAILABILITY'!R100)</f>
        <v>7.1201446043165468</v>
      </c>
    </row>
    <row r="102" spans="1:29" ht="15.75" x14ac:dyDescent="0.25">
      <c r="A102" s="16">
        <v>43983</v>
      </c>
      <c r="B102" s="17">
        <f>CHOOSE(CONTROL!$C$42, 7.3599, 7.3599) * CHOOSE(CONTROL!$C$21, $C$9, 100%, $E$9)</f>
        <v>7.3598999999999997</v>
      </c>
      <c r="C102" s="17">
        <f>CHOOSE(CONTROL!$C$42, 7.3679, 7.3679) * CHOOSE(CONTROL!$C$21, $C$9, 100%, $E$9)</f>
        <v>7.3678999999999997</v>
      </c>
      <c r="D102" s="17">
        <f>CHOOSE(CONTROL!$C$42, 7.639, 7.639) * CHOOSE(CONTROL!$C$21, $C$9, 100%, $E$9)</f>
        <v>7.6390000000000002</v>
      </c>
      <c r="E102" s="17">
        <f>CHOOSE(CONTROL!$C$42, 7.6704, 7.6704) * CHOOSE(CONTROL!$C$21, $C$9, 100%, $E$9)</f>
        <v>7.6703999999999999</v>
      </c>
      <c r="F102" s="17">
        <f>CHOOSE(CONTROL!$C$42, 7.3783, 7.3783)*CHOOSE(CONTROL!$C$21, $C$9, 100%, $E$9)</f>
        <v>7.3783000000000003</v>
      </c>
      <c r="G102" s="17">
        <f>CHOOSE(CONTROL!$C$42, 7.3951, 7.3951)*CHOOSE(CONTROL!$C$21, $C$9, 100%, $E$9)</f>
        <v>7.3951000000000002</v>
      </c>
      <c r="H102" s="17">
        <f>CHOOSE(CONTROL!$C$42, 7.6591, 7.6591) * CHOOSE(CONTROL!$C$21, $C$9, 100%, $E$9)</f>
        <v>7.6590999999999996</v>
      </c>
      <c r="I102" s="17">
        <f>CHOOSE(CONTROL!$C$42, 7.4028, 7.4028)* CHOOSE(CONTROL!$C$21, $C$9, 100%, $E$9)</f>
        <v>7.4028</v>
      </c>
      <c r="J102" s="17">
        <f>CHOOSE(CONTROL!$C$42, 7.3713, 7.3713)* CHOOSE(CONTROL!$C$21, $C$9, 100%, $E$9)</f>
        <v>7.3712999999999997</v>
      </c>
      <c r="K102" s="52">
        <f>CHOOSE(CONTROL!$C$42, 7.3986, 7.3986) * CHOOSE(CONTROL!$C$21, $C$9, 100%, $E$9)</f>
        <v>7.3986000000000001</v>
      </c>
      <c r="L102" s="17">
        <f>CHOOSE(CONTROL!$C$42, 8.2461, 8.2461) * CHOOSE(CONTROL!$C$21, $C$9, 100%, $E$9)</f>
        <v>8.2461000000000002</v>
      </c>
      <c r="M102" s="17">
        <f>CHOOSE(CONTROL!$C$42, 7.2464, 7.2464) * CHOOSE(CONTROL!$C$21, $C$9, 100%, $E$9)</f>
        <v>7.2464000000000004</v>
      </c>
      <c r="N102" s="17">
        <f>CHOOSE(CONTROL!$C$42, 7.2629, 7.2629) * CHOOSE(CONTROL!$C$21, $C$9, 100%, $E$9)</f>
        <v>7.2629000000000001</v>
      </c>
      <c r="O102" s="17">
        <f>CHOOSE(CONTROL!$C$42, 7.529, 7.529) * CHOOSE(CONTROL!$C$21, $C$9, 100%, $E$9)</f>
        <v>7.5289999999999999</v>
      </c>
      <c r="P102" s="17">
        <f>CHOOSE(CONTROL!$C$42, 7.277, 7.277) * CHOOSE(CONTROL!$C$21, $C$9, 100%, $E$9)</f>
        <v>7.2770000000000001</v>
      </c>
      <c r="Q102" s="17">
        <f>CHOOSE(CONTROL!$C$42, 8.1237, 8.1237) * CHOOSE(CONTROL!$C$21, $C$9, 100%, $E$9)</f>
        <v>8.1236999999999995</v>
      </c>
      <c r="R102" s="17">
        <f>CHOOSE(CONTROL!$C$42, 8.731, 8.731) * CHOOSE(CONTROL!$C$21, $C$9, 100%, $E$9)</f>
        <v>8.7309999999999999</v>
      </c>
      <c r="S102" s="17">
        <f>CHOOSE(CONTROL!$C$42, 7.0615, 7.0615) * CHOOSE(CONTROL!$C$21, $C$9, 100%, $E$9)</f>
        <v>7.0614999999999997</v>
      </c>
      <c r="T10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02" s="56">
        <f>(1000*CHOOSE(CONTROL!$C$42, 695, 695)*CHOOSE(CONTROL!$C$42, 0.5599, 0.5599)*CHOOSE(CONTROL!$C$42, 30, 30))/1000000</f>
        <v>11.673914999999997</v>
      </c>
      <c r="V102" s="56">
        <f>(1000*CHOOSE(CONTROL!$C$42, 500, 500)*CHOOSE(CONTROL!$C$42, 0.275, 0.275)*CHOOSE(CONTROL!$C$42, 30, 30))/1000000</f>
        <v>4.125</v>
      </c>
      <c r="W102" s="56">
        <f>(1000*CHOOSE(CONTROL!$C$42, 0.1146, 0.1146)*CHOOSE(CONTROL!$C$42, 121.5, 121.5)*CHOOSE(CONTROL!$C$42, 30, 30))/1000000</f>
        <v>0.417717</v>
      </c>
      <c r="X102" s="56">
        <f>(30*0.1790888*145000/1000000)+(30*0.2374*100000/1000000)</f>
        <v>1.4912362799999999</v>
      </c>
      <c r="Y102" s="56"/>
      <c r="Z102" s="17"/>
      <c r="AA102" s="55"/>
      <c r="AB102" s="48">
        <f>(B102*194.205+C102*267.466+D102*133.845+E102*153.484+F102*40+G102*85+H102*0+I102*100+J102*300)/(194.205+267.466+133.845+153.484+0+40+85+100+300)</f>
        <v>7.4372866950549437</v>
      </c>
      <c r="AC102" s="45">
        <f>(M102*'RAP TEMPLATE-GAS AVAILABILITY'!O101+N102*'RAP TEMPLATE-GAS AVAILABILITY'!P101+O102*'RAP TEMPLATE-GAS AVAILABILITY'!Q101+P102*'RAP TEMPLATE-GAS AVAILABILITY'!R101)/('RAP TEMPLATE-GAS AVAILABILITY'!O101+'RAP TEMPLATE-GAS AVAILABILITY'!P101+'RAP TEMPLATE-GAS AVAILABILITY'!Q101+'RAP TEMPLATE-GAS AVAILABILITY'!R101)</f>
        <v>7.3338920863309358</v>
      </c>
    </row>
    <row r="103" spans="1:29" ht="15.75" x14ac:dyDescent="0.25">
      <c r="A103" s="16">
        <v>44013</v>
      </c>
      <c r="B103" s="17">
        <f>CHOOSE(CONTROL!$C$42, 7.2338, 7.2338) * CHOOSE(CONTROL!$C$21, $C$9, 100%, $E$9)</f>
        <v>7.2337999999999996</v>
      </c>
      <c r="C103" s="17">
        <f>CHOOSE(CONTROL!$C$42, 7.2418, 7.2418) * CHOOSE(CONTROL!$C$21, $C$9, 100%, $E$9)</f>
        <v>7.2417999999999996</v>
      </c>
      <c r="D103" s="17">
        <f>CHOOSE(CONTROL!$C$42, 7.5129, 7.5129) * CHOOSE(CONTROL!$C$21, $C$9, 100%, $E$9)</f>
        <v>7.5129000000000001</v>
      </c>
      <c r="E103" s="17">
        <f>CHOOSE(CONTROL!$C$42, 7.5443, 7.5443) * CHOOSE(CONTROL!$C$21, $C$9, 100%, $E$9)</f>
        <v>7.5442999999999998</v>
      </c>
      <c r="F103" s="17">
        <f>CHOOSE(CONTROL!$C$42, 7.2526, 7.2526)*CHOOSE(CONTROL!$C$21, $C$9, 100%, $E$9)</f>
        <v>7.2526000000000002</v>
      </c>
      <c r="G103" s="17">
        <f>CHOOSE(CONTROL!$C$42, 7.2695, 7.2695)*CHOOSE(CONTROL!$C$21, $C$9, 100%, $E$9)</f>
        <v>7.2694999999999999</v>
      </c>
      <c r="H103" s="17">
        <f>CHOOSE(CONTROL!$C$42, 7.5329, 7.5329) * CHOOSE(CONTROL!$C$21, $C$9, 100%, $E$9)</f>
        <v>7.5328999999999997</v>
      </c>
      <c r="I103" s="17">
        <f>CHOOSE(CONTROL!$C$42, 7.2763, 7.2763)* CHOOSE(CONTROL!$C$21, $C$9, 100%, $E$9)</f>
        <v>7.2763</v>
      </c>
      <c r="J103" s="17">
        <f>CHOOSE(CONTROL!$C$42, 7.2456, 7.2456)* CHOOSE(CONTROL!$C$21, $C$9, 100%, $E$9)</f>
        <v>7.2455999999999996</v>
      </c>
      <c r="K103" s="52">
        <f>CHOOSE(CONTROL!$C$42, 7.2721, 7.2721) * CHOOSE(CONTROL!$C$21, $C$9, 100%, $E$9)</f>
        <v>7.2721</v>
      </c>
      <c r="L103" s="17">
        <f>CHOOSE(CONTROL!$C$42, 8.1199, 8.1199) * CHOOSE(CONTROL!$C$21, $C$9, 100%, $E$9)</f>
        <v>8.1198999999999995</v>
      </c>
      <c r="M103" s="17">
        <f>CHOOSE(CONTROL!$C$42, 7.123, 7.123) * CHOOSE(CONTROL!$C$21, $C$9, 100%, $E$9)</f>
        <v>7.1230000000000002</v>
      </c>
      <c r="N103" s="17">
        <f>CHOOSE(CONTROL!$C$42, 7.1395, 7.1395) * CHOOSE(CONTROL!$C$21, $C$9, 100%, $E$9)</f>
        <v>7.1395</v>
      </c>
      <c r="O103" s="17">
        <f>CHOOSE(CONTROL!$C$42, 7.4051, 7.4051) * CHOOSE(CONTROL!$C$21, $C$9, 100%, $E$9)</f>
        <v>7.4051</v>
      </c>
      <c r="P103" s="17">
        <f>CHOOSE(CONTROL!$C$42, 7.1528, 7.1528) * CHOOSE(CONTROL!$C$21, $C$9, 100%, $E$9)</f>
        <v>7.1528</v>
      </c>
      <c r="Q103" s="17">
        <f>CHOOSE(CONTROL!$C$42, 7.9998, 7.9998) * CHOOSE(CONTROL!$C$21, $C$9, 100%, $E$9)</f>
        <v>7.9997999999999996</v>
      </c>
      <c r="R103" s="17">
        <f>CHOOSE(CONTROL!$C$42, 8.6068, 8.6068) * CHOOSE(CONTROL!$C$21, $C$9, 100%, $E$9)</f>
        <v>8.6067999999999998</v>
      </c>
      <c r="S103" s="17">
        <f>CHOOSE(CONTROL!$C$42, 6.9403, 6.9403) * CHOOSE(CONTROL!$C$21, $C$9, 100%, $E$9)</f>
        <v>6.9402999999999997</v>
      </c>
      <c r="T10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03" s="56">
        <f>(1000*CHOOSE(CONTROL!$C$42, 695, 695)*CHOOSE(CONTROL!$C$42, 0.5599, 0.5599)*CHOOSE(CONTROL!$C$42, 31, 31))/1000000</f>
        <v>12.063045499999998</v>
      </c>
      <c r="V103" s="56">
        <f>(1000*CHOOSE(CONTROL!$C$42, 500, 500)*CHOOSE(CONTROL!$C$42, 0.275, 0.275)*CHOOSE(CONTROL!$C$42, 31, 31))/1000000</f>
        <v>4.2625000000000002</v>
      </c>
      <c r="W103" s="56">
        <f>(1000*CHOOSE(CONTROL!$C$42, 0.1146, 0.1146)*CHOOSE(CONTROL!$C$42, 121.5, 121.5)*CHOOSE(CONTROL!$C$42, 31, 31))/1000000</f>
        <v>0.43164089999999994</v>
      </c>
      <c r="X103" s="56">
        <f>(31*0.1790888*145000/1000000)+(31*0.2374*100000/1000000)</f>
        <v>1.5409441560000001</v>
      </c>
      <c r="Y103" s="56"/>
      <c r="Z103" s="17"/>
      <c r="AA103" s="55"/>
      <c r="AB103" s="48">
        <f>(B103*194.205+C103*267.466+D103*133.845+E103*153.484+F103*40+G103*85+H103*0+I103*100+J103*300)/(194.205+267.466+133.845+153.484+0+40+85+100+300)</f>
        <v>7.3112954077708006</v>
      </c>
      <c r="AC103" s="45">
        <f>(M103*'RAP TEMPLATE-GAS AVAILABILITY'!O102+N103*'RAP TEMPLATE-GAS AVAILABILITY'!P102+O103*'RAP TEMPLATE-GAS AVAILABILITY'!Q102+P103*'RAP TEMPLATE-GAS AVAILABILITY'!R102)/('RAP TEMPLATE-GAS AVAILABILITY'!O102+'RAP TEMPLATE-GAS AVAILABILITY'!P102+'RAP TEMPLATE-GAS AVAILABILITY'!Q102+'RAP TEMPLATE-GAS AVAILABILITY'!R102)</f>
        <v>7.2102366906474815</v>
      </c>
    </row>
    <row r="104" spans="1:29" ht="15.75" x14ac:dyDescent="0.25">
      <c r="A104" s="16">
        <v>44044</v>
      </c>
      <c r="B104" s="17">
        <f>CHOOSE(CONTROL!$C$42, 6.8912, 6.8912) * CHOOSE(CONTROL!$C$21, $C$9, 100%, $E$9)</f>
        <v>6.8912000000000004</v>
      </c>
      <c r="C104" s="17">
        <f>CHOOSE(CONTROL!$C$42, 6.8992, 6.8992) * CHOOSE(CONTROL!$C$21, $C$9, 100%, $E$9)</f>
        <v>6.8992000000000004</v>
      </c>
      <c r="D104" s="17">
        <f>CHOOSE(CONTROL!$C$42, 7.1703, 7.1703) * CHOOSE(CONTROL!$C$21, $C$9, 100%, $E$9)</f>
        <v>7.1703000000000001</v>
      </c>
      <c r="E104" s="17">
        <f>CHOOSE(CONTROL!$C$42, 7.2017, 7.2017) * CHOOSE(CONTROL!$C$21, $C$9, 100%, $E$9)</f>
        <v>7.2016999999999998</v>
      </c>
      <c r="F104" s="17">
        <f>CHOOSE(CONTROL!$C$42, 6.9103, 6.9103)*CHOOSE(CONTROL!$C$21, $C$9, 100%, $E$9)</f>
        <v>6.9103000000000003</v>
      </c>
      <c r="G104" s="17">
        <f>CHOOSE(CONTROL!$C$42, 6.9272, 6.9272)*CHOOSE(CONTROL!$C$21, $C$9, 100%, $E$9)</f>
        <v>6.9272</v>
      </c>
      <c r="H104" s="17">
        <f>CHOOSE(CONTROL!$C$42, 7.1904, 7.1904) * CHOOSE(CONTROL!$C$21, $C$9, 100%, $E$9)</f>
        <v>7.1904000000000003</v>
      </c>
      <c r="I104" s="17">
        <f>CHOOSE(CONTROL!$C$42, 6.9326, 6.9326)* CHOOSE(CONTROL!$C$21, $C$9, 100%, $E$9)</f>
        <v>6.9325999999999999</v>
      </c>
      <c r="J104" s="17">
        <f>CHOOSE(CONTROL!$C$42, 6.9033, 6.9033)* CHOOSE(CONTROL!$C$21, $C$9, 100%, $E$9)</f>
        <v>6.9032999999999998</v>
      </c>
      <c r="K104" s="52">
        <f>CHOOSE(CONTROL!$C$42, 6.9284, 6.9284) * CHOOSE(CONTROL!$C$21, $C$9, 100%, $E$9)</f>
        <v>6.9283999999999999</v>
      </c>
      <c r="L104" s="17">
        <f>CHOOSE(CONTROL!$C$42, 7.7774, 7.7774) * CHOOSE(CONTROL!$C$21, $C$9, 100%, $E$9)</f>
        <v>7.7774000000000001</v>
      </c>
      <c r="M104" s="17">
        <f>CHOOSE(CONTROL!$C$42, 6.7868, 6.7868) * CHOOSE(CONTROL!$C$21, $C$9, 100%, $E$9)</f>
        <v>6.7868000000000004</v>
      </c>
      <c r="N104" s="17">
        <f>CHOOSE(CONTROL!$C$42, 6.8034, 6.8034) * CHOOSE(CONTROL!$C$21, $C$9, 100%, $E$9)</f>
        <v>6.8033999999999999</v>
      </c>
      <c r="O104" s="17">
        <f>CHOOSE(CONTROL!$C$42, 7.0687, 7.0687) * CHOOSE(CONTROL!$C$21, $C$9, 100%, $E$9)</f>
        <v>7.0686999999999998</v>
      </c>
      <c r="P104" s="17">
        <f>CHOOSE(CONTROL!$C$42, 6.8153, 6.8153) * CHOOSE(CONTROL!$C$21, $C$9, 100%, $E$9)</f>
        <v>6.8152999999999997</v>
      </c>
      <c r="Q104" s="17">
        <f>CHOOSE(CONTROL!$C$42, 7.6634, 7.6634) * CHOOSE(CONTROL!$C$21, $C$9, 100%, $E$9)</f>
        <v>7.6634000000000002</v>
      </c>
      <c r="R104" s="17">
        <f>CHOOSE(CONTROL!$C$42, 8.2696, 8.2696) * CHOOSE(CONTROL!$C$21, $C$9, 100%, $E$9)</f>
        <v>8.2696000000000005</v>
      </c>
      <c r="S104" s="17">
        <f>CHOOSE(CONTROL!$C$42, 6.6111, 6.6111) * CHOOSE(CONTROL!$C$21, $C$9, 100%, $E$9)</f>
        <v>6.6111000000000004</v>
      </c>
      <c r="T10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04" s="56">
        <f>(1000*CHOOSE(CONTROL!$C$42, 695, 695)*CHOOSE(CONTROL!$C$42, 0.5599, 0.5599)*CHOOSE(CONTROL!$C$42, 31, 31))/1000000</f>
        <v>12.063045499999998</v>
      </c>
      <c r="V104" s="56">
        <f>(1000*CHOOSE(CONTROL!$C$42, 500, 500)*CHOOSE(CONTROL!$C$42, 0.275, 0.275)*CHOOSE(CONTROL!$C$42, 31, 31))/1000000</f>
        <v>4.2625000000000002</v>
      </c>
      <c r="W104" s="56">
        <f>(1000*CHOOSE(CONTROL!$C$42, 0.1146, 0.1146)*CHOOSE(CONTROL!$C$42, 121.5, 121.5)*CHOOSE(CONTROL!$C$42, 31, 31))/1000000</f>
        <v>0.43164089999999994</v>
      </c>
      <c r="X104" s="56">
        <f>(31*0.1790888*145000/1000000)+(31*0.2374*100000/1000000)</f>
        <v>1.5409441560000001</v>
      </c>
      <c r="Y104" s="56"/>
      <c r="Z104" s="17"/>
      <c r="AA104" s="55"/>
      <c r="AB104" s="48">
        <f>(B104*194.205+C104*267.466+D104*133.845+E104*153.484+F104*40+G104*85+H104*0+I104*100+J104*300)/(194.205+267.466+133.845+153.484+0+40+85+100+300)</f>
        <v>6.9687091440345377</v>
      </c>
      <c r="AC104" s="45">
        <f>(M104*'RAP TEMPLATE-GAS AVAILABILITY'!O103+N104*'RAP TEMPLATE-GAS AVAILABILITY'!P103+O104*'RAP TEMPLATE-GAS AVAILABILITY'!Q103+P104*'RAP TEMPLATE-GAS AVAILABILITY'!R103)/('RAP TEMPLATE-GAS AVAILABILITY'!O103+'RAP TEMPLATE-GAS AVAILABILITY'!P103+'RAP TEMPLATE-GAS AVAILABILITY'!Q103+'RAP TEMPLATE-GAS AVAILABILITY'!R103)</f>
        <v>6.8738165467625896</v>
      </c>
    </row>
    <row r="105" spans="1:29" ht="15.75" x14ac:dyDescent="0.25">
      <c r="A105" s="16">
        <v>44075</v>
      </c>
      <c r="B105" s="17">
        <f>CHOOSE(CONTROL!$C$42, 6.4675, 6.4675) * CHOOSE(CONTROL!$C$21, $C$9, 100%, $E$9)</f>
        <v>6.4675000000000002</v>
      </c>
      <c r="C105" s="17">
        <f>CHOOSE(CONTROL!$C$42, 6.4755, 6.4755) * CHOOSE(CONTROL!$C$21, $C$9, 100%, $E$9)</f>
        <v>6.4755000000000003</v>
      </c>
      <c r="D105" s="17">
        <f>CHOOSE(CONTROL!$C$42, 6.7466, 6.7466) * CHOOSE(CONTROL!$C$21, $C$9, 100%, $E$9)</f>
        <v>6.7465999999999999</v>
      </c>
      <c r="E105" s="17">
        <f>CHOOSE(CONTROL!$C$42, 6.778, 6.778) * CHOOSE(CONTROL!$C$21, $C$9, 100%, $E$9)</f>
        <v>6.7779999999999996</v>
      </c>
      <c r="F105" s="17">
        <f>CHOOSE(CONTROL!$C$42, 6.4867, 6.4867)*CHOOSE(CONTROL!$C$21, $C$9, 100%, $E$9)</f>
        <v>6.4866999999999999</v>
      </c>
      <c r="G105" s="17">
        <f>CHOOSE(CONTROL!$C$42, 6.5036, 6.5036)*CHOOSE(CONTROL!$C$21, $C$9, 100%, $E$9)</f>
        <v>6.5035999999999996</v>
      </c>
      <c r="H105" s="17">
        <f>CHOOSE(CONTROL!$C$42, 6.7667, 6.7667) * CHOOSE(CONTROL!$C$21, $C$9, 100%, $E$9)</f>
        <v>6.7667000000000002</v>
      </c>
      <c r="I105" s="17">
        <f>CHOOSE(CONTROL!$C$42, 6.5076, 6.5076)* CHOOSE(CONTROL!$C$21, $C$9, 100%, $E$9)</f>
        <v>6.5076000000000001</v>
      </c>
      <c r="J105" s="17">
        <f>CHOOSE(CONTROL!$C$42, 6.4797, 6.4797)* CHOOSE(CONTROL!$C$21, $C$9, 100%, $E$9)</f>
        <v>6.4797000000000002</v>
      </c>
      <c r="K105" s="52">
        <f>CHOOSE(CONTROL!$C$42, 6.5034, 6.5034) * CHOOSE(CONTROL!$C$21, $C$9, 100%, $E$9)</f>
        <v>6.5034000000000001</v>
      </c>
      <c r="L105" s="17">
        <f>CHOOSE(CONTROL!$C$42, 7.3537, 7.3537) * CHOOSE(CONTROL!$C$21, $C$9, 100%, $E$9)</f>
        <v>7.3536999999999999</v>
      </c>
      <c r="M105" s="17">
        <f>CHOOSE(CONTROL!$C$42, 6.3708, 6.3708) * CHOOSE(CONTROL!$C$21, $C$9, 100%, $E$9)</f>
        <v>6.3708</v>
      </c>
      <c r="N105" s="17">
        <f>CHOOSE(CONTROL!$C$42, 6.3874, 6.3874) * CHOOSE(CONTROL!$C$21, $C$9, 100%, $E$9)</f>
        <v>6.3874000000000004</v>
      </c>
      <c r="O105" s="17">
        <f>CHOOSE(CONTROL!$C$42, 6.6526, 6.6526) * CHOOSE(CONTROL!$C$21, $C$9, 100%, $E$9)</f>
        <v>6.6525999999999996</v>
      </c>
      <c r="P105" s="17">
        <f>CHOOSE(CONTROL!$C$42, 6.398, 6.398) * CHOOSE(CONTROL!$C$21, $C$9, 100%, $E$9)</f>
        <v>6.3979999999999997</v>
      </c>
      <c r="Q105" s="17">
        <f>CHOOSE(CONTROL!$C$42, 7.2473, 7.2473) * CHOOSE(CONTROL!$C$21, $C$9, 100%, $E$9)</f>
        <v>7.2473000000000001</v>
      </c>
      <c r="R105" s="17">
        <f>CHOOSE(CONTROL!$C$42, 7.8525, 7.8525) * CHOOSE(CONTROL!$C$21, $C$9, 100%, $E$9)</f>
        <v>7.8525</v>
      </c>
      <c r="S105" s="17">
        <f>CHOOSE(CONTROL!$C$42, 6.204, 6.204) * CHOOSE(CONTROL!$C$21, $C$9, 100%, $E$9)</f>
        <v>6.2039999999999997</v>
      </c>
      <c r="T10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05" s="56">
        <f>(1000*CHOOSE(CONTROL!$C$42, 695, 695)*CHOOSE(CONTROL!$C$42, 0.5599, 0.5599)*CHOOSE(CONTROL!$C$42, 30, 30))/1000000</f>
        <v>11.673914999999997</v>
      </c>
      <c r="V105" s="56">
        <f>(1000*CHOOSE(CONTROL!$C$42, 500, 500)*CHOOSE(CONTROL!$C$42, 0.275, 0.275)*CHOOSE(CONTROL!$C$42, 30, 30))/1000000</f>
        <v>4.125</v>
      </c>
      <c r="W105" s="56">
        <f>(1000*CHOOSE(CONTROL!$C$42, 0.1146, 0.1146)*CHOOSE(CONTROL!$C$42, 121.5, 121.5)*CHOOSE(CONTROL!$C$42, 30, 30))/1000000</f>
        <v>0.417717</v>
      </c>
      <c r="X105" s="56">
        <f>(30*0.1790888*145000/1000000)+(30*0.2374*100000/1000000)</f>
        <v>1.4912362799999999</v>
      </c>
      <c r="Y105" s="56"/>
      <c r="Z105" s="17"/>
      <c r="AA105" s="55"/>
      <c r="AB105" s="48">
        <f>(B105*194.205+C105*267.466+D105*133.845+E105*153.484+F105*40+G105*85+H105*0+I105*100+J105*300)/(194.205+267.466+133.845+153.484+0+40+85+100+300)</f>
        <v>6.5449404627158563</v>
      </c>
      <c r="AC105" s="45">
        <f>(M105*'RAP TEMPLATE-GAS AVAILABILITY'!O104+N105*'RAP TEMPLATE-GAS AVAILABILITY'!P104+O105*'RAP TEMPLATE-GAS AVAILABILITY'!Q104+P105*'RAP TEMPLATE-GAS AVAILABILITY'!R104)/('RAP TEMPLATE-GAS AVAILABILITY'!O104+'RAP TEMPLATE-GAS AVAILABILITY'!P104+'RAP TEMPLATE-GAS AVAILABILITY'!Q104+'RAP TEMPLATE-GAS AVAILABILITY'!R104)</f>
        <v>6.4576014388489211</v>
      </c>
    </row>
    <row r="106" spans="1:29" ht="15.75" x14ac:dyDescent="0.25">
      <c r="A106" s="16">
        <v>44105</v>
      </c>
      <c r="B106" s="17">
        <f>CHOOSE(CONTROL!$C$42, 6.3477, 6.3477) * CHOOSE(CONTROL!$C$21, $C$9, 100%, $E$9)</f>
        <v>6.3476999999999997</v>
      </c>
      <c r="C106" s="17">
        <f>CHOOSE(CONTROL!$C$42, 6.353, 6.353) * CHOOSE(CONTROL!$C$21, $C$9, 100%, $E$9)</f>
        <v>6.3529999999999998</v>
      </c>
      <c r="D106" s="17">
        <f>CHOOSE(CONTROL!$C$42, 6.629, 6.629) * CHOOSE(CONTROL!$C$21, $C$9, 100%, $E$9)</f>
        <v>6.6289999999999996</v>
      </c>
      <c r="E106" s="17">
        <f>CHOOSE(CONTROL!$C$42, 6.6581, 6.6581) * CHOOSE(CONTROL!$C$21, $C$9, 100%, $E$9)</f>
        <v>6.6581000000000001</v>
      </c>
      <c r="F106" s="17">
        <f>CHOOSE(CONTROL!$C$42, 6.3691, 6.3691)*CHOOSE(CONTROL!$C$21, $C$9, 100%, $E$9)</f>
        <v>6.3691000000000004</v>
      </c>
      <c r="G106" s="17">
        <f>CHOOSE(CONTROL!$C$42, 6.3859, 6.3859)*CHOOSE(CONTROL!$C$21, $C$9, 100%, $E$9)</f>
        <v>6.3859000000000004</v>
      </c>
      <c r="H106" s="17">
        <f>CHOOSE(CONTROL!$C$42, 6.6486, 6.6486) * CHOOSE(CONTROL!$C$21, $C$9, 100%, $E$9)</f>
        <v>6.6486000000000001</v>
      </c>
      <c r="I106" s="17">
        <f>CHOOSE(CONTROL!$C$42, 6.3892, 6.3892)* CHOOSE(CONTROL!$C$21, $C$9, 100%, $E$9)</f>
        <v>6.3891999999999998</v>
      </c>
      <c r="J106" s="17">
        <f>CHOOSE(CONTROL!$C$42, 6.3621, 6.3621)* CHOOSE(CONTROL!$C$21, $C$9, 100%, $E$9)</f>
        <v>6.3620999999999999</v>
      </c>
      <c r="K106" s="52">
        <f>CHOOSE(CONTROL!$C$42, 6.385, 6.385) * CHOOSE(CONTROL!$C$21, $C$9, 100%, $E$9)</f>
        <v>6.3849999999999998</v>
      </c>
      <c r="L106" s="17">
        <f>CHOOSE(CONTROL!$C$42, 7.2356, 7.2356) * CHOOSE(CONTROL!$C$21, $C$9, 100%, $E$9)</f>
        <v>7.2355999999999998</v>
      </c>
      <c r="M106" s="17">
        <f>CHOOSE(CONTROL!$C$42, 6.2553, 6.2553) * CHOOSE(CONTROL!$C$21, $C$9, 100%, $E$9)</f>
        <v>6.2553000000000001</v>
      </c>
      <c r="N106" s="17">
        <f>CHOOSE(CONTROL!$C$42, 6.2718, 6.2718) * CHOOSE(CONTROL!$C$21, $C$9, 100%, $E$9)</f>
        <v>6.2717999999999998</v>
      </c>
      <c r="O106" s="17">
        <f>CHOOSE(CONTROL!$C$42, 6.5367, 6.5367) * CHOOSE(CONTROL!$C$21, $C$9, 100%, $E$9)</f>
        <v>6.5366999999999997</v>
      </c>
      <c r="P106" s="17">
        <f>CHOOSE(CONTROL!$C$42, 6.2817, 6.2817) * CHOOSE(CONTROL!$C$21, $C$9, 100%, $E$9)</f>
        <v>6.2816999999999998</v>
      </c>
      <c r="Q106" s="17">
        <f>CHOOSE(CONTROL!$C$42, 7.1314, 7.1314) * CHOOSE(CONTROL!$C$21, $C$9, 100%, $E$9)</f>
        <v>7.1314000000000002</v>
      </c>
      <c r="R106" s="17">
        <f>CHOOSE(CONTROL!$C$42, 7.7363, 7.7363) * CHOOSE(CONTROL!$C$21, $C$9, 100%, $E$9)</f>
        <v>7.7363</v>
      </c>
      <c r="S106" s="17">
        <f>CHOOSE(CONTROL!$C$42, 6.0905, 6.0905) * CHOOSE(CONTROL!$C$21, $C$9, 100%, $E$9)</f>
        <v>6.0904999999999996</v>
      </c>
      <c r="T10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06" s="56">
        <f>(1000*CHOOSE(CONTROL!$C$42, 695, 695)*CHOOSE(CONTROL!$C$42, 0.5599, 0.5599)*CHOOSE(CONTROL!$C$42, 31, 31))/1000000</f>
        <v>12.063045499999998</v>
      </c>
      <c r="V106" s="56">
        <f>(1000*CHOOSE(CONTROL!$C$42, 500, 500)*CHOOSE(CONTROL!$C$42, 0.275, 0.275)*CHOOSE(CONTROL!$C$42, 31, 31))/1000000</f>
        <v>4.2625000000000002</v>
      </c>
      <c r="W106" s="56">
        <f>(1000*CHOOSE(CONTROL!$C$42, 0.1146, 0.1146)*CHOOSE(CONTROL!$C$42, 121.5, 121.5)*CHOOSE(CONTROL!$C$42, 31, 31))/1000000</f>
        <v>0.43164089999999994</v>
      </c>
      <c r="X106" s="56">
        <f>(31*0.1790888*145000/1000000)+(31*0.2374*100000/1000000)</f>
        <v>1.5409441560000001</v>
      </c>
      <c r="Y106" s="56"/>
      <c r="Z106" s="17"/>
      <c r="AA106" s="55"/>
      <c r="AB106" s="48">
        <f>(B106*131.881+C106*277.167+D106*79.08+E106*225.872+F106*40+G106*85+H106*0+I106*100+J106*300)/(131.881+277.167+79.08+225.872+0+40+85+100+300)</f>
        <v>6.4335739773204192</v>
      </c>
      <c r="AC106" s="45">
        <f>(M106*'RAP TEMPLATE-GAS AVAILABILITY'!O105+N106*'RAP TEMPLATE-GAS AVAILABILITY'!P105+O106*'RAP TEMPLATE-GAS AVAILABILITY'!Q105+P106*'RAP TEMPLATE-GAS AVAILABILITY'!R105)/('RAP TEMPLATE-GAS AVAILABILITY'!O105+'RAP TEMPLATE-GAS AVAILABILITY'!P105+'RAP TEMPLATE-GAS AVAILABILITY'!Q105+'RAP TEMPLATE-GAS AVAILABILITY'!R105)</f>
        <v>6.3418510791366902</v>
      </c>
    </row>
    <row r="107" spans="1:29" ht="15.75" x14ac:dyDescent="0.25">
      <c r="A107" s="16">
        <v>44136</v>
      </c>
      <c r="B107" s="17">
        <f>CHOOSE(CONTROL!$C$42, 6.5276, 6.5276) * CHOOSE(CONTROL!$C$21, $C$9, 100%, $E$9)</f>
        <v>6.5275999999999996</v>
      </c>
      <c r="C107" s="17">
        <f>CHOOSE(CONTROL!$C$42, 6.5327, 6.5327) * CHOOSE(CONTROL!$C$21, $C$9, 100%, $E$9)</f>
        <v>6.5327000000000002</v>
      </c>
      <c r="D107" s="17">
        <f>CHOOSE(CONTROL!$C$42, 6.6277, 6.6277) * CHOOSE(CONTROL!$C$21, $C$9, 100%, $E$9)</f>
        <v>6.6276999999999999</v>
      </c>
      <c r="E107" s="17">
        <f>CHOOSE(CONTROL!$C$42, 6.6618, 6.6618) * CHOOSE(CONTROL!$C$21, $C$9, 100%, $E$9)</f>
        <v>6.6618000000000004</v>
      </c>
      <c r="F107" s="17">
        <f>CHOOSE(CONTROL!$C$42, 6.5515, 6.5515)*CHOOSE(CONTROL!$C$21, $C$9, 100%, $E$9)</f>
        <v>6.5514999999999999</v>
      </c>
      <c r="G107" s="17">
        <f>CHOOSE(CONTROL!$C$42, 6.5686, 6.5686)*CHOOSE(CONTROL!$C$21, $C$9, 100%, $E$9)</f>
        <v>6.5686</v>
      </c>
      <c r="H107" s="17">
        <f>CHOOSE(CONTROL!$C$42, 6.651, 6.651) * CHOOSE(CONTROL!$C$21, $C$9, 100%, $E$9)</f>
        <v>6.6509999999999998</v>
      </c>
      <c r="I107" s="17">
        <f>CHOOSE(CONTROL!$C$42, 6.568, 6.568)* CHOOSE(CONTROL!$C$21, $C$9, 100%, $E$9)</f>
        <v>6.5679999999999996</v>
      </c>
      <c r="J107" s="17">
        <f>CHOOSE(CONTROL!$C$42, 6.5445, 6.5445)* CHOOSE(CONTROL!$C$21, $C$9, 100%, $E$9)</f>
        <v>6.5445000000000002</v>
      </c>
      <c r="K107" s="52">
        <f>CHOOSE(CONTROL!$C$42, 6.5638, 6.5638) * CHOOSE(CONTROL!$C$21, $C$9, 100%, $E$9)</f>
        <v>6.5637999999999996</v>
      </c>
      <c r="L107" s="17">
        <f>CHOOSE(CONTROL!$C$42, 7.238, 7.238) * CHOOSE(CONTROL!$C$21, $C$9, 100%, $E$9)</f>
        <v>7.2380000000000004</v>
      </c>
      <c r="M107" s="17">
        <f>CHOOSE(CONTROL!$C$42, 6.4345, 6.4345) * CHOOSE(CONTROL!$C$21, $C$9, 100%, $E$9)</f>
        <v>6.4344999999999999</v>
      </c>
      <c r="N107" s="17">
        <f>CHOOSE(CONTROL!$C$42, 6.4513, 6.4513) * CHOOSE(CONTROL!$C$21, $C$9, 100%, $E$9)</f>
        <v>6.4512999999999998</v>
      </c>
      <c r="O107" s="17">
        <f>CHOOSE(CONTROL!$C$42, 6.5391, 6.5391) * CHOOSE(CONTROL!$C$21, $C$9, 100%, $E$9)</f>
        <v>6.5391000000000004</v>
      </c>
      <c r="P107" s="17">
        <f>CHOOSE(CONTROL!$C$42, 6.4573, 6.4573) * CHOOSE(CONTROL!$C$21, $C$9, 100%, $E$9)</f>
        <v>6.4573</v>
      </c>
      <c r="Q107" s="17">
        <f>CHOOSE(CONTROL!$C$42, 7.1338, 7.1338) * CHOOSE(CONTROL!$C$21, $C$9, 100%, $E$9)</f>
        <v>7.1337999999999999</v>
      </c>
      <c r="R107" s="17">
        <f>CHOOSE(CONTROL!$C$42, 7.7386, 7.7386) * CHOOSE(CONTROL!$C$21, $C$9, 100%, $E$9)</f>
        <v>7.7385999999999999</v>
      </c>
      <c r="S107" s="17">
        <f>CHOOSE(CONTROL!$C$42, 6.2639, 6.2639) * CHOOSE(CONTROL!$C$21, $C$9, 100%, $E$9)</f>
        <v>6.2638999999999996</v>
      </c>
      <c r="T10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07" s="56">
        <f>(1000*CHOOSE(CONTROL!$C$42, 695, 695)*CHOOSE(CONTROL!$C$42, 0.5599, 0.5599)*CHOOSE(CONTROL!$C$42, 30, 30))/1000000</f>
        <v>11.673914999999997</v>
      </c>
      <c r="V107" s="56">
        <f>(1000*CHOOSE(CONTROL!$C$42, 500, 500)*CHOOSE(CONTROL!$C$42, 0.275, 0.275)*CHOOSE(CONTROL!$C$42, 30, 30))/1000000</f>
        <v>4.125</v>
      </c>
      <c r="W107" s="56">
        <f>(1000*CHOOSE(CONTROL!$C$42, 0.1146, 0.1146)*CHOOSE(CONTROL!$C$42, 121.5, 121.5)*CHOOSE(CONTROL!$C$42, 30, 30))/1000000</f>
        <v>0.417717</v>
      </c>
      <c r="X107" s="56">
        <f>(30*0.2374*100000/1000000)</f>
        <v>0.71220000000000006</v>
      </c>
      <c r="Y107" s="56"/>
      <c r="Z107" s="17"/>
      <c r="AA107" s="55"/>
      <c r="AB107" s="48">
        <f>(B107*122.58+C107*297.941+D107*89.177+E107*140.302+F107*40+G107*60+H107*0+I107*100+J107*300)/(122.58+297.941+89.177+140.302+0+40+60+100+300)</f>
        <v>6.5639483871304352</v>
      </c>
      <c r="AC107" s="45">
        <f>(M107*'RAP TEMPLATE-GAS AVAILABILITY'!O106+N107*'RAP TEMPLATE-GAS AVAILABILITY'!P106+O107*'RAP TEMPLATE-GAS AVAILABILITY'!Q106+P107*'RAP TEMPLATE-GAS AVAILABILITY'!R106)/('RAP TEMPLATE-GAS AVAILABILITY'!O106+'RAP TEMPLATE-GAS AVAILABILITY'!P106+'RAP TEMPLATE-GAS AVAILABILITY'!Q106+'RAP TEMPLATE-GAS AVAILABILITY'!R106)</f>
        <v>6.4861561151079137</v>
      </c>
    </row>
    <row r="108" spans="1:29" ht="15.75" x14ac:dyDescent="0.25">
      <c r="A108" s="16">
        <v>44166</v>
      </c>
      <c r="B108" s="17">
        <f>CHOOSE(CONTROL!$C$42, 6.9864, 6.9864) * CHOOSE(CONTROL!$C$21, $C$9, 100%, $E$9)</f>
        <v>6.9863999999999997</v>
      </c>
      <c r="C108" s="17">
        <f>CHOOSE(CONTROL!$C$42, 6.9914, 6.9914) * CHOOSE(CONTROL!$C$21, $C$9, 100%, $E$9)</f>
        <v>6.9913999999999996</v>
      </c>
      <c r="D108" s="17">
        <f>CHOOSE(CONTROL!$C$42, 7.0865, 7.0865) * CHOOSE(CONTROL!$C$21, $C$9, 100%, $E$9)</f>
        <v>7.0865</v>
      </c>
      <c r="E108" s="17">
        <f>CHOOSE(CONTROL!$C$42, 7.1206, 7.1206) * CHOOSE(CONTROL!$C$21, $C$9, 100%, $E$9)</f>
        <v>7.1205999999999996</v>
      </c>
      <c r="F108" s="17">
        <f>CHOOSE(CONTROL!$C$42, 7.0126, 7.0126)*CHOOSE(CONTROL!$C$21, $C$9, 100%, $E$9)</f>
        <v>7.0125999999999999</v>
      </c>
      <c r="G108" s="17">
        <f>CHOOSE(CONTROL!$C$42, 7.0303, 7.0303)*CHOOSE(CONTROL!$C$21, $C$9, 100%, $E$9)</f>
        <v>7.0303000000000004</v>
      </c>
      <c r="H108" s="17">
        <f>CHOOSE(CONTROL!$C$42, 7.1098, 7.1098) * CHOOSE(CONTROL!$C$21, $C$9, 100%, $E$9)</f>
        <v>7.1097999999999999</v>
      </c>
      <c r="I108" s="17">
        <f>CHOOSE(CONTROL!$C$42, 7.0282, 7.0282)* CHOOSE(CONTROL!$C$21, $C$9, 100%, $E$9)</f>
        <v>7.0282</v>
      </c>
      <c r="J108" s="17">
        <f>CHOOSE(CONTROL!$C$42, 7.0056, 7.0056)* CHOOSE(CONTROL!$C$21, $C$9, 100%, $E$9)</f>
        <v>7.0056000000000003</v>
      </c>
      <c r="K108" s="52">
        <f>CHOOSE(CONTROL!$C$42, 7.024, 7.024) * CHOOSE(CONTROL!$C$21, $C$9, 100%, $E$9)</f>
        <v>7.024</v>
      </c>
      <c r="L108" s="17">
        <f>CHOOSE(CONTROL!$C$42, 7.6968, 7.6968) * CHOOSE(CONTROL!$C$21, $C$9, 100%, $E$9)</f>
        <v>7.6967999999999996</v>
      </c>
      <c r="M108" s="17">
        <f>CHOOSE(CONTROL!$C$42, 6.8873, 6.8873) * CHOOSE(CONTROL!$C$21, $C$9, 100%, $E$9)</f>
        <v>6.8872999999999998</v>
      </c>
      <c r="N108" s="17">
        <f>CHOOSE(CONTROL!$C$42, 6.9047, 6.9047) * CHOOSE(CONTROL!$C$21, $C$9, 100%, $E$9)</f>
        <v>6.9047000000000001</v>
      </c>
      <c r="O108" s="17">
        <f>CHOOSE(CONTROL!$C$42, 6.9896, 6.9896) * CHOOSE(CONTROL!$C$21, $C$9, 100%, $E$9)</f>
        <v>6.9896000000000003</v>
      </c>
      <c r="P108" s="17">
        <f>CHOOSE(CONTROL!$C$42, 6.9092, 6.9092) * CHOOSE(CONTROL!$C$21, $C$9, 100%, $E$9)</f>
        <v>6.9092000000000002</v>
      </c>
      <c r="Q108" s="17">
        <f>CHOOSE(CONTROL!$C$42, 7.5843, 7.5843) * CHOOSE(CONTROL!$C$21, $C$9, 100%, $E$9)</f>
        <v>7.5842999999999998</v>
      </c>
      <c r="R108" s="17">
        <f>CHOOSE(CONTROL!$C$42, 8.1902, 8.1902) * CHOOSE(CONTROL!$C$21, $C$9, 100%, $E$9)</f>
        <v>8.1902000000000008</v>
      </c>
      <c r="S108" s="17">
        <f>CHOOSE(CONTROL!$C$42, 6.7046, 6.7046) * CHOOSE(CONTROL!$C$21, $C$9, 100%, $E$9)</f>
        <v>6.7046000000000001</v>
      </c>
      <c r="T10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08" s="56">
        <f>(1000*CHOOSE(CONTROL!$C$42, 695, 695)*CHOOSE(CONTROL!$C$42, 0.5599, 0.5599)*CHOOSE(CONTROL!$C$42, 31, 31))/1000000</f>
        <v>12.063045499999998</v>
      </c>
      <c r="V108" s="56">
        <f>(1000*CHOOSE(CONTROL!$C$42, 500, 500)*CHOOSE(CONTROL!$C$42, 0.275, 0.275)*CHOOSE(CONTROL!$C$42, 31, 31))/1000000</f>
        <v>4.2625000000000002</v>
      </c>
      <c r="W108" s="56">
        <f>(1000*CHOOSE(CONTROL!$C$42, 0.1146, 0.1146)*CHOOSE(CONTROL!$C$42, 121.5, 121.5)*CHOOSE(CONTROL!$C$42, 31, 31))/1000000</f>
        <v>0.43164089999999994</v>
      </c>
      <c r="X108" s="56">
        <f>(31*0.2374*100000/1000000)</f>
        <v>0.73594000000000004</v>
      </c>
      <c r="Y108" s="56"/>
      <c r="Z108" s="17"/>
      <c r="AA108" s="55"/>
      <c r="AB108" s="48">
        <f>(B108*122.58+C108*297.941+D108*89.177+E108*140.302+F108*40+G108*60+H108*0+I108*100+J108*300)/(122.58+297.941+89.177+140.302+0+40+60+100+300)</f>
        <v>7.023675522695652</v>
      </c>
      <c r="AC108" s="45">
        <f>(M108*'RAP TEMPLATE-GAS AVAILABILITY'!O107+N108*'RAP TEMPLATE-GAS AVAILABILITY'!P107+O108*'RAP TEMPLATE-GAS AVAILABILITY'!Q107+P108*'RAP TEMPLATE-GAS AVAILABILITY'!R107)/('RAP TEMPLATE-GAS AVAILABILITY'!O107+'RAP TEMPLATE-GAS AVAILABILITY'!P107+'RAP TEMPLATE-GAS AVAILABILITY'!Q107+'RAP TEMPLATE-GAS AVAILABILITY'!R107)</f>
        <v>6.937818705035971</v>
      </c>
    </row>
    <row r="109" spans="1:29" ht="15.75" x14ac:dyDescent="0.25">
      <c r="A109" s="16">
        <v>44197</v>
      </c>
      <c r="B109" s="17">
        <f>CHOOSE(CONTROL!$C$42, 7.5344, 7.5344) * CHOOSE(CONTROL!$C$21, $C$9, 100%, $E$9)</f>
        <v>7.5343999999999998</v>
      </c>
      <c r="C109" s="17">
        <f>CHOOSE(CONTROL!$C$42, 7.5394, 7.5394) * CHOOSE(CONTROL!$C$21, $C$9, 100%, $E$9)</f>
        <v>7.5393999999999997</v>
      </c>
      <c r="D109" s="17">
        <f>CHOOSE(CONTROL!$C$42, 7.6579, 7.6579) * CHOOSE(CONTROL!$C$21, $C$9, 100%, $E$9)</f>
        <v>7.6578999999999997</v>
      </c>
      <c r="E109" s="17">
        <f>CHOOSE(CONTROL!$C$42, 7.692, 7.692) * CHOOSE(CONTROL!$C$21, $C$9, 100%, $E$9)</f>
        <v>7.6920000000000002</v>
      </c>
      <c r="F109" s="17">
        <f>CHOOSE(CONTROL!$C$42, 7.5548, 7.5548)*CHOOSE(CONTROL!$C$21, $C$9, 100%, $E$9)</f>
        <v>7.5548000000000002</v>
      </c>
      <c r="G109" s="17">
        <f>CHOOSE(CONTROL!$C$42, 7.5716, 7.5716)*CHOOSE(CONTROL!$C$21, $C$9, 100%, $E$9)</f>
        <v>7.5716000000000001</v>
      </c>
      <c r="H109" s="17">
        <f>CHOOSE(CONTROL!$C$42, 7.6812, 7.6812) * CHOOSE(CONTROL!$C$21, $C$9, 100%, $E$9)</f>
        <v>7.6811999999999996</v>
      </c>
      <c r="I109" s="17">
        <f>CHOOSE(CONTROL!$C$42, 7.5816, 7.5816)* CHOOSE(CONTROL!$C$21, $C$9, 100%, $E$9)</f>
        <v>7.5815999999999999</v>
      </c>
      <c r="J109" s="17">
        <f>CHOOSE(CONTROL!$C$42, 7.5478, 7.5478)* CHOOSE(CONTROL!$C$21, $C$9, 100%, $E$9)</f>
        <v>7.5477999999999996</v>
      </c>
      <c r="K109" s="52">
        <f>CHOOSE(CONTROL!$C$42, 7.5774, 7.5774) * CHOOSE(CONTROL!$C$21, $C$9, 100%, $E$9)</f>
        <v>7.5773999999999999</v>
      </c>
      <c r="L109" s="17">
        <f>CHOOSE(CONTROL!$C$42, 8.2682, 8.2682) * CHOOSE(CONTROL!$C$21, $C$9, 100%, $E$9)</f>
        <v>8.2682000000000002</v>
      </c>
      <c r="M109" s="17">
        <f>CHOOSE(CONTROL!$C$42, 7.4197, 7.4197) * CHOOSE(CONTROL!$C$21, $C$9, 100%, $E$9)</f>
        <v>7.4196999999999997</v>
      </c>
      <c r="N109" s="17">
        <f>CHOOSE(CONTROL!$C$42, 7.4362, 7.4362) * CHOOSE(CONTROL!$C$21, $C$9, 100%, $E$9)</f>
        <v>7.4362000000000004</v>
      </c>
      <c r="O109" s="17">
        <f>CHOOSE(CONTROL!$C$42, 7.5507, 7.5507) * CHOOSE(CONTROL!$C$21, $C$9, 100%, $E$9)</f>
        <v>7.5507</v>
      </c>
      <c r="P109" s="17">
        <f>CHOOSE(CONTROL!$C$42, 7.4526, 7.4526) * CHOOSE(CONTROL!$C$21, $C$9, 100%, $E$9)</f>
        <v>7.4526000000000003</v>
      </c>
      <c r="Q109" s="17">
        <f>CHOOSE(CONTROL!$C$42, 8.1454, 8.1454) * CHOOSE(CONTROL!$C$21, $C$9, 100%, $E$9)</f>
        <v>8.1454000000000004</v>
      </c>
      <c r="R109" s="17">
        <f>CHOOSE(CONTROL!$C$42, 8.7528, 8.7528) * CHOOSE(CONTROL!$C$21, $C$9, 100%, $E$9)</f>
        <v>8.7528000000000006</v>
      </c>
      <c r="S109" s="17">
        <f>CHOOSE(CONTROL!$C$42, 7.2312, 7.2312) * CHOOSE(CONTROL!$C$21, $C$9, 100%, $E$9)</f>
        <v>7.2312000000000003</v>
      </c>
      <c r="T10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09" s="56">
        <f>(1000*CHOOSE(CONTROL!$C$42, 695, 695)*CHOOSE(CONTROL!$C$42, 0.5599, 0.5599)*CHOOSE(CONTROL!$C$42, 31, 31))/1000000</f>
        <v>12.063045499999998</v>
      </c>
      <c r="V109" s="56">
        <f>(1000*CHOOSE(CONTROL!$C$42, 500, 500)*CHOOSE(CONTROL!$C$42, 0.275, 0.275)*CHOOSE(CONTROL!$C$42, 31, 31))/1000000</f>
        <v>4.2625000000000002</v>
      </c>
      <c r="W109" s="56">
        <f>(1000*CHOOSE(CONTROL!$C$42, 0.1146, 0.1146)*CHOOSE(CONTROL!$C$42, 121.5, 121.5)*CHOOSE(CONTROL!$C$42, 31, 31))/1000000</f>
        <v>0.43164089999999994</v>
      </c>
      <c r="X109" s="56">
        <f>(31*0.2374*100000/1000000)</f>
        <v>0.73594000000000004</v>
      </c>
      <c r="Y109" s="56"/>
      <c r="Z109" s="17"/>
      <c r="AA109" s="55"/>
      <c r="AB109" s="48">
        <f>(B109*122.58+C109*297.941+D109*89.177+E109*140.302+F109*40+G109*60+H109*0+I109*100+J109*300)/(122.58+297.941+89.177+140.302+0+40+60+100+300)</f>
        <v>7.5747501388695637</v>
      </c>
      <c r="AC109" s="45">
        <f>(M109*'RAP TEMPLATE-GAS AVAILABILITY'!O108+N109*'RAP TEMPLATE-GAS AVAILABILITY'!P108+O109*'RAP TEMPLATE-GAS AVAILABILITY'!Q108+P109*'RAP TEMPLATE-GAS AVAILABILITY'!R108)/('RAP TEMPLATE-GAS AVAILABILITY'!O108+'RAP TEMPLATE-GAS AVAILABILITY'!P108+'RAP TEMPLATE-GAS AVAILABILITY'!Q108+'RAP TEMPLATE-GAS AVAILABILITY'!R108)</f>
        <v>7.4847575539568343</v>
      </c>
    </row>
    <row r="110" spans="1:29" ht="15.75" x14ac:dyDescent="0.25">
      <c r="A110" s="16">
        <v>44228</v>
      </c>
      <c r="B110" s="17">
        <f>CHOOSE(CONTROL!$C$42, 7.6841, 7.6841) * CHOOSE(CONTROL!$C$21, $C$9, 100%, $E$9)</f>
        <v>7.6840999999999999</v>
      </c>
      <c r="C110" s="17">
        <f>CHOOSE(CONTROL!$C$42, 7.6892, 7.6892) * CHOOSE(CONTROL!$C$21, $C$9, 100%, $E$9)</f>
        <v>7.6891999999999996</v>
      </c>
      <c r="D110" s="17">
        <f>CHOOSE(CONTROL!$C$42, 7.8076, 7.8076) * CHOOSE(CONTROL!$C$21, $C$9, 100%, $E$9)</f>
        <v>7.8075999999999999</v>
      </c>
      <c r="E110" s="17">
        <f>CHOOSE(CONTROL!$C$42, 7.8417, 7.8417) * CHOOSE(CONTROL!$C$21, $C$9, 100%, $E$9)</f>
        <v>7.8417000000000003</v>
      </c>
      <c r="F110" s="17">
        <f>CHOOSE(CONTROL!$C$42, 7.7045, 7.7045)*CHOOSE(CONTROL!$C$21, $C$9, 100%, $E$9)</f>
        <v>7.7045000000000003</v>
      </c>
      <c r="G110" s="17">
        <f>CHOOSE(CONTROL!$C$42, 7.7213, 7.7213)*CHOOSE(CONTROL!$C$21, $C$9, 100%, $E$9)</f>
        <v>7.7213000000000003</v>
      </c>
      <c r="H110" s="17">
        <f>CHOOSE(CONTROL!$C$42, 7.8309, 7.8309) * CHOOSE(CONTROL!$C$21, $C$9, 100%, $E$9)</f>
        <v>7.8308999999999997</v>
      </c>
      <c r="I110" s="17">
        <f>CHOOSE(CONTROL!$C$42, 7.7318, 7.7318)* CHOOSE(CONTROL!$C$21, $C$9, 100%, $E$9)</f>
        <v>7.7317999999999998</v>
      </c>
      <c r="J110" s="17">
        <f>CHOOSE(CONTROL!$C$42, 7.6975, 7.6975)* CHOOSE(CONTROL!$C$21, $C$9, 100%, $E$9)</f>
        <v>7.6974999999999998</v>
      </c>
      <c r="K110" s="52">
        <f>CHOOSE(CONTROL!$C$42, 7.7276, 7.7276) * CHOOSE(CONTROL!$C$21, $C$9, 100%, $E$9)</f>
        <v>7.7275999999999998</v>
      </c>
      <c r="L110" s="17">
        <f>CHOOSE(CONTROL!$C$42, 8.4179, 8.4179) * CHOOSE(CONTROL!$C$21, $C$9, 100%, $E$9)</f>
        <v>8.4178999999999995</v>
      </c>
      <c r="M110" s="17">
        <f>CHOOSE(CONTROL!$C$42, 7.5667, 7.5667) * CHOOSE(CONTROL!$C$21, $C$9, 100%, $E$9)</f>
        <v>7.5667</v>
      </c>
      <c r="N110" s="17">
        <f>CHOOSE(CONTROL!$C$42, 7.5832, 7.5832) * CHOOSE(CONTROL!$C$21, $C$9, 100%, $E$9)</f>
        <v>7.5831999999999997</v>
      </c>
      <c r="O110" s="17">
        <f>CHOOSE(CONTROL!$C$42, 7.6978, 7.6978) * CHOOSE(CONTROL!$C$21, $C$9, 100%, $E$9)</f>
        <v>7.6978</v>
      </c>
      <c r="P110" s="17">
        <f>CHOOSE(CONTROL!$C$42, 7.6, 7.6) * CHOOSE(CONTROL!$C$21, $C$9, 100%, $E$9)</f>
        <v>7.6</v>
      </c>
      <c r="Q110" s="17">
        <f>CHOOSE(CONTROL!$C$42, 8.2925, 8.2925) * CHOOSE(CONTROL!$C$21, $C$9, 100%, $E$9)</f>
        <v>8.2925000000000004</v>
      </c>
      <c r="R110" s="17">
        <f>CHOOSE(CONTROL!$C$42, 8.9002, 8.9002) * CHOOSE(CONTROL!$C$21, $C$9, 100%, $E$9)</f>
        <v>8.9001999999999999</v>
      </c>
      <c r="S110" s="17">
        <f>CHOOSE(CONTROL!$C$42, 7.3751, 7.3751) * CHOOSE(CONTROL!$C$21, $C$9, 100%, $E$9)</f>
        <v>7.3750999999999998</v>
      </c>
      <c r="T11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10" s="56">
        <f>(1000*CHOOSE(CONTROL!$C$42, 695, 695)*CHOOSE(CONTROL!$C$42, 0.5599, 0.5599)*CHOOSE(CONTROL!$C$42, 28, 28))/1000000</f>
        <v>10.895653999999999</v>
      </c>
      <c r="V110" s="56">
        <f>(1000*CHOOSE(CONTROL!$C$42, 500, 500)*CHOOSE(CONTROL!$C$42, 0.275, 0.275)*CHOOSE(CONTROL!$C$42, 28, 28))/1000000</f>
        <v>3.85</v>
      </c>
      <c r="W110" s="56">
        <f>(1000*CHOOSE(CONTROL!$C$42, 0.1146, 0.1146)*CHOOSE(CONTROL!$C$42, 121.5, 121.5)*CHOOSE(CONTROL!$C$42, 28, 28))/1000000</f>
        <v>0.38986920000000003</v>
      </c>
      <c r="X110" s="56">
        <f>(28*0.2374*100000/1000000)</f>
        <v>0.66471999999999998</v>
      </c>
      <c r="Y110" s="56"/>
      <c r="Z110" s="17"/>
      <c r="AA110" s="55"/>
      <c r="AB110" s="48">
        <f>(B110*122.58+C110*297.941+D110*89.177+E110*140.302+F110*40+G110*60+H110*0+I110*100+J110*300)/(122.58+297.941+89.177+140.302+0+40+60+100+300)</f>
        <v>7.7245195250434779</v>
      </c>
      <c r="AC110" s="45">
        <f>(M110*'RAP TEMPLATE-GAS AVAILABILITY'!O109+N110*'RAP TEMPLATE-GAS AVAILABILITY'!P109+O110*'RAP TEMPLATE-GAS AVAILABILITY'!Q109+P110*'RAP TEMPLATE-GAS AVAILABILITY'!R109)/('RAP TEMPLATE-GAS AVAILABILITY'!O109+'RAP TEMPLATE-GAS AVAILABILITY'!P109+'RAP TEMPLATE-GAS AVAILABILITY'!Q109+'RAP TEMPLATE-GAS AVAILABILITY'!R109)</f>
        <v>7.6318604316546761</v>
      </c>
    </row>
    <row r="111" spans="1:29" ht="15.75" x14ac:dyDescent="0.25">
      <c r="A111" s="16">
        <v>44256</v>
      </c>
      <c r="B111" s="17">
        <f>CHOOSE(CONTROL!$C$42, 7.4816, 7.4816) * CHOOSE(CONTROL!$C$21, $C$9, 100%, $E$9)</f>
        <v>7.4816000000000003</v>
      </c>
      <c r="C111" s="17">
        <f>CHOOSE(CONTROL!$C$42, 7.4866, 7.4866) * CHOOSE(CONTROL!$C$21, $C$9, 100%, $E$9)</f>
        <v>7.4866000000000001</v>
      </c>
      <c r="D111" s="17">
        <f>CHOOSE(CONTROL!$C$42, 7.6051, 7.6051) * CHOOSE(CONTROL!$C$21, $C$9, 100%, $E$9)</f>
        <v>7.6051000000000002</v>
      </c>
      <c r="E111" s="17">
        <f>CHOOSE(CONTROL!$C$42, 7.6392, 7.6392) * CHOOSE(CONTROL!$C$21, $C$9, 100%, $E$9)</f>
        <v>7.6391999999999998</v>
      </c>
      <c r="F111" s="17">
        <f>CHOOSE(CONTROL!$C$42, 7.5013, 7.5013)*CHOOSE(CONTROL!$C$21, $C$9, 100%, $E$9)</f>
        <v>7.5012999999999996</v>
      </c>
      <c r="G111" s="17">
        <f>CHOOSE(CONTROL!$C$42, 7.5179, 7.5179)*CHOOSE(CONTROL!$C$21, $C$9, 100%, $E$9)</f>
        <v>7.5179</v>
      </c>
      <c r="H111" s="17">
        <f>CHOOSE(CONTROL!$C$42, 7.6284, 7.6284) * CHOOSE(CONTROL!$C$21, $C$9, 100%, $E$9)</f>
        <v>7.6284000000000001</v>
      </c>
      <c r="I111" s="17">
        <f>CHOOSE(CONTROL!$C$42, 7.5286, 7.5286)* CHOOSE(CONTROL!$C$21, $C$9, 100%, $E$9)</f>
        <v>7.5286</v>
      </c>
      <c r="J111" s="17">
        <f>CHOOSE(CONTROL!$C$42, 7.4943, 7.4943)* CHOOSE(CONTROL!$C$21, $C$9, 100%, $E$9)</f>
        <v>7.4943</v>
      </c>
      <c r="K111" s="52">
        <f>CHOOSE(CONTROL!$C$42, 7.5244, 7.5244) * CHOOSE(CONTROL!$C$21, $C$9, 100%, $E$9)</f>
        <v>7.5244</v>
      </c>
      <c r="L111" s="17">
        <f>CHOOSE(CONTROL!$C$42, 8.2154, 8.2154) * CHOOSE(CONTROL!$C$21, $C$9, 100%, $E$9)</f>
        <v>8.2154000000000007</v>
      </c>
      <c r="M111" s="17">
        <f>CHOOSE(CONTROL!$C$42, 7.3672, 7.3672) * CHOOSE(CONTROL!$C$21, $C$9, 100%, $E$9)</f>
        <v>7.3672000000000004</v>
      </c>
      <c r="N111" s="17">
        <f>CHOOSE(CONTROL!$C$42, 7.3835, 7.3835) * CHOOSE(CONTROL!$C$21, $C$9, 100%, $E$9)</f>
        <v>7.3834999999999997</v>
      </c>
      <c r="O111" s="17">
        <f>CHOOSE(CONTROL!$C$42, 7.4989, 7.4989) * CHOOSE(CONTROL!$C$21, $C$9, 100%, $E$9)</f>
        <v>7.4988999999999999</v>
      </c>
      <c r="P111" s="17">
        <f>CHOOSE(CONTROL!$C$42, 7.4006, 7.4006) * CHOOSE(CONTROL!$C$21, $C$9, 100%, $E$9)</f>
        <v>7.4005999999999998</v>
      </c>
      <c r="Q111" s="17">
        <f>CHOOSE(CONTROL!$C$42, 8.0936, 8.0936) * CHOOSE(CONTROL!$C$21, $C$9, 100%, $E$9)</f>
        <v>8.0936000000000003</v>
      </c>
      <c r="R111" s="17">
        <f>CHOOSE(CONTROL!$C$42, 8.7008, 8.7008) * CHOOSE(CONTROL!$C$21, $C$9, 100%, $E$9)</f>
        <v>8.7007999999999992</v>
      </c>
      <c r="S111" s="17">
        <f>CHOOSE(CONTROL!$C$42, 7.1805, 7.1805) * CHOOSE(CONTROL!$C$21, $C$9, 100%, $E$9)</f>
        <v>7.1805000000000003</v>
      </c>
      <c r="T11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11" s="56">
        <f>(1000*CHOOSE(CONTROL!$C$42, 695, 695)*CHOOSE(CONTROL!$C$42, 0.5599, 0.5599)*CHOOSE(CONTROL!$C$42, 31, 31))/1000000</f>
        <v>12.063045499999998</v>
      </c>
      <c r="V111" s="56">
        <f>(1000*CHOOSE(CONTROL!$C$42, 500, 500)*CHOOSE(CONTROL!$C$42, 0.275, 0.275)*CHOOSE(CONTROL!$C$42, 31, 31))/1000000</f>
        <v>4.2625000000000002</v>
      </c>
      <c r="W111" s="56">
        <f>(1000*CHOOSE(CONTROL!$C$42, 0.1146, 0.1146)*CHOOSE(CONTROL!$C$42, 121.5, 121.5)*CHOOSE(CONTROL!$C$42, 31, 31))/1000000</f>
        <v>0.43164089999999994</v>
      </c>
      <c r="X111" s="56">
        <f>(31*0.2374*100000/1000000)</f>
        <v>0.73594000000000004</v>
      </c>
      <c r="Y111" s="56"/>
      <c r="Z111" s="17"/>
      <c r="AA111" s="55"/>
      <c r="AB111" s="48">
        <f>(B111*122.58+C111*297.941+D111*89.177+E111*140.302+F111*40+G111*60+H111*0+I111*100+J111*300)/(122.58+297.941+89.177+140.302+0+40+60+100+300)</f>
        <v>7.5216788345217385</v>
      </c>
      <c r="AC111" s="45">
        <f>(M111*'RAP TEMPLATE-GAS AVAILABILITY'!O110+N111*'RAP TEMPLATE-GAS AVAILABILITY'!P110+O111*'RAP TEMPLATE-GAS AVAILABILITY'!Q110+P111*'RAP TEMPLATE-GAS AVAILABILITY'!R110)/('RAP TEMPLATE-GAS AVAILABILITY'!O110+'RAP TEMPLATE-GAS AVAILABILITY'!P110+'RAP TEMPLATE-GAS AVAILABILITY'!Q110+'RAP TEMPLATE-GAS AVAILABILITY'!R110)</f>
        <v>7.4326352517985619</v>
      </c>
    </row>
    <row r="112" spans="1:29" ht="15.75" x14ac:dyDescent="0.25">
      <c r="A112" s="16">
        <v>44287</v>
      </c>
      <c r="B112" s="17">
        <f>CHOOSE(CONTROL!$C$42, 7.4756, 7.4756) * CHOOSE(CONTROL!$C$21, $C$9, 100%, $E$9)</f>
        <v>7.4756</v>
      </c>
      <c r="C112" s="17">
        <f>CHOOSE(CONTROL!$C$42, 7.48, 7.48) * CHOOSE(CONTROL!$C$21, $C$9, 100%, $E$9)</f>
        <v>7.48</v>
      </c>
      <c r="D112" s="17">
        <f>CHOOSE(CONTROL!$C$42, 7.7542, 7.7542) * CHOOSE(CONTROL!$C$21, $C$9, 100%, $E$9)</f>
        <v>7.7542</v>
      </c>
      <c r="E112" s="17">
        <f>CHOOSE(CONTROL!$C$42, 7.7863, 7.7863) * CHOOSE(CONTROL!$C$21, $C$9, 100%, $E$9)</f>
        <v>7.7862999999999998</v>
      </c>
      <c r="F112" s="17">
        <f>CHOOSE(CONTROL!$C$42, 7.4949, 7.4949)*CHOOSE(CONTROL!$C$21, $C$9, 100%, $E$9)</f>
        <v>7.4949000000000003</v>
      </c>
      <c r="G112" s="17">
        <f>CHOOSE(CONTROL!$C$42, 7.5112, 7.5112)*CHOOSE(CONTROL!$C$21, $C$9, 100%, $E$9)</f>
        <v>7.5111999999999997</v>
      </c>
      <c r="H112" s="17">
        <f>CHOOSE(CONTROL!$C$42, 7.7761, 7.7761) * CHOOSE(CONTROL!$C$21, $C$9, 100%, $E$9)</f>
        <v>7.7760999999999996</v>
      </c>
      <c r="I112" s="17">
        <f>CHOOSE(CONTROL!$C$42, 7.5202, 7.5202)* CHOOSE(CONTROL!$C$21, $C$9, 100%, $E$9)</f>
        <v>7.5202</v>
      </c>
      <c r="J112" s="17">
        <f>CHOOSE(CONTROL!$C$42, 7.4879, 7.4879)* CHOOSE(CONTROL!$C$21, $C$9, 100%, $E$9)</f>
        <v>7.4878999999999998</v>
      </c>
      <c r="K112" s="52">
        <f>CHOOSE(CONTROL!$C$42, 7.516, 7.516) * CHOOSE(CONTROL!$C$21, $C$9, 100%, $E$9)</f>
        <v>7.516</v>
      </c>
      <c r="L112" s="17">
        <f>CHOOSE(CONTROL!$C$42, 8.3631, 8.3631) * CHOOSE(CONTROL!$C$21, $C$9, 100%, $E$9)</f>
        <v>8.3630999999999993</v>
      </c>
      <c r="M112" s="17">
        <f>CHOOSE(CONTROL!$C$42, 7.3609, 7.3609) * CHOOSE(CONTROL!$C$21, $C$9, 100%, $E$9)</f>
        <v>7.3609</v>
      </c>
      <c r="N112" s="17">
        <f>CHOOSE(CONTROL!$C$42, 7.3769, 7.3769) * CHOOSE(CONTROL!$C$21, $C$9, 100%, $E$9)</f>
        <v>7.3769</v>
      </c>
      <c r="O112" s="17">
        <f>CHOOSE(CONTROL!$C$42, 7.644, 7.644) * CHOOSE(CONTROL!$C$21, $C$9, 100%, $E$9)</f>
        <v>7.6440000000000001</v>
      </c>
      <c r="P112" s="17">
        <f>CHOOSE(CONTROL!$C$42, 7.3923, 7.3923) * CHOOSE(CONTROL!$C$21, $C$9, 100%, $E$9)</f>
        <v>7.3922999999999996</v>
      </c>
      <c r="Q112" s="17">
        <f>CHOOSE(CONTROL!$C$42, 8.2387, 8.2387) * CHOOSE(CONTROL!$C$21, $C$9, 100%, $E$9)</f>
        <v>8.2386999999999997</v>
      </c>
      <c r="R112" s="17">
        <f>CHOOSE(CONTROL!$C$42, 8.8463, 8.8463) * CHOOSE(CONTROL!$C$21, $C$9, 100%, $E$9)</f>
        <v>8.8462999999999994</v>
      </c>
      <c r="S112" s="17">
        <f>CHOOSE(CONTROL!$C$42, 7.174, 7.174) * CHOOSE(CONTROL!$C$21, $C$9, 100%, $E$9)</f>
        <v>7.1740000000000004</v>
      </c>
      <c r="T11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12" s="56">
        <f>(1000*CHOOSE(CONTROL!$C$42, 695, 695)*CHOOSE(CONTROL!$C$42, 0.5599, 0.5599)*CHOOSE(CONTROL!$C$42, 30, 30))/1000000</f>
        <v>11.673914999999997</v>
      </c>
      <c r="V112" s="56">
        <f>(1000*CHOOSE(CONTROL!$C$42, 500, 500)*CHOOSE(CONTROL!$C$42, 0.275, 0.275)*CHOOSE(CONTROL!$C$42, 30, 30))/1000000</f>
        <v>4.125</v>
      </c>
      <c r="W112" s="56">
        <f>(1000*CHOOSE(CONTROL!$C$42, 0.1146, 0.1146)*CHOOSE(CONTROL!$C$42, 121.5, 121.5)*CHOOSE(CONTROL!$C$42, 30, 30))/1000000</f>
        <v>0.417717</v>
      </c>
      <c r="X112" s="56">
        <f>(30*0.1790888*145000/1000000)+(30*0.2374*100000/1000000)</f>
        <v>1.4912362799999999</v>
      </c>
      <c r="Y112" s="56"/>
      <c r="Z112" s="17"/>
      <c r="AA112" s="55"/>
      <c r="AB112" s="48">
        <f>(B112*141.293+C112*267.993+D112*115.016+E112*189.698+F112*40+G112*85+H112*0+I112*100+J112*300)/(141.293+267.993+115.016+189.698+0+40+85+100+300)</f>
        <v>7.5596272763518968</v>
      </c>
      <c r="AC112" s="45">
        <f>(M112*'RAP TEMPLATE-GAS AVAILABILITY'!O111+N112*'RAP TEMPLATE-GAS AVAILABILITY'!P111+O112*'RAP TEMPLATE-GAS AVAILABILITY'!Q111+P112*'RAP TEMPLATE-GAS AVAILABILITY'!R111)/('RAP TEMPLATE-GAS AVAILABILITY'!O111+'RAP TEMPLATE-GAS AVAILABILITY'!P111+'RAP TEMPLATE-GAS AVAILABILITY'!Q111+'RAP TEMPLATE-GAS AVAILABILITY'!R111)</f>
        <v>7.4485323741007186</v>
      </c>
    </row>
    <row r="113" spans="1:29" ht="15.75" x14ac:dyDescent="0.25">
      <c r="A113" s="16">
        <v>44317</v>
      </c>
      <c r="B113" s="17">
        <f>CHOOSE(CONTROL!$C$42, 7.5584, 7.5584) * CHOOSE(CONTROL!$C$21, $C$9, 100%, $E$9)</f>
        <v>7.5583999999999998</v>
      </c>
      <c r="C113" s="17">
        <f>CHOOSE(CONTROL!$C$42, 7.5664, 7.5664) * CHOOSE(CONTROL!$C$21, $C$9, 100%, $E$9)</f>
        <v>7.5663999999999998</v>
      </c>
      <c r="D113" s="17">
        <f>CHOOSE(CONTROL!$C$42, 7.8374, 7.8374) * CHOOSE(CONTROL!$C$21, $C$9, 100%, $E$9)</f>
        <v>7.8373999999999997</v>
      </c>
      <c r="E113" s="17">
        <f>CHOOSE(CONTROL!$C$42, 7.8689, 7.8689) * CHOOSE(CONTROL!$C$21, $C$9, 100%, $E$9)</f>
        <v>7.8689</v>
      </c>
      <c r="F113" s="17">
        <f>CHOOSE(CONTROL!$C$42, 7.5765, 7.5765)*CHOOSE(CONTROL!$C$21, $C$9, 100%, $E$9)</f>
        <v>7.5765000000000002</v>
      </c>
      <c r="G113" s="17">
        <f>CHOOSE(CONTROL!$C$42, 7.5931, 7.5931)*CHOOSE(CONTROL!$C$21, $C$9, 100%, $E$9)</f>
        <v>7.5930999999999997</v>
      </c>
      <c r="H113" s="17">
        <f>CHOOSE(CONTROL!$C$42, 7.8575, 7.8575) * CHOOSE(CONTROL!$C$21, $C$9, 100%, $E$9)</f>
        <v>7.8574999999999999</v>
      </c>
      <c r="I113" s="17">
        <f>CHOOSE(CONTROL!$C$42, 7.6019, 7.6019)* CHOOSE(CONTROL!$C$21, $C$9, 100%, $E$9)</f>
        <v>7.6018999999999997</v>
      </c>
      <c r="J113" s="17">
        <f>CHOOSE(CONTROL!$C$42, 7.5695, 7.5695)* CHOOSE(CONTROL!$C$21, $C$9, 100%, $E$9)</f>
        <v>7.5694999999999997</v>
      </c>
      <c r="K113" s="52">
        <f>CHOOSE(CONTROL!$C$42, 7.5977, 7.5977) * CHOOSE(CONTROL!$C$21, $C$9, 100%, $E$9)</f>
        <v>7.5976999999999997</v>
      </c>
      <c r="L113" s="17">
        <f>CHOOSE(CONTROL!$C$42, 8.4445, 8.4445) * CHOOSE(CONTROL!$C$21, $C$9, 100%, $E$9)</f>
        <v>8.4444999999999997</v>
      </c>
      <c r="M113" s="17">
        <f>CHOOSE(CONTROL!$C$42, 7.4411, 7.4411) * CHOOSE(CONTROL!$C$21, $C$9, 100%, $E$9)</f>
        <v>7.4410999999999996</v>
      </c>
      <c r="N113" s="17">
        <f>CHOOSE(CONTROL!$C$42, 7.4574, 7.4574) * CHOOSE(CONTROL!$C$21, $C$9, 100%, $E$9)</f>
        <v>7.4573999999999998</v>
      </c>
      <c r="O113" s="17">
        <f>CHOOSE(CONTROL!$C$42, 7.7239, 7.7239) * CHOOSE(CONTROL!$C$21, $C$9, 100%, $E$9)</f>
        <v>7.7239000000000004</v>
      </c>
      <c r="P113" s="17">
        <f>CHOOSE(CONTROL!$C$42, 7.4725, 7.4725) * CHOOSE(CONTROL!$C$21, $C$9, 100%, $E$9)</f>
        <v>7.4725000000000001</v>
      </c>
      <c r="Q113" s="17">
        <f>CHOOSE(CONTROL!$C$42, 8.3186, 8.3186) * CHOOSE(CONTROL!$C$21, $C$9, 100%, $E$9)</f>
        <v>8.3186</v>
      </c>
      <c r="R113" s="17">
        <f>CHOOSE(CONTROL!$C$42, 8.9264, 8.9264) * CHOOSE(CONTROL!$C$21, $C$9, 100%, $E$9)</f>
        <v>8.9263999999999992</v>
      </c>
      <c r="S113" s="17">
        <f>CHOOSE(CONTROL!$C$42, 7.2522, 7.2522) * CHOOSE(CONTROL!$C$21, $C$9, 100%, $E$9)</f>
        <v>7.2522000000000002</v>
      </c>
      <c r="T11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13" s="56">
        <f>(1000*CHOOSE(CONTROL!$C$42, 695, 695)*CHOOSE(CONTROL!$C$42, 0.5599, 0.5599)*CHOOSE(CONTROL!$C$42, 31, 31))/1000000</f>
        <v>12.063045499999998</v>
      </c>
      <c r="V113" s="56">
        <f>(1000*CHOOSE(CONTROL!$C$42, 500, 500)*CHOOSE(CONTROL!$C$42, 0.275, 0.275)*CHOOSE(CONTROL!$C$42, 31, 31))/1000000</f>
        <v>4.2625000000000002</v>
      </c>
      <c r="W113" s="56">
        <f>(1000*CHOOSE(CONTROL!$C$42, 0.1146, 0.1146)*CHOOSE(CONTROL!$C$42, 121.5, 121.5)*CHOOSE(CONTROL!$C$42, 31, 31))/1000000</f>
        <v>0.43164089999999994</v>
      </c>
      <c r="X113" s="56">
        <f>(31*0.1790888*145000/1000000)+(31*0.2374*100000/1000000)</f>
        <v>1.5409441560000001</v>
      </c>
      <c r="Y113" s="56"/>
      <c r="Z113" s="17"/>
      <c r="AA113" s="55"/>
      <c r="AB113" s="48">
        <f>(B113*194.205+C113*267.466+D113*133.845+E113*153.484+F113*40+G113*85+H113*0+I113*100+J113*300)/(194.205+267.466+133.845+153.484+0+40+85+100+300)</f>
        <v>7.6357098626373627</v>
      </c>
      <c r="AC113" s="45">
        <f>(M113*'RAP TEMPLATE-GAS AVAILABILITY'!O112+N113*'RAP TEMPLATE-GAS AVAILABILITY'!P112+O113*'RAP TEMPLATE-GAS AVAILABILITY'!Q112+P113*'RAP TEMPLATE-GAS AVAILABILITY'!R112)/('RAP TEMPLATE-GAS AVAILABILITY'!O112+'RAP TEMPLATE-GAS AVAILABILITY'!P112+'RAP TEMPLATE-GAS AVAILABILITY'!Q112+'RAP TEMPLATE-GAS AVAILABILITY'!R112)</f>
        <v>7.5287172661870496</v>
      </c>
    </row>
    <row r="114" spans="1:29" ht="15.75" x14ac:dyDescent="0.25">
      <c r="A114" s="16">
        <v>44348</v>
      </c>
      <c r="B114" s="17">
        <f>CHOOSE(CONTROL!$C$42, 7.7884, 7.7884) * CHOOSE(CONTROL!$C$21, $C$9, 100%, $E$9)</f>
        <v>7.7884000000000002</v>
      </c>
      <c r="C114" s="17">
        <f>CHOOSE(CONTROL!$C$42, 7.7964, 7.7964) * CHOOSE(CONTROL!$C$21, $C$9, 100%, $E$9)</f>
        <v>7.7964000000000002</v>
      </c>
      <c r="D114" s="17">
        <f>CHOOSE(CONTROL!$C$42, 8.0675, 8.0675) * CHOOSE(CONTROL!$C$21, $C$9, 100%, $E$9)</f>
        <v>8.0675000000000008</v>
      </c>
      <c r="E114" s="17">
        <f>CHOOSE(CONTROL!$C$42, 8.0989, 8.0989) * CHOOSE(CONTROL!$C$21, $C$9, 100%, $E$9)</f>
        <v>8.0989000000000004</v>
      </c>
      <c r="F114" s="17">
        <f>CHOOSE(CONTROL!$C$42, 7.8069, 7.8069)*CHOOSE(CONTROL!$C$21, $C$9, 100%, $E$9)</f>
        <v>7.8068999999999997</v>
      </c>
      <c r="G114" s="17">
        <f>CHOOSE(CONTROL!$C$42, 7.8236, 7.8236)*CHOOSE(CONTROL!$C$21, $C$9, 100%, $E$9)</f>
        <v>7.8235999999999999</v>
      </c>
      <c r="H114" s="17">
        <f>CHOOSE(CONTROL!$C$42, 8.0876, 8.0876) * CHOOSE(CONTROL!$C$21, $C$9, 100%, $E$9)</f>
        <v>8.0876000000000001</v>
      </c>
      <c r="I114" s="17">
        <f>CHOOSE(CONTROL!$C$42, 7.8327, 7.8327)* CHOOSE(CONTROL!$C$21, $C$9, 100%, $E$9)</f>
        <v>7.8327</v>
      </c>
      <c r="J114" s="17">
        <f>CHOOSE(CONTROL!$C$42, 7.7999, 7.7999)* CHOOSE(CONTROL!$C$21, $C$9, 100%, $E$9)</f>
        <v>7.7999000000000001</v>
      </c>
      <c r="K114" s="52">
        <f>CHOOSE(CONTROL!$C$42, 7.8284, 7.8284) * CHOOSE(CONTROL!$C$21, $C$9, 100%, $E$9)</f>
        <v>7.8284000000000002</v>
      </c>
      <c r="L114" s="17">
        <f>CHOOSE(CONTROL!$C$42, 8.6746, 8.6746) * CHOOSE(CONTROL!$C$21, $C$9, 100%, $E$9)</f>
        <v>8.6745999999999999</v>
      </c>
      <c r="M114" s="17">
        <f>CHOOSE(CONTROL!$C$42, 7.6673, 7.6673) * CHOOSE(CONTROL!$C$21, $C$9, 100%, $E$9)</f>
        <v>7.6673</v>
      </c>
      <c r="N114" s="17">
        <f>CHOOSE(CONTROL!$C$42, 7.6837, 7.6837) * CHOOSE(CONTROL!$C$21, $C$9, 100%, $E$9)</f>
        <v>7.6837</v>
      </c>
      <c r="O114" s="17">
        <f>CHOOSE(CONTROL!$C$42, 7.9498, 7.9498) * CHOOSE(CONTROL!$C$21, $C$9, 100%, $E$9)</f>
        <v>7.9497999999999998</v>
      </c>
      <c r="P114" s="17">
        <f>CHOOSE(CONTROL!$C$42, 7.6991, 7.6991) * CHOOSE(CONTROL!$C$21, $C$9, 100%, $E$9)</f>
        <v>7.6990999999999996</v>
      </c>
      <c r="Q114" s="17">
        <f>CHOOSE(CONTROL!$C$42, 8.5445, 8.5445) * CHOOSE(CONTROL!$C$21, $C$9, 100%, $E$9)</f>
        <v>8.5444999999999993</v>
      </c>
      <c r="R114" s="17">
        <f>CHOOSE(CONTROL!$C$42, 9.1529, 9.1529) * CHOOSE(CONTROL!$C$21, $C$9, 100%, $E$9)</f>
        <v>9.1529000000000007</v>
      </c>
      <c r="S114" s="17">
        <f>CHOOSE(CONTROL!$C$42, 7.4732, 7.4732) * CHOOSE(CONTROL!$C$21, $C$9, 100%, $E$9)</f>
        <v>7.4732000000000003</v>
      </c>
      <c r="T11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14" s="56">
        <f>(1000*CHOOSE(CONTROL!$C$42, 695, 695)*CHOOSE(CONTROL!$C$42, 0.5599, 0.5599)*CHOOSE(CONTROL!$C$42, 30, 30))/1000000</f>
        <v>11.673914999999997</v>
      </c>
      <c r="V114" s="56">
        <f>(1000*CHOOSE(CONTROL!$C$42, 500, 500)*CHOOSE(CONTROL!$C$42, 0.275, 0.275)*CHOOSE(CONTROL!$C$42, 30, 30))/1000000</f>
        <v>4.125</v>
      </c>
      <c r="W114" s="56">
        <f>(1000*CHOOSE(CONTROL!$C$42, 0.1146, 0.1146)*CHOOSE(CONTROL!$C$42, 121.5, 121.5)*CHOOSE(CONTROL!$C$42, 30, 30))/1000000</f>
        <v>0.417717</v>
      </c>
      <c r="X114" s="56">
        <f>(30*0.1790888*145000/1000000)+(30*0.2374*100000/1000000)</f>
        <v>1.4912362799999999</v>
      </c>
      <c r="Y114" s="56"/>
      <c r="Z114" s="17"/>
      <c r="AA114" s="55"/>
      <c r="AB114" s="48">
        <f>(B114*194.205+C114*267.466+D114*133.845+E114*153.484+F114*40+G114*85+H114*0+I114*100+J114*300)/(194.205+267.466+133.845+153.484+0+40+85+100+300)</f>
        <v>7.8659232727629513</v>
      </c>
      <c r="AC114" s="45">
        <f>(M114*'RAP TEMPLATE-GAS AVAILABILITY'!O113+N114*'RAP TEMPLATE-GAS AVAILABILITY'!P113+O114*'RAP TEMPLATE-GAS AVAILABILITY'!Q113+P114*'RAP TEMPLATE-GAS AVAILABILITY'!R113)/('RAP TEMPLATE-GAS AVAILABILITY'!O113+'RAP TEMPLATE-GAS AVAILABILITY'!P113+'RAP TEMPLATE-GAS AVAILABILITY'!Q113+'RAP TEMPLATE-GAS AVAILABILITY'!R113)</f>
        <v>7.7549136690647478</v>
      </c>
    </row>
    <row r="115" spans="1:29" ht="15.75" x14ac:dyDescent="0.25">
      <c r="A115" s="16">
        <v>44378</v>
      </c>
      <c r="B115" s="17">
        <f>CHOOSE(CONTROL!$C$42, 7.6549, 7.6549) * CHOOSE(CONTROL!$C$21, $C$9, 100%, $E$9)</f>
        <v>7.6548999999999996</v>
      </c>
      <c r="C115" s="17">
        <f>CHOOSE(CONTROL!$C$42, 7.6629, 7.6629) * CHOOSE(CONTROL!$C$21, $C$9, 100%, $E$9)</f>
        <v>7.6628999999999996</v>
      </c>
      <c r="D115" s="17">
        <f>CHOOSE(CONTROL!$C$42, 7.934, 7.934) * CHOOSE(CONTROL!$C$21, $C$9, 100%, $E$9)</f>
        <v>7.9340000000000002</v>
      </c>
      <c r="E115" s="17">
        <f>CHOOSE(CONTROL!$C$42, 7.9655, 7.9655) * CHOOSE(CONTROL!$C$21, $C$9, 100%, $E$9)</f>
        <v>7.9654999999999996</v>
      </c>
      <c r="F115" s="17">
        <f>CHOOSE(CONTROL!$C$42, 7.6738, 7.6738)*CHOOSE(CONTROL!$C$21, $C$9, 100%, $E$9)</f>
        <v>7.6738</v>
      </c>
      <c r="G115" s="17">
        <f>CHOOSE(CONTROL!$C$42, 7.6906, 7.6906)*CHOOSE(CONTROL!$C$21, $C$9, 100%, $E$9)</f>
        <v>7.6905999999999999</v>
      </c>
      <c r="H115" s="17">
        <f>CHOOSE(CONTROL!$C$42, 7.9541, 7.9541) * CHOOSE(CONTROL!$C$21, $C$9, 100%, $E$9)</f>
        <v>7.9541000000000004</v>
      </c>
      <c r="I115" s="17">
        <f>CHOOSE(CONTROL!$C$42, 7.6988, 7.6988)* CHOOSE(CONTROL!$C$21, $C$9, 100%, $E$9)</f>
        <v>7.6988000000000003</v>
      </c>
      <c r="J115" s="17">
        <f>CHOOSE(CONTROL!$C$42, 7.6668, 7.6668)* CHOOSE(CONTROL!$C$21, $C$9, 100%, $E$9)</f>
        <v>7.6668000000000003</v>
      </c>
      <c r="K115" s="52">
        <f>CHOOSE(CONTROL!$C$42, 7.6945, 7.6945) * CHOOSE(CONTROL!$C$21, $C$9, 100%, $E$9)</f>
        <v>7.6944999999999997</v>
      </c>
      <c r="L115" s="17">
        <f>CHOOSE(CONTROL!$C$42, 8.5411, 8.5411) * CHOOSE(CONTROL!$C$21, $C$9, 100%, $E$9)</f>
        <v>8.5411000000000001</v>
      </c>
      <c r="M115" s="17">
        <f>CHOOSE(CONTROL!$C$42, 7.5366, 7.5366) * CHOOSE(CONTROL!$C$21, $C$9, 100%, $E$9)</f>
        <v>7.5366</v>
      </c>
      <c r="N115" s="17">
        <f>CHOOSE(CONTROL!$C$42, 7.5531, 7.5531) * CHOOSE(CONTROL!$C$21, $C$9, 100%, $E$9)</f>
        <v>7.5530999999999997</v>
      </c>
      <c r="O115" s="17">
        <f>CHOOSE(CONTROL!$C$42, 7.8187, 7.8187) * CHOOSE(CONTROL!$C$21, $C$9, 100%, $E$9)</f>
        <v>7.8186999999999998</v>
      </c>
      <c r="P115" s="17">
        <f>CHOOSE(CONTROL!$C$42, 7.5676, 7.5676) * CHOOSE(CONTROL!$C$21, $C$9, 100%, $E$9)</f>
        <v>7.5675999999999997</v>
      </c>
      <c r="Q115" s="17">
        <f>CHOOSE(CONTROL!$C$42, 8.4134, 8.4134) * CHOOSE(CONTROL!$C$21, $C$9, 100%, $E$9)</f>
        <v>8.4133999999999993</v>
      </c>
      <c r="R115" s="17">
        <f>CHOOSE(CONTROL!$C$42, 9.0215, 9.0215) * CHOOSE(CONTROL!$C$21, $C$9, 100%, $E$9)</f>
        <v>9.0214999999999996</v>
      </c>
      <c r="S115" s="17">
        <f>CHOOSE(CONTROL!$C$42, 7.345, 7.345) * CHOOSE(CONTROL!$C$21, $C$9, 100%, $E$9)</f>
        <v>7.3449999999999998</v>
      </c>
      <c r="T11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15" s="56">
        <f>(1000*CHOOSE(CONTROL!$C$42, 695, 695)*CHOOSE(CONTROL!$C$42, 0.5599, 0.5599)*CHOOSE(CONTROL!$C$42, 31, 31))/1000000</f>
        <v>12.063045499999998</v>
      </c>
      <c r="V115" s="56">
        <f>(1000*CHOOSE(CONTROL!$C$42, 500, 500)*CHOOSE(CONTROL!$C$42, 0.275, 0.275)*CHOOSE(CONTROL!$C$42, 31, 31))/1000000</f>
        <v>4.2625000000000002</v>
      </c>
      <c r="W115" s="56">
        <f>(1000*CHOOSE(CONTROL!$C$42, 0.1146, 0.1146)*CHOOSE(CONTROL!$C$42, 121.5, 121.5)*CHOOSE(CONTROL!$C$42, 31, 31))/1000000</f>
        <v>0.43164089999999994</v>
      </c>
      <c r="X115" s="56">
        <f>(31*0.1790888*145000/1000000)+(31*0.2374*100000/1000000)</f>
        <v>1.5409441560000001</v>
      </c>
      <c r="Y115" s="56"/>
      <c r="Z115" s="17"/>
      <c r="AA115" s="55"/>
      <c r="AB115" s="48">
        <f>(B115*194.205+C115*267.466+D115*133.845+E115*153.484+F115*40+G115*85+H115*0+I115*100+J115*300)/(194.205+267.466+133.845+153.484+0+40+85+100+300)</f>
        <v>7.7325440328885398</v>
      </c>
      <c r="AC115" s="45">
        <f>(M115*'RAP TEMPLATE-GAS AVAILABILITY'!O114+N115*'RAP TEMPLATE-GAS AVAILABILITY'!P114+O115*'RAP TEMPLATE-GAS AVAILABILITY'!Q114+P115*'RAP TEMPLATE-GAS AVAILABILITY'!R114)/('RAP TEMPLATE-GAS AVAILABILITY'!O114+'RAP TEMPLATE-GAS AVAILABILITY'!P114+'RAP TEMPLATE-GAS AVAILABILITY'!Q114+'RAP TEMPLATE-GAS AVAILABILITY'!R114)</f>
        <v>7.6240093525179855</v>
      </c>
    </row>
    <row r="116" spans="1:29" ht="15.75" x14ac:dyDescent="0.25">
      <c r="A116" s="16">
        <v>44409</v>
      </c>
      <c r="B116" s="17">
        <f>CHOOSE(CONTROL!$C$42, 7.2924, 7.2924) * CHOOSE(CONTROL!$C$21, $C$9, 100%, $E$9)</f>
        <v>7.2923999999999998</v>
      </c>
      <c r="C116" s="17">
        <f>CHOOSE(CONTROL!$C$42, 7.3004, 7.3004) * CHOOSE(CONTROL!$C$21, $C$9, 100%, $E$9)</f>
        <v>7.3003999999999998</v>
      </c>
      <c r="D116" s="17">
        <f>CHOOSE(CONTROL!$C$42, 7.5714, 7.5714) * CHOOSE(CONTROL!$C$21, $C$9, 100%, $E$9)</f>
        <v>7.5713999999999997</v>
      </c>
      <c r="E116" s="17">
        <f>CHOOSE(CONTROL!$C$42, 7.6029, 7.6029) * CHOOSE(CONTROL!$C$21, $C$9, 100%, $E$9)</f>
        <v>7.6029</v>
      </c>
      <c r="F116" s="17">
        <f>CHOOSE(CONTROL!$C$42, 7.3115, 7.3115)*CHOOSE(CONTROL!$C$21, $C$9, 100%, $E$9)</f>
        <v>7.3114999999999997</v>
      </c>
      <c r="G116" s="17">
        <f>CHOOSE(CONTROL!$C$42, 7.3284, 7.3284)*CHOOSE(CONTROL!$C$21, $C$9, 100%, $E$9)</f>
        <v>7.3284000000000002</v>
      </c>
      <c r="H116" s="17">
        <f>CHOOSE(CONTROL!$C$42, 7.5915, 7.5915) * CHOOSE(CONTROL!$C$21, $C$9, 100%, $E$9)</f>
        <v>7.5914999999999999</v>
      </c>
      <c r="I116" s="17">
        <f>CHOOSE(CONTROL!$C$42, 7.3351, 7.3351)* CHOOSE(CONTROL!$C$21, $C$9, 100%, $E$9)</f>
        <v>7.3350999999999997</v>
      </c>
      <c r="J116" s="17">
        <f>CHOOSE(CONTROL!$C$42, 7.3045, 7.3045)* CHOOSE(CONTROL!$C$21, $C$9, 100%, $E$9)</f>
        <v>7.3045</v>
      </c>
      <c r="K116" s="52">
        <f>CHOOSE(CONTROL!$C$42, 7.3308, 7.3308) * CHOOSE(CONTROL!$C$21, $C$9, 100%, $E$9)</f>
        <v>7.3308</v>
      </c>
      <c r="L116" s="17">
        <f>CHOOSE(CONTROL!$C$42, 8.1785, 8.1785) * CHOOSE(CONTROL!$C$21, $C$9, 100%, $E$9)</f>
        <v>8.1784999999999997</v>
      </c>
      <c r="M116" s="17">
        <f>CHOOSE(CONTROL!$C$42, 7.1808, 7.1808) * CHOOSE(CONTROL!$C$21, $C$9, 100%, $E$9)</f>
        <v>7.1807999999999996</v>
      </c>
      <c r="N116" s="17">
        <f>CHOOSE(CONTROL!$C$42, 7.1974, 7.1974) * CHOOSE(CONTROL!$C$21, $C$9, 100%, $E$9)</f>
        <v>7.1974</v>
      </c>
      <c r="O116" s="17">
        <f>CHOOSE(CONTROL!$C$42, 7.4627, 7.4627) * CHOOSE(CONTROL!$C$21, $C$9, 100%, $E$9)</f>
        <v>7.4626999999999999</v>
      </c>
      <c r="P116" s="17">
        <f>CHOOSE(CONTROL!$C$42, 7.2105, 7.2105) * CHOOSE(CONTROL!$C$21, $C$9, 100%, $E$9)</f>
        <v>7.2104999999999997</v>
      </c>
      <c r="Q116" s="17">
        <f>CHOOSE(CONTROL!$C$42, 8.0574, 8.0574) * CHOOSE(CONTROL!$C$21, $C$9, 100%, $E$9)</f>
        <v>8.0573999999999995</v>
      </c>
      <c r="R116" s="17">
        <f>CHOOSE(CONTROL!$C$42, 8.6645, 8.6645) * CHOOSE(CONTROL!$C$21, $C$9, 100%, $E$9)</f>
        <v>8.6645000000000003</v>
      </c>
      <c r="S116" s="17">
        <f>CHOOSE(CONTROL!$C$42, 6.9966, 6.9966) * CHOOSE(CONTROL!$C$21, $C$9, 100%, $E$9)</f>
        <v>6.9965999999999999</v>
      </c>
      <c r="T11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16" s="56">
        <f>(1000*CHOOSE(CONTROL!$C$42, 695, 695)*CHOOSE(CONTROL!$C$42, 0.5599, 0.5599)*CHOOSE(CONTROL!$C$42, 31, 31))/1000000</f>
        <v>12.063045499999998</v>
      </c>
      <c r="V116" s="56">
        <f>(1000*CHOOSE(CONTROL!$C$42, 500, 500)*CHOOSE(CONTROL!$C$42, 0.275, 0.275)*CHOOSE(CONTROL!$C$42, 31, 31))/1000000</f>
        <v>4.2625000000000002</v>
      </c>
      <c r="W116" s="56">
        <f>(1000*CHOOSE(CONTROL!$C$42, 0.1146, 0.1146)*CHOOSE(CONTROL!$C$42, 121.5, 121.5)*CHOOSE(CONTROL!$C$42, 31, 31))/1000000</f>
        <v>0.43164089999999994</v>
      </c>
      <c r="X116" s="56">
        <f>(31*0.1790888*145000/1000000)+(31*0.2374*100000/1000000)</f>
        <v>1.5409441560000001</v>
      </c>
      <c r="Y116" s="56"/>
      <c r="Z116" s="17"/>
      <c r="AA116" s="55"/>
      <c r="AB116" s="48">
        <f>(B116*194.205+C116*267.466+D116*133.845+E116*153.484+F116*40+G116*85+H116*0+I116*100+J116*300)/(194.205+267.466+133.845+153.484+0+40+85+100+300)</f>
        <v>7.3700006789638923</v>
      </c>
      <c r="AC116" s="45">
        <f>(M116*'RAP TEMPLATE-GAS AVAILABILITY'!O115+N116*'RAP TEMPLATE-GAS AVAILABILITY'!P115+O116*'RAP TEMPLATE-GAS AVAILABILITY'!Q115+P116*'RAP TEMPLATE-GAS AVAILABILITY'!R115)/('RAP TEMPLATE-GAS AVAILABILITY'!O115+'RAP TEMPLATE-GAS AVAILABILITY'!P115+'RAP TEMPLATE-GAS AVAILABILITY'!Q115+'RAP TEMPLATE-GAS AVAILABILITY'!R115)</f>
        <v>7.2679892086330931</v>
      </c>
    </row>
    <row r="117" spans="1:29" ht="15.75" x14ac:dyDescent="0.25">
      <c r="A117" s="16">
        <v>44440</v>
      </c>
      <c r="B117" s="17">
        <f>CHOOSE(CONTROL!$C$42, 6.844, 6.844) * CHOOSE(CONTROL!$C$21, $C$9, 100%, $E$9)</f>
        <v>6.8440000000000003</v>
      </c>
      <c r="C117" s="17">
        <f>CHOOSE(CONTROL!$C$42, 6.852, 6.852) * CHOOSE(CONTROL!$C$21, $C$9, 100%, $E$9)</f>
        <v>6.8520000000000003</v>
      </c>
      <c r="D117" s="17">
        <f>CHOOSE(CONTROL!$C$42, 7.123, 7.123) * CHOOSE(CONTROL!$C$21, $C$9, 100%, $E$9)</f>
        <v>7.1230000000000002</v>
      </c>
      <c r="E117" s="17">
        <f>CHOOSE(CONTROL!$C$42, 7.1545, 7.1545) * CHOOSE(CONTROL!$C$21, $C$9, 100%, $E$9)</f>
        <v>7.1544999999999996</v>
      </c>
      <c r="F117" s="17">
        <f>CHOOSE(CONTROL!$C$42, 6.8632, 6.8632)*CHOOSE(CONTROL!$C$21, $C$9, 100%, $E$9)</f>
        <v>6.8632</v>
      </c>
      <c r="G117" s="17">
        <f>CHOOSE(CONTROL!$C$42, 6.8801, 6.8801)*CHOOSE(CONTROL!$C$21, $C$9, 100%, $E$9)</f>
        <v>6.8800999999999997</v>
      </c>
      <c r="H117" s="17">
        <f>CHOOSE(CONTROL!$C$42, 7.1431, 7.1431) * CHOOSE(CONTROL!$C$21, $C$9, 100%, $E$9)</f>
        <v>7.1430999999999996</v>
      </c>
      <c r="I117" s="17">
        <f>CHOOSE(CONTROL!$C$42, 6.8853, 6.8853)* CHOOSE(CONTROL!$C$21, $C$9, 100%, $E$9)</f>
        <v>6.8853</v>
      </c>
      <c r="J117" s="17">
        <f>CHOOSE(CONTROL!$C$42, 6.8562, 6.8562)* CHOOSE(CONTROL!$C$21, $C$9, 100%, $E$9)</f>
        <v>6.8562000000000003</v>
      </c>
      <c r="K117" s="52">
        <f>CHOOSE(CONTROL!$C$42, 6.881, 6.881) * CHOOSE(CONTROL!$C$21, $C$9, 100%, $E$9)</f>
        <v>6.8810000000000002</v>
      </c>
      <c r="L117" s="17">
        <f>CHOOSE(CONTROL!$C$42, 7.7301, 7.7301) * CHOOSE(CONTROL!$C$21, $C$9, 100%, $E$9)</f>
        <v>7.7301000000000002</v>
      </c>
      <c r="M117" s="17">
        <f>CHOOSE(CONTROL!$C$42, 6.7405, 6.7405) * CHOOSE(CONTROL!$C$21, $C$9, 100%, $E$9)</f>
        <v>6.7404999999999999</v>
      </c>
      <c r="N117" s="17">
        <f>CHOOSE(CONTROL!$C$42, 6.7571, 6.7571) * CHOOSE(CONTROL!$C$21, $C$9, 100%, $E$9)</f>
        <v>6.7571000000000003</v>
      </c>
      <c r="O117" s="17">
        <f>CHOOSE(CONTROL!$C$42, 7.0224, 7.0224) * CHOOSE(CONTROL!$C$21, $C$9, 100%, $E$9)</f>
        <v>7.0224000000000002</v>
      </c>
      <c r="P117" s="17">
        <f>CHOOSE(CONTROL!$C$42, 6.7688, 6.7688) * CHOOSE(CONTROL!$C$21, $C$9, 100%, $E$9)</f>
        <v>6.7687999999999997</v>
      </c>
      <c r="Q117" s="17">
        <f>CHOOSE(CONTROL!$C$42, 7.6171, 7.6171) * CHOOSE(CONTROL!$C$21, $C$9, 100%, $E$9)</f>
        <v>7.6170999999999998</v>
      </c>
      <c r="R117" s="17">
        <f>CHOOSE(CONTROL!$C$42, 8.2231, 8.2231) * CHOOSE(CONTROL!$C$21, $C$9, 100%, $E$9)</f>
        <v>8.2231000000000005</v>
      </c>
      <c r="S117" s="17">
        <f>CHOOSE(CONTROL!$C$42, 6.5657, 6.5657) * CHOOSE(CONTROL!$C$21, $C$9, 100%, $E$9)</f>
        <v>6.5656999999999996</v>
      </c>
      <c r="T11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17" s="56">
        <f>(1000*CHOOSE(CONTROL!$C$42, 695, 695)*CHOOSE(CONTROL!$C$42, 0.5599, 0.5599)*CHOOSE(CONTROL!$C$42, 30, 30))/1000000</f>
        <v>11.673914999999997</v>
      </c>
      <c r="V117" s="56">
        <f>(1000*CHOOSE(CONTROL!$C$42, 500, 500)*CHOOSE(CONTROL!$C$42, 0.275, 0.275)*CHOOSE(CONTROL!$C$42, 30, 30))/1000000</f>
        <v>4.125</v>
      </c>
      <c r="W117" s="56">
        <f>(1000*CHOOSE(CONTROL!$C$42, 0.1146, 0.1146)*CHOOSE(CONTROL!$C$42, 121.5, 121.5)*CHOOSE(CONTROL!$C$42, 30, 30))/1000000</f>
        <v>0.417717</v>
      </c>
      <c r="X117" s="56">
        <f>(30*0.1790888*145000/1000000)+(30*0.2374*100000/1000000)</f>
        <v>1.4912362799999999</v>
      </c>
      <c r="Y117" s="56"/>
      <c r="Z117" s="17"/>
      <c r="AA117" s="55"/>
      <c r="AB117" s="48">
        <f>(B117*194.205+C117*267.466+D117*133.845+E117*153.484+F117*40+G117*85+H117*0+I117*100+J117*300)/(194.205+267.466+133.845+153.484+0+40+85+100+300)</f>
        <v>6.921524148351649</v>
      </c>
      <c r="AC117" s="45">
        <f>(M117*'RAP TEMPLATE-GAS AVAILABILITY'!O116+N117*'RAP TEMPLATE-GAS AVAILABILITY'!P116+O117*'RAP TEMPLATE-GAS AVAILABILITY'!Q116+P117*'RAP TEMPLATE-GAS AVAILABILITY'!R116)/('RAP TEMPLATE-GAS AVAILABILITY'!O116+'RAP TEMPLATE-GAS AVAILABILITY'!P116+'RAP TEMPLATE-GAS AVAILABILITY'!Q116+'RAP TEMPLATE-GAS AVAILABILITY'!R116)</f>
        <v>6.827487769784172</v>
      </c>
    </row>
    <row r="118" spans="1:29" ht="15.75" x14ac:dyDescent="0.25">
      <c r="A118" s="16">
        <v>44470</v>
      </c>
      <c r="B118" s="17">
        <f>CHOOSE(CONTROL!$C$42, 6.7173, 6.7173) * CHOOSE(CONTROL!$C$21, $C$9, 100%, $E$9)</f>
        <v>6.7172999999999998</v>
      </c>
      <c r="C118" s="17">
        <f>CHOOSE(CONTROL!$C$42, 6.7226, 6.7226) * CHOOSE(CONTROL!$C$21, $C$9, 100%, $E$9)</f>
        <v>6.7225999999999999</v>
      </c>
      <c r="D118" s="17">
        <f>CHOOSE(CONTROL!$C$42, 6.9986, 6.9986) * CHOOSE(CONTROL!$C$21, $C$9, 100%, $E$9)</f>
        <v>6.9985999999999997</v>
      </c>
      <c r="E118" s="17">
        <f>CHOOSE(CONTROL!$C$42, 7.0277, 7.0277) * CHOOSE(CONTROL!$C$21, $C$9, 100%, $E$9)</f>
        <v>7.0277000000000003</v>
      </c>
      <c r="F118" s="17">
        <f>CHOOSE(CONTROL!$C$42, 6.7387, 6.7387)*CHOOSE(CONTROL!$C$21, $C$9, 100%, $E$9)</f>
        <v>6.7386999999999997</v>
      </c>
      <c r="G118" s="17">
        <f>CHOOSE(CONTROL!$C$42, 6.7555, 6.7555)*CHOOSE(CONTROL!$C$21, $C$9, 100%, $E$9)</f>
        <v>6.7554999999999996</v>
      </c>
      <c r="H118" s="17">
        <f>CHOOSE(CONTROL!$C$42, 7.0182, 7.0182) * CHOOSE(CONTROL!$C$21, $C$9, 100%, $E$9)</f>
        <v>7.0182000000000002</v>
      </c>
      <c r="I118" s="17">
        <f>CHOOSE(CONTROL!$C$42, 6.7599, 6.7599)* CHOOSE(CONTROL!$C$21, $C$9, 100%, $E$9)</f>
        <v>6.7599</v>
      </c>
      <c r="J118" s="17">
        <f>CHOOSE(CONTROL!$C$42, 6.7317, 6.7317)* CHOOSE(CONTROL!$C$21, $C$9, 100%, $E$9)</f>
        <v>6.7317</v>
      </c>
      <c r="K118" s="52">
        <f>CHOOSE(CONTROL!$C$42, 6.7557, 6.7557) * CHOOSE(CONTROL!$C$21, $C$9, 100%, $E$9)</f>
        <v>6.7557</v>
      </c>
      <c r="L118" s="17">
        <f>CHOOSE(CONTROL!$C$42, 7.6052, 7.6052) * CHOOSE(CONTROL!$C$21, $C$9, 100%, $E$9)</f>
        <v>7.6052</v>
      </c>
      <c r="M118" s="17">
        <f>CHOOSE(CONTROL!$C$42, 6.6183, 6.6183) * CHOOSE(CONTROL!$C$21, $C$9, 100%, $E$9)</f>
        <v>6.6182999999999996</v>
      </c>
      <c r="N118" s="17">
        <f>CHOOSE(CONTROL!$C$42, 6.6348, 6.6348) * CHOOSE(CONTROL!$C$21, $C$9, 100%, $E$9)</f>
        <v>6.6348000000000003</v>
      </c>
      <c r="O118" s="17">
        <f>CHOOSE(CONTROL!$C$42, 6.8997, 6.8997) * CHOOSE(CONTROL!$C$21, $C$9, 100%, $E$9)</f>
        <v>6.8997000000000002</v>
      </c>
      <c r="P118" s="17">
        <f>CHOOSE(CONTROL!$C$42, 6.6457, 6.6457) * CHOOSE(CONTROL!$C$21, $C$9, 100%, $E$9)</f>
        <v>6.6456999999999997</v>
      </c>
      <c r="Q118" s="17">
        <f>CHOOSE(CONTROL!$C$42, 7.4944, 7.4944) * CHOOSE(CONTROL!$C$21, $C$9, 100%, $E$9)</f>
        <v>7.4943999999999997</v>
      </c>
      <c r="R118" s="17">
        <f>CHOOSE(CONTROL!$C$42, 8.1001, 8.1001) * CHOOSE(CONTROL!$C$21, $C$9, 100%, $E$9)</f>
        <v>8.1000999999999994</v>
      </c>
      <c r="S118" s="17">
        <f>CHOOSE(CONTROL!$C$42, 6.4457, 6.4457) * CHOOSE(CONTROL!$C$21, $C$9, 100%, $E$9)</f>
        <v>6.4457000000000004</v>
      </c>
      <c r="T11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18" s="56">
        <f>(1000*CHOOSE(CONTROL!$C$42, 695, 695)*CHOOSE(CONTROL!$C$42, 0.5599, 0.5599)*CHOOSE(CONTROL!$C$42, 31, 31))/1000000</f>
        <v>12.063045499999998</v>
      </c>
      <c r="V118" s="56">
        <f>(1000*CHOOSE(CONTROL!$C$42, 500, 500)*CHOOSE(CONTROL!$C$42, 0.275, 0.275)*CHOOSE(CONTROL!$C$42, 31, 31))/1000000</f>
        <v>4.2625000000000002</v>
      </c>
      <c r="W118" s="56">
        <f>(1000*CHOOSE(CONTROL!$C$42, 0.1146, 0.1146)*CHOOSE(CONTROL!$C$42, 121.5, 121.5)*CHOOSE(CONTROL!$C$42, 31, 31))/1000000</f>
        <v>0.43164089999999994</v>
      </c>
      <c r="X118" s="56">
        <f>(31*0.1790888*145000/1000000)+(31*0.2374*100000/1000000)</f>
        <v>1.5409441560000001</v>
      </c>
      <c r="Y118" s="56"/>
      <c r="Z118" s="17"/>
      <c r="AA118" s="55"/>
      <c r="AB118" s="48">
        <f>(B118*131.881+C118*277.167+D118*79.08+E118*225.872+F118*40+G118*85+H118*0+I118*100+J118*300)/(131.881+277.167+79.08+225.872+0+40+85+100+300)</f>
        <v>6.8032627585956407</v>
      </c>
      <c r="AC118" s="45">
        <f>(M118*'RAP TEMPLATE-GAS AVAILABILITY'!O117+N118*'RAP TEMPLATE-GAS AVAILABILITY'!P117+O118*'RAP TEMPLATE-GAS AVAILABILITY'!Q117+P118*'RAP TEMPLATE-GAS AVAILABILITY'!R117)/('RAP TEMPLATE-GAS AVAILABILITY'!O117+'RAP TEMPLATE-GAS AVAILABILITY'!P117+'RAP TEMPLATE-GAS AVAILABILITY'!Q117+'RAP TEMPLATE-GAS AVAILABILITY'!R117)</f>
        <v>6.704994964028776</v>
      </c>
    </row>
    <row r="119" spans="1:29" ht="15.75" x14ac:dyDescent="0.25">
      <c r="A119" s="16">
        <v>44501</v>
      </c>
      <c r="B119" s="17">
        <f>CHOOSE(CONTROL!$C$42, 6.9077, 6.9077) * CHOOSE(CONTROL!$C$21, $C$9, 100%, $E$9)</f>
        <v>6.9077000000000002</v>
      </c>
      <c r="C119" s="17">
        <f>CHOOSE(CONTROL!$C$42, 6.9128, 6.9128) * CHOOSE(CONTROL!$C$21, $C$9, 100%, $E$9)</f>
        <v>6.9127999999999998</v>
      </c>
      <c r="D119" s="17">
        <f>CHOOSE(CONTROL!$C$42, 7.0078, 7.0078) * CHOOSE(CONTROL!$C$21, $C$9, 100%, $E$9)</f>
        <v>7.0077999999999996</v>
      </c>
      <c r="E119" s="17">
        <f>CHOOSE(CONTROL!$C$42, 7.0419, 7.0419) * CHOOSE(CONTROL!$C$21, $C$9, 100%, $E$9)</f>
        <v>7.0419</v>
      </c>
      <c r="F119" s="17">
        <f>CHOOSE(CONTROL!$C$42, 6.9316, 6.9316)*CHOOSE(CONTROL!$C$21, $C$9, 100%, $E$9)</f>
        <v>6.9316000000000004</v>
      </c>
      <c r="G119" s="17">
        <f>CHOOSE(CONTROL!$C$42, 6.9487, 6.9487)*CHOOSE(CONTROL!$C$21, $C$9, 100%, $E$9)</f>
        <v>6.9486999999999997</v>
      </c>
      <c r="H119" s="17">
        <f>CHOOSE(CONTROL!$C$42, 7.0311, 7.0311) * CHOOSE(CONTROL!$C$21, $C$9, 100%, $E$9)</f>
        <v>7.0311000000000003</v>
      </c>
      <c r="I119" s="17">
        <f>CHOOSE(CONTROL!$C$42, 6.9493, 6.9493)* CHOOSE(CONTROL!$C$21, $C$9, 100%, $E$9)</f>
        <v>6.9493</v>
      </c>
      <c r="J119" s="17">
        <f>CHOOSE(CONTROL!$C$42, 6.9246, 6.9246)* CHOOSE(CONTROL!$C$21, $C$9, 100%, $E$9)</f>
        <v>6.9245999999999999</v>
      </c>
      <c r="K119" s="52">
        <f>CHOOSE(CONTROL!$C$42, 6.9451, 6.9451) * CHOOSE(CONTROL!$C$21, $C$9, 100%, $E$9)</f>
        <v>6.9451000000000001</v>
      </c>
      <c r="L119" s="17">
        <f>CHOOSE(CONTROL!$C$42, 7.6181, 7.6181) * CHOOSE(CONTROL!$C$21, $C$9, 100%, $E$9)</f>
        <v>7.6181000000000001</v>
      </c>
      <c r="M119" s="17">
        <f>CHOOSE(CONTROL!$C$42, 6.8078, 6.8078) * CHOOSE(CONTROL!$C$21, $C$9, 100%, $E$9)</f>
        <v>6.8078000000000003</v>
      </c>
      <c r="N119" s="17">
        <f>CHOOSE(CONTROL!$C$42, 6.8245, 6.8245) * CHOOSE(CONTROL!$C$21, $C$9, 100%, $E$9)</f>
        <v>6.8244999999999996</v>
      </c>
      <c r="O119" s="17">
        <f>CHOOSE(CONTROL!$C$42, 6.9124, 6.9124) * CHOOSE(CONTROL!$C$21, $C$9, 100%, $E$9)</f>
        <v>6.9123999999999999</v>
      </c>
      <c r="P119" s="17">
        <f>CHOOSE(CONTROL!$C$42, 6.8317, 6.8317) * CHOOSE(CONTROL!$C$21, $C$9, 100%, $E$9)</f>
        <v>6.8316999999999997</v>
      </c>
      <c r="Q119" s="17">
        <f>CHOOSE(CONTROL!$C$42, 7.5071, 7.5071) * CHOOSE(CONTROL!$C$21, $C$9, 100%, $E$9)</f>
        <v>7.5071000000000003</v>
      </c>
      <c r="R119" s="17">
        <f>CHOOSE(CONTROL!$C$42, 8.1128, 8.1128) * CHOOSE(CONTROL!$C$21, $C$9, 100%, $E$9)</f>
        <v>8.1128</v>
      </c>
      <c r="S119" s="17">
        <f>CHOOSE(CONTROL!$C$42, 6.6291, 6.6291) * CHOOSE(CONTROL!$C$21, $C$9, 100%, $E$9)</f>
        <v>6.6291000000000002</v>
      </c>
      <c r="T11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19" s="56">
        <f>(1000*CHOOSE(CONTROL!$C$42, 695, 695)*CHOOSE(CONTROL!$C$42, 0.5599, 0.5599)*CHOOSE(CONTROL!$C$42, 30, 30))/1000000</f>
        <v>11.673914999999997</v>
      </c>
      <c r="V119" s="56">
        <f>(1000*CHOOSE(CONTROL!$C$42, 500, 500)*CHOOSE(CONTROL!$C$42, 0.275, 0.275)*CHOOSE(CONTROL!$C$42, 30, 30))/1000000</f>
        <v>4.125</v>
      </c>
      <c r="W119" s="56">
        <f>(1000*CHOOSE(CONTROL!$C$42, 0.1146, 0.1146)*CHOOSE(CONTROL!$C$42, 121.5, 121.5)*CHOOSE(CONTROL!$C$42, 30, 30))/1000000</f>
        <v>0.417717</v>
      </c>
      <c r="X119" s="56">
        <f>(30*0.2374*100000/1000000)</f>
        <v>0.71220000000000006</v>
      </c>
      <c r="Y119" s="56"/>
      <c r="Z119" s="17"/>
      <c r="AA119" s="55"/>
      <c r="AB119" s="48">
        <f>(B119*122.58+C119*297.941+D119*89.177+E119*140.302+F119*40+G119*60+H119*0+I119*100+J119*300)/(122.58+297.941+89.177+140.302+0+40+60+100+300)</f>
        <v>6.9441527349565222</v>
      </c>
      <c r="AC119" s="45">
        <f>(M119*'RAP TEMPLATE-GAS AVAILABILITY'!O118+N119*'RAP TEMPLATE-GAS AVAILABILITY'!P118+O119*'RAP TEMPLATE-GAS AVAILABILITY'!Q118+P119*'RAP TEMPLATE-GAS AVAILABILITY'!R118)/('RAP TEMPLATE-GAS AVAILABILITY'!O118+'RAP TEMPLATE-GAS AVAILABILITY'!P118+'RAP TEMPLATE-GAS AVAILABILITY'!Q118+'RAP TEMPLATE-GAS AVAILABILITY'!R118)</f>
        <v>6.8596086330935249</v>
      </c>
    </row>
    <row r="120" spans="1:29" ht="15.75" x14ac:dyDescent="0.25">
      <c r="A120" s="16">
        <v>44531</v>
      </c>
      <c r="B120" s="17">
        <f>CHOOSE(CONTROL!$C$42, 7.3932, 7.3932) * CHOOSE(CONTROL!$C$21, $C$9, 100%, $E$9)</f>
        <v>7.3932000000000002</v>
      </c>
      <c r="C120" s="17">
        <f>CHOOSE(CONTROL!$C$42, 7.3983, 7.3983) * CHOOSE(CONTROL!$C$21, $C$9, 100%, $E$9)</f>
        <v>7.3982999999999999</v>
      </c>
      <c r="D120" s="17">
        <f>CHOOSE(CONTROL!$C$42, 7.4933, 7.4933) * CHOOSE(CONTROL!$C$21, $C$9, 100%, $E$9)</f>
        <v>7.4932999999999996</v>
      </c>
      <c r="E120" s="17">
        <f>CHOOSE(CONTROL!$C$42, 7.5274, 7.5274) * CHOOSE(CONTROL!$C$21, $C$9, 100%, $E$9)</f>
        <v>7.5274000000000001</v>
      </c>
      <c r="F120" s="17">
        <f>CHOOSE(CONTROL!$C$42, 7.4195, 7.4195)*CHOOSE(CONTROL!$C$21, $C$9, 100%, $E$9)</f>
        <v>7.4195000000000002</v>
      </c>
      <c r="G120" s="17">
        <f>CHOOSE(CONTROL!$C$42, 7.4372, 7.4372)*CHOOSE(CONTROL!$C$21, $C$9, 100%, $E$9)</f>
        <v>7.4371999999999998</v>
      </c>
      <c r="H120" s="17">
        <f>CHOOSE(CONTROL!$C$42, 7.5166, 7.5166) * CHOOSE(CONTROL!$C$21, $C$9, 100%, $E$9)</f>
        <v>7.5166000000000004</v>
      </c>
      <c r="I120" s="17">
        <f>CHOOSE(CONTROL!$C$42, 7.4363, 7.4363)* CHOOSE(CONTROL!$C$21, $C$9, 100%, $E$9)</f>
        <v>7.4363000000000001</v>
      </c>
      <c r="J120" s="17">
        <f>CHOOSE(CONTROL!$C$42, 7.4125, 7.4125)* CHOOSE(CONTROL!$C$21, $C$9, 100%, $E$9)</f>
        <v>7.4124999999999996</v>
      </c>
      <c r="K120" s="52">
        <f>CHOOSE(CONTROL!$C$42, 7.4321, 7.4321) * CHOOSE(CONTROL!$C$21, $C$9, 100%, $E$9)</f>
        <v>7.4321000000000002</v>
      </c>
      <c r="L120" s="17">
        <f>CHOOSE(CONTROL!$C$42, 8.1036, 8.1036) * CHOOSE(CONTROL!$C$21, $C$9, 100%, $E$9)</f>
        <v>8.1036000000000001</v>
      </c>
      <c r="M120" s="17">
        <f>CHOOSE(CONTROL!$C$42, 7.2868, 7.2868) * CHOOSE(CONTROL!$C$21, $C$9, 100%, $E$9)</f>
        <v>7.2868000000000004</v>
      </c>
      <c r="N120" s="17">
        <f>CHOOSE(CONTROL!$C$42, 7.3042, 7.3042) * CHOOSE(CONTROL!$C$21, $C$9, 100%, $E$9)</f>
        <v>7.3041999999999998</v>
      </c>
      <c r="O120" s="17">
        <f>CHOOSE(CONTROL!$C$42, 7.3891, 7.3891) * CHOOSE(CONTROL!$C$21, $C$9, 100%, $E$9)</f>
        <v>7.3891</v>
      </c>
      <c r="P120" s="17">
        <f>CHOOSE(CONTROL!$C$42, 7.3099, 7.3099) * CHOOSE(CONTROL!$C$21, $C$9, 100%, $E$9)</f>
        <v>7.3098999999999998</v>
      </c>
      <c r="Q120" s="17">
        <f>CHOOSE(CONTROL!$C$42, 7.9838, 7.9838) * CHOOSE(CONTROL!$C$21, $C$9, 100%, $E$9)</f>
        <v>7.9837999999999996</v>
      </c>
      <c r="R120" s="17">
        <f>CHOOSE(CONTROL!$C$42, 8.5908, 8.5908) * CHOOSE(CONTROL!$C$21, $C$9, 100%, $E$9)</f>
        <v>8.5907999999999998</v>
      </c>
      <c r="S120" s="17">
        <f>CHOOSE(CONTROL!$C$42, 7.0956, 7.0956) * CHOOSE(CONTROL!$C$21, $C$9, 100%, $E$9)</f>
        <v>7.0956000000000001</v>
      </c>
      <c r="T12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20" s="56">
        <f>(1000*CHOOSE(CONTROL!$C$42, 695, 695)*CHOOSE(CONTROL!$C$42, 0.5599, 0.5599)*CHOOSE(CONTROL!$C$42, 31, 31))/1000000</f>
        <v>12.063045499999998</v>
      </c>
      <c r="V120" s="56">
        <f>(1000*CHOOSE(CONTROL!$C$42, 500, 500)*CHOOSE(CONTROL!$C$42, 0.275, 0.275)*CHOOSE(CONTROL!$C$42, 31, 31))/1000000</f>
        <v>4.2625000000000002</v>
      </c>
      <c r="W120" s="56">
        <f>(1000*CHOOSE(CONTROL!$C$42, 0.1146, 0.1146)*CHOOSE(CONTROL!$C$42, 121.5, 121.5)*CHOOSE(CONTROL!$C$42, 31, 31))/1000000</f>
        <v>0.43164089999999994</v>
      </c>
      <c r="X120" s="56">
        <f>(31*0.2374*100000/1000000)</f>
        <v>0.73594000000000004</v>
      </c>
      <c r="Y120" s="56"/>
      <c r="Z120" s="17"/>
      <c r="AA120" s="55"/>
      <c r="AB120" s="48">
        <f>(B120*122.58+C120*297.941+D120*89.177+E120*140.302+F120*40+G120*60+H120*0+I120*100+J120*300)/(122.58+297.941+89.177+140.302+0+40+60+100+300)</f>
        <v>7.430649256695653</v>
      </c>
      <c r="AC120" s="45">
        <f>(M120*'RAP TEMPLATE-GAS AVAILABILITY'!O119+N120*'RAP TEMPLATE-GAS AVAILABILITY'!P119+O120*'RAP TEMPLATE-GAS AVAILABILITY'!Q119+P120*'RAP TEMPLATE-GAS AVAILABILITY'!R119)/('RAP TEMPLATE-GAS AVAILABILITY'!O119+'RAP TEMPLATE-GAS AVAILABILITY'!P119+'RAP TEMPLATE-GAS AVAILABILITY'!Q119+'RAP TEMPLATE-GAS AVAILABILITY'!R119)</f>
        <v>7.3374913669064741</v>
      </c>
    </row>
    <row r="121" spans="1:29" ht="15.75" x14ac:dyDescent="0.25">
      <c r="A121" s="16">
        <v>44562</v>
      </c>
      <c r="B121" s="17">
        <f>CHOOSE(CONTROL!$C$42, 7.851, 7.851) * CHOOSE(CONTROL!$C$21, $C$9, 100%, $E$9)</f>
        <v>7.851</v>
      </c>
      <c r="C121" s="17">
        <f>CHOOSE(CONTROL!$C$42, 7.8561, 7.8561) * CHOOSE(CONTROL!$C$21, $C$9, 100%, $E$9)</f>
        <v>7.8560999999999996</v>
      </c>
      <c r="D121" s="17">
        <f>CHOOSE(CONTROL!$C$42, 7.9746, 7.9746) * CHOOSE(CONTROL!$C$21, $C$9, 100%, $E$9)</f>
        <v>7.9745999999999997</v>
      </c>
      <c r="E121" s="17">
        <f>CHOOSE(CONTROL!$C$42, 8.0087, 8.0087) * CHOOSE(CONTROL!$C$21, $C$9, 100%, $E$9)</f>
        <v>8.0086999999999993</v>
      </c>
      <c r="F121" s="17">
        <f>CHOOSE(CONTROL!$C$42, 7.8714, 7.8714)*CHOOSE(CONTROL!$C$21, $C$9, 100%, $E$9)</f>
        <v>7.8714000000000004</v>
      </c>
      <c r="G121" s="17">
        <f>CHOOSE(CONTROL!$C$42, 7.8883, 7.8883)*CHOOSE(CONTROL!$C$21, $C$9, 100%, $E$9)</f>
        <v>7.8883000000000001</v>
      </c>
      <c r="H121" s="17">
        <f>CHOOSE(CONTROL!$C$42, 7.9979, 7.9979) * CHOOSE(CONTROL!$C$21, $C$9, 100%, $E$9)</f>
        <v>7.9978999999999996</v>
      </c>
      <c r="I121" s="17">
        <f>CHOOSE(CONTROL!$C$42, 7.8992, 7.8992)* CHOOSE(CONTROL!$C$21, $C$9, 100%, $E$9)</f>
        <v>7.8992000000000004</v>
      </c>
      <c r="J121" s="17">
        <f>CHOOSE(CONTROL!$C$42, 7.8644, 7.8644)* CHOOSE(CONTROL!$C$21, $C$9, 100%, $E$9)</f>
        <v>7.8643999999999998</v>
      </c>
      <c r="K121" s="52">
        <f>CHOOSE(CONTROL!$C$42, 7.895, 7.895) * CHOOSE(CONTROL!$C$21, $C$9, 100%, $E$9)</f>
        <v>7.8949999999999996</v>
      </c>
      <c r="L121" s="17">
        <f>CHOOSE(CONTROL!$C$42, 8.5849, 8.5849) * CHOOSE(CONTROL!$C$21, $C$9, 100%, $E$9)</f>
        <v>8.5848999999999993</v>
      </c>
      <c r="M121" s="17">
        <f>CHOOSE(CONTROL!$C$42, 7.7307, 7.7307) * CHOOSE(CONTROL!$C$21, $C$9, 100%, $E$9)</f>
        <v>7.7306999999999997</v>
      </c>
      <c r="N121" s="17">
        <f>CHOOSE(CONTROL!$C$42, 7.7472, 7.7472) * CHOOSE(CONTROL!$C$21, $C$9, 100%, $E$9)</f>
        <v>7.7472000000000003</v>
      </c>
      <c r="O121" s="17">
        <f>CHOOSE(CONTROL!$C$42, 7.8617, 7.8617) * CHOOSE(CONTROL!$C$21, $C$9, 100%, $E$9)</f>
        <v>7.8616999999999999</v>
      </c>
      <c r="P121" s="17">
        <f>CHOOSE(CONTROL!$C$42, 7.7645, 7.7645) * CHOOSE(CONTROL!$C$21, $C$9, 100%, $E$9)</f>
        <v>7.7645</v>
      </c>
      <c r="Q121" s="17">
        <f>CHOOSE(CONTROL!$C$42, 8.4564, 8.4564) * CHOOSE(CONTROL!$C$21, $C$9, 100%, $E$9)</f>
        <v>8.4564000000000004</v>
      </c>
      <c r="R121" s="17">
        <f>CHOOSE(CONTROL!$C$42, 9.0645, 9.0645) * CHOOSE(CONTROL!$C$21, $C$9, 100%, $E$9)</f>
        <v>9.0645000000000007</v>
      </c>
      <c r="S121" s="17">
        <f>CHOOSE(CONTROL!$C$42, 7.5355, 7.5355) * CHOOSE(CONTROL!$C$21, $C$9, 100%, $E$9)</f>
        <v>7.5354999999999999</v>
      </c>
      <c r="T12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21" s="56">
        <f>(1000*CHOOSE(CONTROL!$C$42, 695, 695)*CHOOSE(CONTROL!$C$42, 0.5599, 0.5599)*CHOOSE(CONTROL!$C$42, 31, 31))/1000000</f>
        <v>12.063045499999998</v>
      </c>
      <c r="V121" s="56">
        <f>(1000*CHOOSE(CONTROL!$C$42, 500, 500)*CHOOSE(CONTROL!$C$42, 0.275, 0.275)*CHOOSE(CONTROL!$C$42, 31, 31))/1000000</f>
        <v>4.2625000000000002</v>
      </c>
      <c r="W121" s="56">
        <f>(1000*CHOOSE(CONTROL!$C$42, 0.1146, 0.1146)*CHOOSE(CONTROL!$C$42, 121.5, 121.5)*CHOOSE(CONTROL!$C$42, 31, 31))/1000000</f>
        <v>0.43164089999999994</v>
      </c>
      <c r="X121" s="56">
        <f>(31*0.2374*100000/1000000)</f>
        <v>0.73594000000000004</v>
      </c>
      <c r="Y121" s="56"/>
      <c r="Z121" s="17"/>
      <c r="AA121" s="55"/>
      <c r="AB121" s="48">
        <f>(B121*122.58+C121*297.941+D121*89.177+E121*140.302+F121*40+G121*60+H121*0+I121*100+J121*300)/(122.58+297.941+89.177+140.302+0+40+60+100+300)</f>
        <v>7.8914881753913049</v>
      </c>
      <c r="AC121" s="45">
        <f>(M121*'RAP TEMPLATE-GAS AVAILABILITY'!O120+N121*'RAP TEMPLATE-GAS AVAILABILITY'!P120+O121*'RAP TEMPLATE-GAS AVAILABILITY'!Q120+P121*'RAP TEMPLATE-GAS AVAILABILITY'!R120)/('RAP TEMPLATE-GAS AVAILABILITY'!O120+'RAP TEMPLATE-GAS AVAILABILITY'!P120+'RAP TEMPLATE-GAS AVAILABILITY'!Q120+'RAP TEMPLATE-GAS AVAILABILITY'!R120)</f>
        <v>7.7958870503597115</v>
      </c>
    </row>
    <row r="122" spans="1:29" ht="15.75" x14ac:dyDescent="0.25">
      <c r="A122" s="16">
        <v>44593</v>
      </c>
      <c r="B122" s="17">
        <f>CHOOSE(CONTROL!$C$42, 8.0071, 8.0071) * CHOOSE(CONTROL!$C$21, $C$9, 100%, $E$9)</f>
        <v>8.0070999999999994</v>
      </c>
      <c r="C122" s="17">
        <f>CHOOSE(CONTROL!$C$42, 8.0121, 8.0121) * CHOOSE(CONTROL!$C$21, $C$9, 100%, $E$9)</f>
        <v>8.0121000000000002</v>
      </c>
      <c r="D122" s="17">
        <f>CHOOSE(CONTROL!$C$42, 8.1306, 8.1306) * CHOOSE(CONTROL!$C$21, $C$9, 100%, $E$9)</f>
        <v>8.1305999999999994</v>
      </c>
      <c r="E122" s="17">
        <f>CHOOSE(CONTROL!$C$42, 8.1647, 8.1647) * CHOOSE(CONTROL!$C$21, $C$9, 100%, $E$9)</f>
        <v>8.1646999999999998</v>
      </c>
      <c r="F122" s="17">
        <f>CHOOSE(CONTROL!$C$42, 8.0274, 8.0274)*CHOOSE(CONTROL!$C$21, $C$9, 100%, $E$9)</f>
        <v>8.0274000000000001</v>
      </c>
      <c r="G122" s="17">
        <f>CHOOSE(CONTROL!$C$42, 8.0443, 8.0443)*CHOOSE(CONTROL!$C$21, $C$9, 100%, $E$9)</f>
        <v>8.0442999999999998</v>
      </c>
      <c r="H122" s="17">
        <f>CHOOSE(CONTROL!$C$42, 8.1539, 8.1539) * CHOOSE(CONTROL!$C$21, $C$9, 100%, $E$9)</f>
        <v>8.1539000000000001</v>
      </c>
      <c r="I122" s="17">
        <f>CHOOSE(CONTROL!$C$42, 8.0558, 8.0558)* CHOOSE(CONTROL!$C$21, $C$9, 100%, $E$9)</f>
        <v>8.0557999999999996</v>
      </c>
      <c r="J122" s="17">
        <f>CHOOSE(CONTROL!$C$42, 8.0204, 8.0204)* CHOOSE(CONTROL!$C$21, $C$9, 100%, $E$9)</f>
        <v>8.0204000000000004</v>
      </c>
      <c r="K122" s="52">
        <f>CHOOSE(CONTROL!$C$42, 8.0515, 8.0515) * CHOOSE(CONTROL!$C$21, $C$9, 100%, $E$9)</f>
        <v>8.0515000000000008</v>
      </c>
      <c r="L122" s="17">
        <f>CHOOSE(CONTROL!$C$42, 8.7409, 8.7409) * CHOOSE(CONTROL!$C$21, $C$9, 100%, $E$9)</f>
        <v>8.7408999999999999</v>
      </c>
      <c r="M122" s="17">
        <f>CHOOSE(CONTROL!$C$42, 7.8839, 7.8839) * CHOOSE(CONTROL!$C$21, $C$9, 100%, $E$9)</f>
        <v>7.8838999999999997</v>
      </c>
      <c r="N122" s="17">
        <f>CHOOSE(CONTROL!$C$42, 7.9004, 7.9004) * CHOOSE(CONTROL!$C$21, $C$9, 100%, $E$9)</f>
        <v>7.9004000000000003</v>
      </c>
      <c r="O122" s="17">
        <f>CHOOSE(CONTROL!$C$42, 8.0149, 8.0149) * CHOOSE(CONTROL!$C$21, $C$9, 100%, $E$9)</f>
        <v>8.0149000000000008</v>
      </c>
      <c r="P122" s="17">
        <f>CHOOSE(CONTROL!$C$42, 7.9182, 7.9182) * CHOOSE(CONTROL!$C$21, $C$9, 100%, $E$9)</f>
        <v>7.9181999999999997</v>
      </c>
      <c r="Q122" s="17">
        <f>CHOOSE(CONTROL!$C$42, 8.6096, 8.6096) * CHOOSE(CONTROL!$C$21, $C$9, 100%, $E$9)</f>
        <v>8.6096000000000004</v>
      </c>
      <c r="R122" s="17">
        <f>CHOOSE(CONTROL!$C$42, 9.2181, 9.2181) * CHOOSE(CONTROL!$C$21, $C$9, 100%, $E$9)</f>
        <v>9.2180999999999997</v>
      </c>
      <c r="S122" s="17">
        <f>CHOOSE(CONTROL!$C$42, 7.6854, 7.6854) * CHOOSE(CONTROL!$C$21, $C$9, 100%, $E$9)</f>
        <v>7.6853999999999996</v>
      </c>
      <c r="T12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22" s="56">
        <f>(1000*CHOOSE(CONTROL!$C$42, 695, 695)*CHOOSE(CONTROL!$C$42, 0.5599, 0.5599)*CHOOSE(CONTROL!$C$42, 28, 28))/1000000</f>
        <v>10.895653999999999</v>
      </c>
      <c r="V122" s="56">
        <f>(1000*CHOOSE(CONTROL!$C$42, 500, 500)*CHOOSE(CONTROL!$C$42, 0.275, 0.275)*CHOOSE(CONTROL!$C$42, 28, 28))/1000000</f>
        <v>3.85</v>
      </c>
      <c r="W122" s="56">
        <f>(1000*CHOOSE(CONTROL!$C$42, 0.1146, 0.1146)*CHOOSE(CONTROL!$C$42, 121.5, 121.5)*CHOOSE(CONTROL!$C$42, 28, 28))/1000000</f>
        <v>0.38986920000000003</v>
      </c>
      <c r="X122" s="56">
        <f>(28*0.2374*100000/1000000)</f>
        <v>0.66471999999999998</v>
      </c>
      <c r="Y122" s="56"/>
      <c r="Z122" s="17"/>
      <c r="AA122" s="55"/>
      <c r="AB122" s="48">
        <f>(B122*122.58+C122*297.941+D122*89.177+E122*140.302+F122*40+G122*60+H122*0+I122*100+J122*300)/(122.58+297.941+89.177+140.302+0+40+60+100+300)</f>
        <v>8.0475510084347821</v>
      </c>
      <c r="AC122" s="45">
        <f>(M122*'RAP TEMPLATE-GAS AVAILABILITY'!O121+N122*'RAP TEMPLATE-GAS AVAILABILITY'!P121+O122*'RAP TEMPLATE-GAS AVAILABILITY'!Q121+P122*'RAP TEMPLATE-GAS AVAILABILITY'!R121)/('RAP TEMPLATE-GAS AVAILABILITY'!O121+'RAP TEMPLATE-GAS AVAILABILITY'!P121+'RAP TEMPLATE-GAS AVAILABILITY'!Q121+'RAP TEMPLATE-GAS AVAILABILITY'!R121)</f>
        <v>7.9491589928057556</v>
      </c>
    </row>
    <row r="123" spans="1:29" ht="15.75" x14ac:dyDescent="0.25">
      <c r="A123" s="16">
        <v>44621</v>
      </c>
      <c r="B123" s="17">
        <f>CHOOSE(CONTROL!$C$42, 7.796, 7.796) * CHOOSE(CONTROL!$C$21, $C$9, 100%, $E$9)</f>
        <v>7.7960000000000003</v>
      </c>
      <c r="C123" s="17">
        <f>CHOOSE(CONTROL!$C$42, 7.8011, 7.8011) * CHOOSE(CONTROL!$C$21, $C$9, 100%, $E$9)</f>
        <v>7.8010999999999999</v>
      </c>
      <c r="D123" s="17">
        <f>CHOOSE(CONTROL!$C$42, 7.9195, 7.9195) * CHOOSE(CONTROL!$C$21, $C$9, 100%, $E$9)</f>
        <v>7.9195000000000002</v>
      </c>
      <c r="E123" s="17">
        <f>CHOOSE(CONTROL!$C$42, 7.9536, 7.9536) * CHOOSE(CONTROL!$C$21, $C$9, 100%, $E$9)</f>
        <v>7.9535999999999998</v>
      </c>
      <c r="F123" s="17">
        <f>CHOOSE(CONTROL!$C$42, 7.8157, 7.8157)*CHOOSE(CONTROL!$C$21, $C$9, 100%, $E$9)</f>
        <v>7.8156999999999996</v>
      </c>
      <c r="G123" s="17">
        <f>CHOOSE(CONTROL!$C$42, 7.8324, 7.8324)*CHOOSE(CONTROL!$C$21, $C$9, 100%, $E$9)</f>
        <v>7.8323999999999998</v>
      </c>
      <c r="H123" s="17">
        <f>CHOOSE(CONTROL!$C$42, 7.9428, 7.9428) * CHOOSE(CONTROL!$C$21, $C$9, 100%, $E$9)</f>
        <v>7.9428000000000001</v>
      </c>
      <c r="I123" s="17">
        <f>CHOOSE(CONTROL!$C$42, 7.844, 7.844)* CHOOSE(CONTROL!$C$21, $C$9, 100%, $E$9)</f>
        <v>7.8440000000000003</v>
      </c>
      <c r="J123" s="17">
        <f>CHOOSE(CONTROL!$C$42, 7.8087, 7.8087)* CHOOSE(CONTROL!$C$21, $C$9, 100%, $E$9)</f>
        <v>7.8087</v>
      </c>
      <c r="K123" s="52">
        <f>CHOOSE(CONTROL!$C$42, 7.8398, 7.8398) * CHOOSE(CONTROL!$C$21, $C$9, 100%, $E$9)</f>
        <v>7.8398000000000003</v>
      </c>
      <c r="L123" s="17">
        <f>CHOOSE(CONTROL!$C$42, 8.5298, 8.5298) * CHOOSE(CONTROL!$C$21, $C$9, 100%, $E$9)</f>
        <v>8.5297999999999998</v>
      </c>
      <c r="M123" s="17">
        <f>CHOOSE(CONTROL!$C$42, 7.676, 7.676) * CHOOSE(CONTROL!$C$21, $C$9, 100%, $E$9)</f>
        <v>7.6760000000000002</v>
      </c>
      <c r="N123" s="17">
        <f>CHOOSE(CONTROL!$C$42, 7.6923, 7.6923) * CHOOSE(CONTROL!$C$21, $C$9, 100%, $E$9)</f>
        <v>7.6923000000000004</v>
      </c>
      <c r="O123" s="17">
        <f>CHOOSE(CONTROL!$C$42, 7.8077, 7.8077) * CHOOSE(CONTROL!$C$21, $C$9, 100%, $E$9)</f>
        <v>7.8076999999999996</v>
      </c>
      <c r="P123" s="17">
        <f>CHOOSE(CONTROL!$C$42, 7.7103, 7.7103) * CHOOSE(CONTROL!$C$21, $C$9, 100%, $E$9)</f>
        <v>7.7103000000000002</v>
      </c>
      <c r="Q123" s="17">
        <f>CHOOSE(CONTROL!$C$42, 8.4024, 8.4024) * CHOOSE(CONTROL!$C$21, $C$9, 100%, $E$9)</f>
        <v>8.4024000000000001</v>
      </c>
      <c r="R123" s="17">
        <f>CHOOSE(CONTROL!$C$42, 9.0104, 9.0104) * CHOOSE(CONTROL!$C$21, $C$9, 100%, $E$9)</f>
        <v>9.0104000000000006</v>
      </c>
      <c r="S123" s="17">
        <f>CHOOSE(CONTROL!$C$42, 7.4827, 7.4827) * CHOOSE(CONTROL!$C$21, $C$9, 100%, $E$9)</f>
        <v>7.4827000000000004</v>
      </c>
      <c r="T12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23" s="56">
        <f>(1000*CHOOSE(CONTROL!$C$42, 695, 695)*CHOOSE(CONTROL!$C$42, 0.5599, 0.5599)*CHOOSE(CONTROL!$C$42, 31, 31))/1000000</f>
        <v>12.063045499999998</v>
      </c>
      <c r="V123" s="56">
        <f>(1000*CHOOSE(CONTROL!$C$42, 500, 500)*CHOOSE(CONTROL!$C$42, 0.275, 0.275)*CHOOSE(CONTROL!$C$42, 31, 31))/1000000</f>
        <v>4.2625000000000002</v>
      </c>
      <c r="W123" s="56">
        <f>(1000*CHOOSE(CONTROL!$C$42, 0.1146, 0.1146)*CHOOSE(CONTROL!$C$42, 121.5, 121.5)*CHOOSE(CONTROL!$C$42, 31, 31))/1000000</f>
        <v>0.43164089999999994</v>
      </c>
      <c r="X123" s="56">
        <f>(31*0.2374*100000/1000000)</f>
        <v>0.73594000000000004</v>
      </c>
      <c r="Y123" s="56"/>
      <c r="Z123" s="17"/>
      <c r="AA123" s="55"/>
      <c r="AB123" s="48">
        <f>(B123*122.58+C123*297.941+D123*89.177+E123*140.302+F123*40+G123*60+H123*0+I123*100+J123*300)/(122.58+297.941+89.177+140.302+0+40+60+100+300)</f>
        <v>7.8361969163478253</v>
      </c>
      <c r="AC123" s="45">
        <f>(M123*'RAP TEMPLATE-GAS AVAILABILITY'!O122+N123*'RAP TEMPLATE-GAS AVAILABILITY'!P122+O123*'RAP TEMPLATE-GAS AVAILABILITY'!Q122+P123*'RAP TEMPLATE-GAS AVAILABILITY'!R122)/('RAP TEMPLATE-GAS AVAILABILITY'!O122+'RAP TEMPLATE-GAS AVAILABILITY'!P122+'RAP TEMPLATE-GAS AVAILABILITY'!Q122+'RAP TEMPLATE-GAS AVAILABILITY'!R122)</f>
        <v>7.7415647482014389</v>
      </c>
    </row>
    <row r="124" spans="1:29" ht="15.75" x14ac:dyDescent="0.25">
      <c r="A124" s="16">
        <v>44652</v>
      </c>
      <c r="B124" s="17">
        <f>CHOOSE(CONTROL!$C$42, 7.7897, 7.7897) * CHOOSE(CONTROL!$C$21, $C$9, 100%, $E$9)</f>
        <v>7.7896999999999998</v>
      </c>
      <c r="C124" s="17">
        <f>CHOOSE(CONTROL!$C$42, 7.7942, 7.7942) * CHOOSE(CONTROL!$C$21, $C$9, 100%, $E$9)</f>
        <v>7.7942</v>
      </c>
      <c r="D124" s="17">
        <f>CHOOSE(CONTROL!$C$42, 8.0684, 8.0684) * CHOOSE(CONTROL!$C$21, $C$9, 100%, $E$9)</f>
        <v>8.0684000000000005</v>
      </c>
      <c r="E124" s="17">
        <f>CHOOSE(CONTROL!$C$42, 8.1005, 8.1005) * CHOOSE(CONTROL!$C$21, $C$9, 100%, $E$9)</f>
        <v>8.1005000000000003</v>
      </c>
      <c r="F124" s="17">
        <f>CHOOSE(CONTROL!$C$42, 7.809, 7.809)*CHOOSE(CONTROL!$C$21, $C$9, 100%, $E$9)</f>
        <v>7.8090000000000002</v>
      </c>
      <c r="G124" s="17">
        <f>CHOOSE(CONTROL!$C$42, 7.8254, 7.8254)*CHOOSE(CONTROL!$C$21, $C$9, 100%, $E$9)</f>
        <v>7.8254000000000001</v>
      </c>
      <c r="H124" s="17">
        <f>CHOOSE(CONTROL!$C$42, 8.0903, 8.0903) * CHOOSE(CONTROL!$C$21, $C$9, 100%, $E$9)</f>
        <v>8.0902999999999992</v>
      </c>
      <c r="I124" s="17">
        <f>CHOOSE(CONTROL!$C$42, 7.8354, 7.8354)* CHOOSE(CONTROL!$C$21, $C$9, 100%, $E$9)</f>
        <v>7.8353999999999999</v>
      </c>
      <c r="J124" s="17">
        <f>CHOOSE(CONTROL!$C$42, 7.802, 7.802)* CHOOSE(CONTROL!$C$21, $C$9, 100%, $E$9)</f>
        <v>7.8019999999999996</v>
      </c>
      <c r="K124" s="52">
        <f>CHOOSE(CONTROL!$C$42, 7.8311, 7.8311) * CHOOSE(CONTROL!$C$21, $C$9, 100%, $E$9)</f>
        <v>7.8311000000000002</v>
      </c>
      <c r="L124" s="17">
        <f>CHOOSE(CONTROL!$C$42, 8.6773, 8.6773) * CHOOSE(CONTROL!$C$21, $C$9, 100%, $E$9)</f>
        <v>8.6773000000000007</v>
      </c>
      <c r="M124" s="17">
        <f>CHOOSE(CONTROL!$C$42, 7.6694, 7.6694) * CHOOSE(CONTROL!$C$21, $C$9, 100%, $E$9)</f>
        <v>7.6694000000000004</v>
      </c>
      <c r="N124" s="17">
        <f>CHOOSE(CONTROL!$C$42, 7.6854, 7.6854) * CHOOSE(CONTROL!$C$21, $C$9, 100%, $E$9)</f>
        <v>7.6853999999999996</v>
      </c>
      <c r="O124" s="17">
        <f>CHOOSE(CONTROL!$C$42, 7.9525, 7.9525) * CHOOSE(CONTROL!$C$21, $C$9, 100%, $E$9)</f>
        <v>7.9524999999999997</v>
      </c>
      <c r="P124" s="17">
        <f>CHOOSE(CONTROL!$C$42, 7.7018, 7.7018) * CHOOSE(CONTROL!$C$21, $C$9, 100%, $E$9)</f>
        <v>7.7018000000000004</v>
      </c>
      <c r="Q124" s="17">
        <f>CHOOSE(CONTROL!$C$42, 8.5472, 8.5472) * CHOOSE(CONTROL!$C$21, $C$9, 100%, $E$9)</f>
        <v>8.5472000000000001</v>
      </c>
      <c r="R124" s="17">
        <f>CHOOSE(CONTROL!$C$42, 9.1555, 9.1555) * CHOOSE(CONTROL!$C$21, $C$9, 100%, $E$9)</f>
        <v>9.1555</v>
      </c>
      <c r="S124" s="17">
        <f>CHOOSE(CONTROL!$C$42, 7.4758, 7.4758) * CHOOSE(CONTROL!$C$21, $C$9, 100%, $E$9)</f>
        <v>7.4757999999999996</v>
      </c>
      <c r="T12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24" s="56">
        <f>(1000*CHOOSE(CONTROL!$C$42, 695, 695)*CHOOSE(CONTROL!$C$42, 0.5599, 0.5599)*CHOOSE(CONTROL!$C$42, 30, 30))/1000000</f>
        <v>11.673914999999997</v>
      </c>
      <c r="V124" s="56">
        <f>(1000*CHOOSE(CONTROL!$C$42, 500, 500)*CHOOSE(CONTROL!$C$42, 0.275, 0.275)*CHOOSE(CONTROL!$C$42, 30, 30))/1000000</f>
        <v>4.125</v>
      </c>
      <c r="W124" s="56">
        <f>(1000*CHOOSE(CONTROL!$C$42, 0.1146, 0.1146)*CHOOSE(CONTROL!$C$42, 121.5, 121.5)*CHOOSE(CONTROL!$C$42, 30, 30))/1000000</f>
        <v>0.417717</v>
      </c>
      <c r="X124" s="56">
        <f>(30*0.1790888*145000/1000000)+(30*0.2374*100000/1000000)</f>
        <v>1.4912362799999999</v>
      </c>
      <c r="Y124" s="56"/>
      <c r="Z124" s="17"/>
      <c r="AA124" s="55"/>
      <c r="AB124" s="48">
        <f>(B124*141.293+C124*267.993+D124*115.016+E124*189.698+F124*40+G124*85+H124*0+I124*100+J124*300)/(141.293+267.993+115.016+189.698+0+40+85+100+300)</f>
        <v>7.8738691413236479</v>
      </c>
      <c r="AC124" s="45">
        <f>(M124*'RAP TEMPLATE-GAS AVAILABILITY'!O123+N124*'RAP TEMPLATE-GAS AVAILABILITY'!P123+O124*'RAP TEMPLATE-GAS AVAILABILITY'!Q123+P124*'RAP TEMPLATE-GAS AVAILABILITY'!R123)/('RAP TEMPLATE-GAS AVAILABILITY'!O123+'RAP TEMPLATE-GAS AVAILABILITY'!P123+'RAP TEMPLATE-GAS AVAILABILITY'!Q123+'RAP TEMPLATE-GAS AVAILABILITY'!R123)</f>
        <v>7.7571762589928062</v>
      </c>
    </row>
    <row r="125" spans="1:29" ht="15.75" x14ac:dyDescent="0.25">
      <c r="A125" s="16">
        <v>44682</v>
      </c>
      <c r="B125" s="17">
        <f>CHOOSE(CONTROL!$C$42, 7.8759, 7.8759) * CHOOSE(CONTROL!$C$21, $C$9, 100%, $E$9)</f>
        <v>7.8758999999999997</v>
      </c>
      <c r="C125" s="17">
        <f>CHOOSE(CONTROL!$C$42, 7.884, 7.884) * CHOOSE(CONTROL!$C$21, $C$9, 100%, $E$9)</f>
        <v>7.8840000000000003</v>
      </c>
      <c r="D125" s="17">
        <f>CHOOSE(CONTROL!$C$42, 8.155, 8.155) * CHOOSE(CONTROL!$C$21, $C$9, 100%, $E$9)</f>
        <v>8.1549999999999994</v>
      </c>
      <c r="E125" s="17">
        <f>CHOOSE(CONTROL!$C$42, 8.1865, 8.1865) * CHOOSE(CONTROL!$C$21, $C$9, 100%, $E$9)</f>
        <v>8.1865000000000006</v>
      </c>
      <c r="F125" s="17">
        <f>CHOOSE(CONTROL!$C$42, 7.8941, 7.8941)*CHOOSE(CONTROL!$C$21, $C$9, 100%, $E$9)</f>
        <v>7.8940999999999999</v>
      </c>
      <c r="G125" s="17">
        <f>CHOOSE(CONTROL!$C$42, 7.9107, 7.9107)*CHOOSE(CONTROL!$C$21, $C$9, 100%, $E$9)</f>
        <v>7.9107000000000003</v>
      </c>
      <c r="H125" s="17">
        <f>CHOOSE(CONTROL!$C$42, 8.1751, 8.1751) * CHOOSE(CONTROL!$C$21, $C$9, 100%, $E$9)</f>
        <v>8.1751000000000005</v>
      </c>
      <c r="I125" s="17">
        <f>CHOOSE(CONTROL!$C$42, 7.9205, 7.9205)* CHOOSE(CONTROL!$C$21, $C$9, 100%, $E$9)</f>
        <v>7.9204999999999997</v>
      </c>
      <c r="J125" s="17">
        <f>CHOOSE(CONTROL!$C$42, 7.8871, 7.8871)* CHOOSE(CONTROL!$C$21, $C$9, 100%, $E$9)</f>
        <v>7.8871000000000002</v>
      </c>
      <c r="K125" s="52">
        <f>CHOOSE(CONTROL!$C$42, 7.9162, 7.9162) * CHOOSE(CONTROL!$C$21, $C$9, 100%, $E$9)</f>
        <v>7.9161999999999999</v>
      </c>
      <c r="L125" s="17">
        <f>CHOOSE(CONTROL!$C$42, 8.7621, 8.7621) * CHOOSE(CONTROL!$C$21, $C$9, 100%, $E$9)</f>
        <v>8.7621000000000002</v>
      </c>
      <c r="M125" s="17">
        <f>CHOOSE(CONTROL!$C$42, 7.7529, 7.7529) * CHOOSE(CONTROL!$C$21, $C$9, 100%, $E$9)</f>
        <v>7.7529000000000003</v>
      </c>
      <c r="N125" s="17">
        <f>CHOOSE(CONTROL!$C$42, 7.7692, 7.7692) * CHOOSE(CONTROL!$C$21, $C$9, 100%, $E$9)</f>
        <v>7.7691999999999997</v>
      </c>
      <c r="O125" s="17">
        <f>CHOOSE(CONTROL!$C$42, 8.0358, 8.0358) * CHOOSE(CONTROL!$C$21, $C$9, 100%, $E$9)</f>
        <v>8.0358000000000001</v>
      </c>
      <c r="P125" s="17">
        <f>CHOOSE(CONTROL!$C$42, 7.7853, 7.7853) * CHOOSE(CONTROL!$C$21, $C$9, 100%, $E$9)</f>
        <v>7.7853000000000003</v>
      </c>
      <c r="Q125" s="17">
        <f>CHOOSE(CONTROL!$C$42, 8.6305, 8.6305) * CHOOSE(CONTROL!$C$21, $C$9, 100%, $E$9)</f>
        <v>8.6304999999999996</v>
      </c>
      <c r="R125" s="17">
        <f>CHOOSE(CONTROL!$C$42, 9.239, 9.239) * CHOOSE(CONTROL!$C$21, $C$9, 100%, $E$9)</f>
        <v>9.2390000000000008</v>
      </c>
      <c r="S125" s="17">
        <f>CHOOSE(CONTROL!$C$42, 7.5573, 7.5573) * CHOOSE(CONTROL!$C$21, $C$9, 100%, $E$9)</f>
        <v>7.5572999999999997</v>
      </c>
      <c r="T12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25" s="56">
        <f>(1000*CHOOSE(CONTROL!$C$42, 695, 695)*CHOOSE(CONTROL!$C$42, 0.5599, 0.5599)*CHOOSE(CONTROL!$C$42, 31, 31))/1000000</f>
        <v>12.063045499999998</v>
      </c>
      <c r="V125" s="56">
        <f>(1000*CHOOSE(CONTROL!$C$42, 500, 500)*CHOOSE(CONTROL!$C$42, 0.275, 0.275)*CHOOSE(CONTROL!$C$42, 31, 31))/1000000</f>
        <v>4.2625000000000002</v>
      </c>
      <c r="W125" s="56">
        <f>(1000*CHOOSE(CONTROL!$C$42, 0.1146, 0.1146)*CHOOSE(CONTROL!$C$42, 121.5, 121.5)*CHOOSE(CONTROL!$C$42, 31, 31))/1000000</f>
        <v>0.43164089999999994</v>
      </c>
      <c r="X125" s="56">
        <f>(31*0.1790888*145000/1000000)+(31*0.2374*100000/1000000)</f>
        <v>1.5409441560000001</v>
      </c>
      <c r="Y125" s="56"/>
      <c r="Z125" s="17"/>
      <c r="AA125" s="55"/>
      <c r="AB125" s="48">
        <f>(B125*194.205+C125*267.466+D125*133.845+E125*153.484+F125*40+G125*85+H125*0+I125*100+J125*300)/(194.205+267.466+133.845+153.484+0+40+85+100+300)</f>
        <v>7.9533731118524349</v>
      </c>
      <c r="AC125" s="45">
        <f>(M125*'RAP TEMPLATE-GAS AVAILABILITY'!O124+N125*'RAP TEMPLATE-GAS AVAILABILITY'!P124+O125*'RAP TEMPLATE-GAS AVAILABILITY'!Q124+P125*'RAP TEMPLATE-GAS AVAILABILITY'!R124)/('RAP TEMPLATE-GAS AVAILABILITY'!O124+'RAP TEMPLATE-GAS AVAILABILITY'!P124+'RAP TEMPLATE-GAS AVAILABILITY'!Q124+'RAP TEMPLATE-GAS AVAILABILITY'!R124)</f>
        <v>7.8406892086330933</v>
      </c>
    </row>
    <row r="126" spans="1:29" ht="15.75" x14ac:dyDescent="0.25">
      <c r="A126" s="16">
        <v>44713</v>
      </c>
      <c r="B126" s="17">
        <f>CHOOSE(CONTROL!$C$42, 8.1157, 8.1157) * CHOOSE(CONTROL!$C$21, $C$9, 100%, $E$9)</f>
        <v>8.1157000000000004</v>
      </c>
      <c r="C126" s="17">
        <f>CHOOSE(CONTROL!$C$42, 8.1237, 8.1237) * CHOOSE(CONTROL!$C$21, $C$9, 100%, $E$9)</f>
        <v>8.1236999999999995</v>
      </c>
      <c r="D126" s="17">
        <f>CHOOSE(CONTROL!$C$42, 8.3947, 8.3947) * CHOOSE(CONTROL!$C$21, $C$9, 100%, $E$9)</f>
        <v>8.3947000000000003</v>
      </c>
      <c r="E126" s="17">
        <f>CHOOSE(CONTROL!$C$42, 8.4262, 8.4262) * CHOOSE(CONTROL!$C$21, $C$9, 100%, $E$9)</f>
        <v>8.4261999999999997</v>
      </c>
      <c r="F126" s="17">
        <f>CHOOSE(CONTROL!$C$42, 8.1341, 8.1341)*CHOOSE(CONTROL!$C$21, $C$9, 100%, $E$9)</f>
        <v>8.1341000000000001</v>
      </c>
      <c r="G126" s="17">
        <f>CHOOSE(CONTROL!$C$42, 8.1508, 8.1508)*CHOOSE(CONTROL!$C$21, $C$9, 100%, $E$9)</f>
        <v>8.1508000000000003</v>
      </c>
      <c r="H126" s="17">
        <f>CHOOSE(CONTROL!$C$42, 8.4148, 8.4148) * CHOOSE(CONTROL!$C$21, $C$9, 100%, $E$9)</f>
        <v>8.4147999999999996</v>
      </c>
      <c r="I126" s="17">
        <f>CHOOSE(CONTROL!$C$42, 8.1609, 8.1609)* CHOOSE(CONTROL!$C$21, $C$9, 100%, $E$9)</f>
        <v>8.1608999999999998</v>
      </c>
      <c r="J126" s="17">
        <f>CHOOSE(CONTROL!$C$42, 8.1271, 8.1271)* CHOOSE(CONTROL!$C$21, $C$9, 100%, $E$9)</f>
        <v>8.1271000000000004</v>
      </c>
      <c r="K126" s="52">
        <f>CHOOSE(CONTROL!$C$42, 8.1567, 8.1567) * CHOOSE(CONTROL!$C$21, $C$9, 100%, $E$9)</f>
        <v>8.1567000000000007</v>
      </c>
      <c r="L126" s="17">
        <f>CHOOSE(CONTROL!$C$42, 9.0018, 9.0018) * CHOOSE(CONTROL!$C$21, $C$9, 100%, $E$9)</f>
        <v>9.0017999999999994</v>
      </c>
      <c r="M126" s="17">
        <f>CHOOSE(CONTROL!$C$42, 7.9886, 7.9886) * CHOOSE(CONTROL!$C$21, $C$9, 100%, $E$9)</f>
        <v>7.9885999999999999</v>
      </c>
      <c r="N126" s="17">
        <f>CHOOSE(CONTROL!$C$42, 8.005, 8.005) * CHOOSE(CONTROL!$C$21, $C$9, 100%, $E$9)</f>
        <v>8.0050000000000008</v>
      </c>
      <c r="O126" s="17">
        <f>CHOOSE(CONTROL!$C$42, 8.2712, 8.2712) * CHOOSE(CONTROL!$C$21, $C$9, 100%, $E$9)</f>
        <v>8.2712000000000003</v>
      </c>
      <c r="P126" s="17">
        <f>CHOOSE(CONTROL!$C$42, 8.0215, 8.0215) * CHOOSE(CONTROL!$C$21, $C$9, 100%, $E$9)</f>
        <v>8.0214999999999996</v>
      </c>
      <c r="Q126" s="17">
        <f>CHOOSE(CONTROL!$C$42, 8.8659, 8.8659) * CHOOSE(CONTROL!$C$21, $C$9, 100%, $E$9)</f>
        <v>8.8658999999999999</v>
      </c>
      <c r="R126" s="17">
        <f>CHOOSE(CONTROL!$C$42, 9.475, 9.475) * CHOOSE(CONTROL!$C$21, $C$9, 100%, $E$9)</f>
        <v>9.4749999999999996</v>
      </c>
      <c r="S126" s="17">
        <f>CHOOSE(CONTROL!$C$42, 7.7877, 7.7877) * CHOOSE(CONTROL!$C$21, $C$9, 100%, $E$9)</f>
        <v>7.7877000000000001</v>
      </c>
      <c r="T12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26" s="56">
        <f>(1000*CHOOSE(CONTROL!$C$42, 695, 695)*CHOOSE(CONTROL!$C$42, 0.5599, 0.5599)*CHOOSE(CONTROL!$C$42, 30, 30))/1000000</f>
        <v>11.673914999999997</v>
      </c>
      <c r="V126" s="56">
        <f>(1000*CHOOSE(CONTROL!$C$42, 500, 500)*CHOOSE(CONTROL!$C$42, 0.275, 0.275)*CHOOSE(CONTROL!$C$42, 30, 30))/1000000</f>
        <v>4.125</v>
      </c>
      <c r="W126" s="56">
        <f>(1000*CHOOSE(CONTROL!$C$42, 0.1146, 0.1146)*CHOOSE(CONTROL!$C$42, 121.5, 121.5)*CHOOSE(CONTROL!$C$42, 30, 30))/1000000</f>
        <v>0.417717</v>
      </c>
      <c r="X126" s="56">
        <f>(30*0.1790888*145000/1000000)+(30*0.2374*100000/1000000)</f>
        <v>1.4912362799999999</v>
      </c>
      <c r="Y126" s="56"/>
      <c r="Z126" s="17"/>
      <c r="AA126" s="55"/>
      <c r="AB126" s="48">
        <f>(B126*194.205+C126*267.466+D126*133.845+E126*153.484+F126*40+G126*85+H126*0+I126*100+J126*300)/(194.205+267.466+133.845+153.484+0+40+85+100+300)</f>
        <v>8.1932500510204083</v>
      </c>
      <c r="AC126" s="45">
        <f>(M126*'RAP TEMPLATE-GAS AVAILABILITY'!O125+N126*'RAP TEMPLATE-GAS AVAILABILITY'!P125+O126*'RAP TEMPLATE-GAS AVAILABILITY'!Q125+P126*'RAP TEMPLATE-GAS AVAILABILITY'!R125)/('RAP TEMPLATE-GAS AVAILABILITY'!O125+'RAP TEMPLATE-GAS AVAILABILITY'!P125+'RAP TEMPLATE-GAS AVAILABILITY'!Q125+'RAP TEMPLATE-GAS AVAILABILITY'!R125)</f>
        <v>8.0763999999999996</v>
      </c>
    </row>
    <row r="127" spans="1:29" ht="15.75" x14ac:dyDescent="0.25">
      <c r="A127" s="16">
        <v>44743</v>
      </c>
      <c r="B127" s="17">
        <f>CHOOSE(CONTROL!$C$42, 7.9766, 7.9766) * CHOOSE(CONTROL!$C$21, $C$9, 100%, $E$9)</f>
        <v>7.9766000000000004</v>
      </c>
      <c r="C127" s="17">
        <f>CHOOSE(CONTROL!$C$42, 7.9846, 7.9846) * CHOOSE(CONTROL!$C$21, $C$9, 100%, $E$9)</f>
        <v>7.9846000000000004</v>
      </c>
      <c r="D127" s="17">
        <f>CHOOSE(CONTROL!$C$42, 8.2556, 8.2556) * CHOOSE(CONTROL!$C$21, $C$9, 100%, $E$9)</f>
        <v>8.2555999999999994</v>
      </c>
      <c r="E127" s="17">
        <f>CHOOSE(CONTROL!$C$42, 8.2871, 8.2871) * CHOOSE(CONTROL!$C$21, $C$9, 100%, $E$9)</f>
        <v>8.2871000000000006</v>
      </c>
      <c r="F127" s="17">
        <f>CHOOSE(CONTROL!$C$42, 7.9954, 7.9954)*CHOOSE(CONTROL!$C$21, $C$9, 100%, $E$9)</f>
        <v>7.9954000000000001</v>
      </c>
      <c r="G127" s="17">
        <f>CHOOSE(CONTROL!$C$42, 8.0122, 8.0122)*CHOOSE(CONTROL!$C$21, $C$9, 100%, $E$9)</f>
        <v>8.0122</v>
      </c>
      <c r="H127" s="17">
        <f>CHOOSE(CONTROL!$C$42, 8.2757, 8.2757) * CHOOSE(CONTROL!$C$21, $C$9, 100%, $E$9)</f>
        <v>8.2757000000000005</v>
      </c>
      <c r="I127" s="17">
        <f>CHOOSE(CONTROL!$C$42, 8.0214, 8.0214)* CHOOSE(CONTROL!$C$21, $C$9, 100%, $E$9)</f>
        <v>8.0213999999999999</v>
      </c>
      <c r="J127" s="17">
        <f>CHOOSE(CONTROL!$C$42, 7.9884, 7.9884)* CHOOSE(CONTROL!$C$21, $C$9, 100%, $E$9)</f>
        <v>7.9884000000000004</v>
      </c>
      <c r="K127" s="52">
        <f>CHOOSE(CONTROL!$C$42, 8.0172, 8.0172) * CHOOSE(CONTROL!$C$21, $C$9, 100%, $E$9)</f>
        <v>8.0172000000000008</v>
      </c>
      <c r="L127" s="17">
        <f>CHOOSE(CONTROL!$C$42, 8.8627, 8.8627) * CHOOSE(CONTROL!$C$21, $C$9, 100%, $E$9)</f>
        <v>8.8627000000000002</v>
      </c>
      <c r="M127" s="17">
        <f>CHOOSE(CONTROL!$C$42, 7.8524, 7.8524) * CHOOSE(CONTROL!$C$21, $C$9, 100%, $E$9)</f>
        <v>7.8524000000000003</v>
      </c>
      <c r="N127" s="17">
        <f>CHOOSE(CONTROL!$C$42, 7.8689, 7.8689) * CHOOSE(CONTROL!$C$21, $C$9, 100%, $E$9)</f>
        <v>7.8689</v>
      </c>
      <c r="O127" s="17">
        <f>CHOOSE(CONTROL!$C$42, 8.1346, 8.1346) * CHOOSE(CONTROL!$C$21, $C$9, 100%, $E$9)</f>
        <v>8.1346000000000007</v>
      </c>
      <c r="P127" s="17">
        <f>CHOOSE(CONTROL!$C$42, 7.8844, 7.8844) * CHOOSE(CONTROL!$C$21, $C$9, 100%, $E$9)</f>
        <v>7.8844000000000003</v>
      </c>
      <c r="Q127" s="17">
        <f>CHOOSE(CONTROL!$C$42, 8.7293, 8.7293) * CHOOSE(CONTROL!$C$21, $C$9, 100%, $E$9)</f>
        <v>8.7293000000000003</v>
      </c>
      <c r="R127" s="17">
        <f>CHOOSE(CONTROL!$C$42, 9.3381, 9.3381) * CHOOSE(CONTROL!$C$21, $C$9, 100%, $E$9)</f>
        <v>9.3381000000000007</v>
      </c>
      <c r="S127" s="17">
        <f>CHOOSE(CONTROL!$C$42, 7.654, 7.654) * CHOOSE(CONTROL!$C$21, $C$9, 100%, $E$9)</f>
        <v>7.6539999999999999</v>
      </c>
      <c r="T12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27" s="56">
        <f>(1000*CHOOSE(CONTROL!$C$42, 695, 695)*CHOOSE(CONTROL!$C$42, 0.5599, 0.5599)*CHOOSE(CONTROL!$C$42, 31, 31))/1000000</f>
        <v>12.063045499999998</v>
      </c>
      <c r="V127" s="56">
        <f>(1000*CHOOSE(CONTROL!$C$42, 500, 500)*CHOOSE(CONTROL!$C$42, 0.275, 0.275)*CHOOSE(CONTROL!$C$42, 31, 31))/1000000</f>
        <v>4.2625000000000002</v>
      </c>
      <c r="W127" s="56">
        <f>(1000*CHOOSE(CONTROL!$C$42, 0.1146, 0.1146)*CHOOSE(CONTROL!$C$42, 121.5, 121.5)*CHOOSE(CONTROL!$C$42, 31, 31))/1000000</f>
        <v>0.43164089999999994</v>
      </c>
      <c r="X127" s="56">
        <f>(31*0.1790888*145000/1000000)+(31*0.2374*100000/1000000)</f>
        <v>1.5409441560000001</v>
      </c>
      <c r="Y127" s="56"/>
      <c r="Z127" s="17"/>
      <c r="AA127" s="55"/>
      <c r="AB127" s="48">
        <f>(B127*194.205+C127*267.466+D127*133.845+E127*153.484+F127*40+G127*85+H127*0+I127*100+J127*300)/(194.205+267.466+133.845+153.484+0+40+85+100+300)</f>
        <v>8.0542587637362644</v>
      </c>
      <c r="AC127" s="45">
        <f>(M127*'RAP TEMPLATE-GAS AVAILABILITY'!O126+N127*'RAP TEMPLATE-GAS AVAILABILITY'!P126+O127*'RAP TEMPLATE-GAS AVAILABILITY'!Q126+P127*'RAP TEMPLATE-GAS AVAILABILITY'!R126)/('RAP TEMPLATE-GAS AVAILABILITY'!O126+'RAP TEMPLATE-GAS AVAILABILITY'!P126+'RAP TEMPLATE-GAS AVAILABILITY'!Q126+'RAP TEMPLATE-GAS AVAILABILITY'!R126)</f>
        <v>7.9399812949640287</v>
      </c>
    </row>
    <row r="128" spans="1:29" ht="15.75" x14ac:dyDescent="0.25">
      <c r="A128" s="16">
        <v>44774</v>
      </c>
      <c r="B128" s="17">
        <f>CHOOSE(CONTROL!$C$42, 7.5987, 7.5987) * CHOOSE(CONTROL!$C$21, $C$9, 100%, $E$9)</f>
        <v>7.5987</v>
      </c>
      <c r="C128" s="17">
        <f>CHOOSE(CONTROL!$C$42, 7.6068, 7.6068) * CHOOSE(CONTROL!$C$21, $C$9, 100%, $E$9)</f>
        <v>7.6067999999999998</v>
      </c>
      <c r="D128" s="17">
        <f>CHOOSE(CONTROL!$C$42, 7.8778, 7.8778) * CHOOSE(CONTROL!$C$21, $C$9, 100%, $E$9)</f>
        <v>7.8777999999999997</v>
      </c>
      <c r="E128" s="17">
        <f>CHOOSE(CONTROL!$C$42, 7.9093, 7.9093) * CHOOSE(CONTROL!$C$21, $C$9, 100%, $E$9)</f>
        <v>7.9093</v>
      </c>
      <c r="F128" s="17">
        <f>CHOOSE(CONTROL!$C$42, 7.6179, 7.6179)*CHOOSE(CONTROL!$C$21, $C$9, 100%, $E$9)</f>
        <v>7.6178999999999997</v>
      </c>
      <c r="G128" s="17">
        <f>CHOOSE(CONTROL!$C$42, 7.6347, 7.6347)*CHOOSE(CONTROL!$C$21, $C$9, 100%, $E$9)</f>
        <v>7.6346999999999996</v>
      </c>
      <c r="H128" s="17">
        <f>CHOOSE(CONTROL!$C$42, 7.8979, 7.8979) * CHOOSE(CONTROL!$C$21, $C$9, 100%, $E$9)</f>
        <v>7.8978999999999999</v>
      </c>
      <c r="I128" s="17">
        <f>CHOOSE(CONTROL!$C$42, 7.6424, 7.6424)* CHOOSE(CONTROL!$C$21, $C$9, 100%, $E$9)</f>
        <v>7.6424000000000003</v>
      </c>
      <c r="J128" s="17">
        <f>CHOOSE(CONTROL!$C$42, 7.6109, 7.6109)* CHOOSE(CONTROL!$C$21, $C$9, 100%, $E$9)</f>
        <v>7.6109</v>
      </c>
      <c r="K128" s="52">
        <f>CHOOSE(CONTROL!$C$42, 7.6382, 7.6382) * CHOOSE(CONTROL!$C$21, $C$9, 100%, $E$9)</f>
        <v>7.6382000000000003</v>
      </c>
      <c r="L128" s="17">
        <f>CHOOSE(CONTROL!$C$42, 8.4849, 8.4849) * CHOOSE(CONTROL!$C$21, $C$9, 100%, $E$9)</f>
        <v>8.4848999999999997</v>
      </c>
      <c r="M128" s="17">
        <f>CHOOSE(CONTROL!$C$42, 7.4817, 7.4817) * CHOOSE(CONTROL!$C$21, $C$9, 100%, $E$9)</f>
        <v>7.4817</v>
      </c>
      <c r="N128" s="17">
        <f>CHOOSE(CONTROL!$C$42, 7.4982, 7.4982) * CHOOSE(CONTROL!$C$21, $C$9, 100%, $E$9)</f>
        <v>7.4981999999999998</v>
      </c>
      <c r="O128" s="17">
        <f>CHOOSE(CONTROL!$C$42, 7.7636, 7.7636) * CHOOSE(CONTROL!$C$21, $C$9, 100%, $E$9)</f>
        <v>7.7636000000000003</v>
      </c>
      <c r="P128" s="17">
        <f>CHOOSE(CONTROL!$C$42, 7.5123, 7.5123) * CHOOSE(CONTROL!$C$21, $C$9, 100%, $E$9)</f>
        <v>7.5122999999999998</v>
      </c>
      <c r="Q128" s="17">
        <f>CHOOSE(CONTROL!$C$42, 8.3583, 8.3583) * CHOOSE(CONTROL!$C$21, $C$9, 100%, $E$9)</f>
        <v>8.3582999999999998</v>
      </c>
      <c r="R128" s="17">
        <f>CHOOSE(CONTROL!$C$42, 8.9662, 8.9662) * CHOOSE(CONTROL!$C$21, $C$9, 100%, $E$9)</f>
        <v>8.9662000000000006</v>
      </c>
      <c r="S128" s="17">
        <f>CHOOSE(CONTROL!$C$42, 7.291, 7.291) * CHOOSE(CONTROL!$C$21, $C$9, 100%, $E$9)</f>
        <v>7.2910000000000004</v>
      </c>
      <c r="T12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28" s="56">
        <f>(1000*CHOOSE(CONTROL!$C$42, 695, 695)*CHOOSE(CONTROL!$C$42, 0.5599, 0.5599)*CHOOSE(CONTROL!$C$42, 31, 31))/1000000</f>
        <v>12.063045499999998</v>
      </c>
      <c r="V128" s="56">
        <f>(1000*CHOOSE(CONTROL!$C$42, 500, 500)*CHOOSE(CONTROL!$C$42, 0.275, 0.275)*CHOOSE(CONTROL!$C$42, 31, 31))/1000000</f>
        <v>4.2625000000000002</v>
      </c>
      <c r="W128" s="56">
        <f>(1000*CHOOSE(CONTROL!$C$42, 0.1146, 0.1146)*CHOOSE(CONTROL!$C$42, 121.5, 121.5)*CHOOSE(CONTROL!$C$42, 31, 31))/1000000</f>
        <v>0.43164089999999994</v>
      </c>
      <c r="X128" s="56">
        <f>(31*0.1790888*145000/1000000)+(31*0.2374*100000/1000000)</f>
        <v>1.5409441560000001</v>
      </c>
      <c r="Y128" s="56"/>
      <c r="Z128" s="17"/>
      <c r="AA128" s="55"/>
      <c r="AB128" s="48">
        <f>(B128*194.205+C128*267.466+D128*133.845+E128*153.484+F128*40+G128*85+H128*0+I128*100+J128*300)/(194.205+267.466+133.845+153.484+0+40+85+100+300)</f>
        <v>7.6764494069858724</v>
      </c>
      <c r="AC128" s="45">
        <f>(M128*'RAP TEMPLATE-GAS AVAILABILITY'!O127+N128*'RAP TEMPLATE-GAS AVAILABILITY'!P127+O128*'RAP TEMPLATE-GAS AVAILABILITY'!Q127+P128*'RAP TEMPLATE-GAS AVAILABILITY'!R127)/('RAP TEMPLATE-GAS AVAILABILITY'!O127+'RAP TEMPLATE-GAS AVAILABILITY'!P127+'RAP TEMPLATE-GAS AVAILABILITY'!Q127+'RAP TEMPLATE-GAS AVAILABILITY'!R127)</f>
        <v>7.5689956834532364</v>
      </c>
    </row>
    <row r="129" spans="1:29" ht="15.75" x14ac:dyDescent="0.25">
      <c r="A129" s="16">
        <v>44805</v>
      </c>
      <c r="B129" s="17">
        <f>CHOOSE(CONTROL!$C$42, 7.1315, 7.1315) * CHOOSE(CONTROL!$C$21, $C$9, 100%, $E$9)</f>
        <v>7.1315</v>
      </c>
      <c r="C129" s="17">
        <f>CHOOSE(CONTROL!$C$42, 7.1395, 7.1395) * CHOOSE(CONTROL!$C$21, $C$9, 100%, $E$9)</f>
        <v>7.1395</v>
      </c>
      <c r="D129" s="17">
        <f>CHOOSE(CONTROL!$C$42, 7.4106, 7.4106) * CHOOSE(CONTROL!$C$21, $C$9, 100%, $E$9)</f>
        <v>7.4105999999999996</v>
      </c>
      <c r="E129" s="17">
        <f>CHOOSE(CONTROL!$C$42, 7.442, 7.442) * CHOOSE(CONTROL!$C$21, $C$9, 100%, $E$9)</f>
        <v>7.4420000000000002</v>
      </c>
      <c r="F129" s="17">
        <f>CHOOSE(CONTROL!$C$42, 7.1507, 7.1507)*CHOOSE(CONTROL!$C$21, $C$9, 100%, $E$9)</f>
        <v>7.1506999999999996</v>
      </c>
      <c r="G129" s="17">
        <f>CHOOSE(CONTROL!$C$42, 7.1676, 7.1676)*CHOOSE(CONTROL!$C$21, $C$9, 100%, $E$9)</f>
        <v>7.1676000000000002</v>
      </c>
      <c r="H129" s="17">
        <f>CHOOSE(CONTROL!$C$42, 7.4307, 7.4307) * CHOOSE(CONTROL!$C$21, $C$9, 100%, $E$9)</f>
        <v>7.4306999999999999</v>
      </c>
      <c r="I129" s="17">
        <f>CHOOSE(CONTROL!$C$42, 7.1737, 7.1737)* CHOOSE(CONTROL!$C$21, $C$9, 100%, $E$9)</f>
        <v>7.1737000000000002</v>
      </c>
      <c r="J129" s="17">
        <f>CHOOSE(CONTROL!$C$42, 7.1437, 7.1437)* CHOOSE(CONTROL!$C$21, $C$9, 100%, $E$9)</f>
        <v>7.1436999999999999</v>
      </c>
      <c r="K129" s="52">
        <f>CHOOSE(CONTROL!$C$42, 7.1695, 7.1695) * CHOOSE(CONTROL!$C$21, $C$9, 100%, $E$9)</f>
        <v>7.1695000000000002</v>
      </c>
      <c r="L129" s="17">
        <f>CHOOSE(CONTROL!$C$42, 8.0177, 8.0177) * CHOOSE(CONTROL!$C$21, $C$9, 100%, $E$9)</f>
        <v>8.0176999999999996</v>
      </c>
      <c r="M129" s="17">
        <f>CHOOSE(CONTROL!$C$42, 7.0229, 7.0229) * CHOOSE(CONTROL!$C$21, $C$9, 100%, $E$9)</f>
        <v>7.0228999999999999</v>
      </c>
      <c r="N129" s="17">
        <f>CHOOSE(CONTROL!$C$42, 7.0395, 7.0395) * CHOOSE(CONTROL!$C$21, $C$9, 100%, $E$9)</f>
        <v>7.0395000000000003</v>
      </c>
      <c r="O129" s="17">
        <f>CHOOSE(CONTROL!$C$42, 7.3047, 7.3047) * CHOOSE(CONTROL!$C$21, $C$9, 100%, $E$9)</f>
        <v>7.3047000000000004</v>
      </c>
      <c r="P129" s="17">
        <f>CHOOSE(CONTROL!$C$42, 7.052, 7.052) * CHOOSE(CONTROL!$C$21, $C$9, 100%, $E$9)</f>
        <v>7.0519999999999996</v>
      </c>
      <c r="Q129" s="17">
        <f>CHOOSE(CONTROL!$C$42, 7.8994, 7.8994) * CHOOSE(CONTROL!$C$21, $C$9, 100%, $E$9)</f>
        <v>7.8994</v>
      </c>
      <c r="R129" s="17">
        <f>CHOOSE(CONTROL!$C$42, 8.5062, 8.5062) * CHOOSE(CONTROL!$C$21, $C$9, 100%, $E$9)</f>
        <v>8.5061999999999998</v>
      </c>
      <c r="S129" s="17">
        <f>CHOOSE(CONTROL!$C$42, 6.842, 6.842) * CHOOSE(CONTROL!$C$21, $C$9, 100%, $E$9)</f>
        <v>6.8419999999999996</v>
      </c>
      <c r="T12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29" s="56">
        <f>(1000*CHOOSE(CONTROL!$C$42, 695, 695)*CHOOSE(CONTROL!$C$42, 0.5599, 0.5599)*CHOOSE(CONTROL!$C$42, 30, 30))/1000000</f>
        <v>11.673914999999997</v>
      </c>
      <c r="V129" s="56">
        <f>(1000*CHOOSE(CONTROL!$C$42, 500, 500)*CHOOSE(CONTROL!$C$42, 0.275, 0.275)*CHOOSE(CONTROL!$C$42, 30, 30))/1000000</f>
        <v>4.125</v>
      </c>
      <c r="W129" s="56">
        <f>(1000*CHOOSE(CONTROL!$C$42, 0.1146, 0.1146)*CHOOSE(CONTROL!$C$42, 121.5, 121.5)*CHOOSE(CONTROL!$C$42, 30, 30))/1000000</f>
        <v>0.417717</v>
      </c>
      <c r="X129" s="56">
        <f>(30*0.1790888*145000/1000000)+(30*0.2374*100000/1000000)</f>
        <v>1.4912362799999999</v>
      </c>
      <c r="Y129" s="56"/>
      <c r="Z129" s="17"/>
      <c r="AA129" s="55"/>
      <c r="AB129" s="48">
        <f>(B129*194.205+C129*267.466+D129*133.845+E129*153.484+F129*40+G129*85+H129*0+I129*100+J129*300)/(194.205+267.466+133.845+153.484+0+40+85+100+300)</f>
        <v>7.2091052978806918</v>
      </c>
      <c r="AC129" s="45">
        <f>(M129*'RAP TEMPLATE-GAS AVAILABILITY'!O128+N129*'RAP TEMPLATE-GAS AVAILABILITY'!P128+O129*'RAP TEMPLATE-GAS AVAILABILITY'!Q128+P129*'RAP TEMPLATE-GAS AVAILABILITY'!R128)/('RAP TEMPLATE-GAS AVAILABILITY'!O128+'RAP TEMPLATE-GAS AVAILABILITY'!P128+'RAP TEMPLATE-GAS AVAILABILITY'!Q128+'RAP TEMPLATE-GAS AVAILABILITY'!R128)</f>
        <v>7.1099748201438846</v>
      </c>
    </row>
    <row r="130" spans="1:29" ht="15.75" x14ac:dyDescent="0.25">
      <c r="A130" s="16">
        <v>44835</v>
      </c>
      <c r="B130" s="17">
        <f>CHOOSE(CONTROL!$C$42, 6.9995, 6.9995) * CHOOSE(CONTROL!$C$21, $C$9, 100%, $E$9)</f>
        <v>6.9995000000000003</v>
      </c>
      <c r="C130" s="17">
        <f>CHOOSE(CONTROL!$C$42, 7.0049, 7.0049) * CHOOSE(CONTROL!$C$21, $C$9, 100%, $E$9)</f>
        <v>7.0049000000000001</v>
      </c>
      <c r="D130" s="17">
        <f>CHOOSE(CONTROL!$C$42, 7.2809, 7.2809) * CHOOSE(CONTROL!$C$21, $C$9, 100%, $E$9)</f>
        <v>7.2808999999999999</v>
      </c>
      <c r="E130" s="17">
        <f>CHOOSE(CONTROL!$C$42, 7.31, 7.31) * CHOOSE(CONTROL!$C$21, $C$9, 100%, $E$9)</f>
        <v>7.31</v>
      </c>
      <c r="F130" s="17">
        <f>CHOOSE(CONTROL!$C$42, 7.0209, 7.0209)*CHOOSE(CONTROL!$C$21, $C$9, 100%, $E$9)</f>
        <v>7.0209000000000001</v>
      </c>
      <c r="G130" s="17">
        <f>CHOOSE(CONTROL!$C$42, 7.0377, 7.0377)*CHOOSE(CONTROL!$C$21, $C$9, 100%, $E$9)</f>
        <v>7.0377000000000001</v>
      </c>
      <c r="H130" s="17">
        <f>CHOOSE(CONTROL!$C$42, 7.3005, 7.3005) * CHOOSE(CONTROL!$C$21, $C$9, 100%, $E$9)</f>
        <v>7.3005000000000004</v>
      </c>
      <c r="I130" s="17">
        <f>CHOOSE(CONTROL!$C$42, 7.0431, 7.0431)* CHOOSE(CONTROL!$C$21, $C$9, 100%, $E$9)</f>
        <v>7.0430999999999999</v>
      </c>
      <c r="J130" s="17">
        <f>CHOOSE(CONTROL!$C$42, 7.0139, 7.0139)* CHOOSE(CONTROL!$C$21, $C$9, 100%, $E$9)</f>
        <v>7.0138999999999996</v>
      </c>
      <c r="K130" s="52">
        <f>CHOOSE(CONTROL!$C$42, 7.0389, 7.0389) * CHOOSE(CONTROL!$C$21, $C$9, 100%, $E$9)</f>
        <v>7.0388999999999999</v>
      </c>
      <c r="L130" s="17">
        <f>CHOOSE(CONTROL!$C$42, 7.8875, 7.8875) * CHOOSE(CONTROL!$C$21, $C$9, 100%, $E$9)</f>
        <v>7.8875000000000002</v>
      </c>
      <c r="M130" s="17">
        <f>CHOOSE(CONTROL!$C$42, 6.8955, 6.8955) * CHOOSE(CONTROL!$C$21, $C$9, 100%, $E$9)</f>
        <v>6.8955000000000002</v>
      </c>
      <c r="N130" s="17">
        <f>CHOOSE(CONTROL!$C$42, 6.912, 6.912) * CHOOSE(CONTROL!$C$21, $C$9, 100%, $E$9)</f>
        <v>6.9119999999999999</v>
      </c>
      <c r="O130" s="17">
        <f>CHOOSE(CONTROL!$C$42, 7.1769, 7.1769) * CHOOSE(CONTROL!$C$21, $C$9, 100%, $E$9)</f>
        <v>7.1768999999999998</v>
      </c>
      <c r="P130" s="17">
        <f>CHOOSE(CONTROL!$C$42, 6.9238, 6.9238) * CHOOSE(CONTROL!$C$21, $C$9, 100%, $E$9)</f>
        <v>6.9238</v>
      </c>
      <c r="Q130" s="17">
        <f>CHOOSE(CONTROL!$C$42, 7.7716, 7.7716) * CHOOSE(CONTROL!$C$21, $C$9, 100%, $E$9)</f>
        <v>7.7716000000000003</v>
      </c>
      <c r="R130" s="17">
        <f>CHOOSE(CONTROL!$C$42, 8.378, 8.378) * CHOOSE(CONTROL!$C$21, $C$9, 100%, $E$9)</f>
        <v>8.3780000000000001</v>
      </c>
      <c r="S130" s="17">
        <f>CHOOSE(CONTROL!$C$42, 6.7169, 6.7169) * CHOOSE(CONTROL!$C$21, $C$9, 100%, $E$9)</f>
        <v>6.7168999999999999</v>
      </c>
      <c r="T13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30" s="56">
        <f>(1000*CHOOSE(CONTROL!$C$42, 695, 695)*CHOOSE(CONTROL!$C$42, 0.5599, 0.5599)*CHOOSE(CONTROL!$C$42, 31, 31))/1000000</f>
        <v>12.063045499999998</v>
      </c>
      <c r="V130" s="56">
        <f>(1000*CHOOSE(CONTROL!$C$42, 500, 500)*CHOOSE(CONTROL!$C$42, 0.275, 0.275)*CHOOSE(CONTROL!$C$42, 31, 31))/1000000</f>
        <v>4.2625000000000002</v>
      </c>
      <c r="W130" s="56">
        <f>(1000*CHOOSE(CONTROL!$C$42, 0.1146, 0.1146)*CHOOSE(CONTROL!$C$42, 121.5, 121.5)*CHOOSE(CONTROL!$C$42, 31, 31))/1000000</f>
        <v>0.43164089999999994</v>
      </c>
      <c r="X130" s="56">
        <f>(31*0.1790888*145000/1000000)+(31*0.2374*100000/1000000)</f>
        <v>1.5409441560000001</v>
      </c>
      <c r="Y130" s="56"/>
      <c r="Z130" s="17"/>
      <c r="AA130" s="55"/>
      <c r="AB130" s="48">
        <f>(B130*131.881+C130*277.167+D130*79.08+E130*225.872+F130*40+G130*85+H130*0+I130*100+J130*300)/(131.881+277.167+79.08+225.872+0+40+85+100+300)</f>
        <v>7.0855904518159809</v>
      </c>
      <c r="AC130" s="45">
        <f>(M130*'RAP TEMPLATE-GAS AVAILABILITY'!O129+N130*'RAP TEMPLATE-GAS AVAILABILITY'!P129+O130*'RAP TEMPLATE-GAS AVAILABILITY'!Q129+P130*'RAP TEMPLATE-GAS AVAILABILITY'!R129)/('RAP TEMPLATE-GAS AVAILABILITY'!O129+'RAP TEMPLATE-GAS AVAILABILITY'!P129+'RAP TEMPLATE-GAS AVAILABILITY'!Q129+'RAP TEMPLATE-GAS AVAILABILITY'!R129)</f>
        <v>6.9823244604316548</v>
      </c>
    </row>
    <row r="131" spans="1:29" ht="15.75" x14ac:dyDescent="0.25">
      <c r="A131" s="16">
        <v>44866</v>
      </c>
      <c r="B131" s="17">
        <f>CHOOSE(CONTROL!$C$42, 7.198, 7.198) * CHOOSE(CONTROL!$C$21, $C$9, 100%, $E$9)</f>
        <v>7.1980000000000004</v>
      </c>
      <c r="C131" s="17">
        <f>CHOOSE(CONTROL!$C$42, 7.2031, 7.2031) * CHOOSE(CONTROL!$C$21, $C$9, 100%, $E$9)</f>
        <v>7.2031000000000001</v>
      </c>
      <c r="D131" s="17">
        <f>CHOOSE(CONTROL!$C$42, 7.2981, 7.2981) * CHOOSE(CONTROL!$C$21, $C$9, 100%, $E$9)</f>
        <v>7.2980999999999998</v>
      </c>
      <c r="E131" s="17">
        <f>CHOOSE(CONTROL!$C$42, 7.3322, 7.3322) * CHOOSE(CONTROL!$C$21, $C$9, 100%, $E$9)</f>
        <v>7.3322000000000003</v>
      </c>
      <c r="F131" s="17">
        <f>CHOOSE(CONTROL!$C$42, 7.2219, 7.2219)*CHOOSE(CONTROL!$C$21, $C$9, 100%, $E$9)</f>
        <v>7.2218999999999998</v>
      </c>
      <c r="G131" s="17">
        <f>CHOOSE(CONTROL!$C$42, 7.239, 7.239)*CHOOSE(CONTROL!$C$21, $C$9, 100%, $E$9)</f>
        <v>7.2389999999999999</v>
      </c>
      <c r="H131" s="17">
        <f>CHOOSE(CONTROL!$C$42, 7.3214, 7.3214) * CHOOSE(CONTROL!$C$21, $C$9, 100%, $E$9)</f>
        <v>7.3213999999999997</v>
      </c>
      <c r="I131" s="17">
        <f>CHOOSE(CONTROL!$C$42, 7.2405, 7.2405)* CHOOSE(CONTROL!$C$21, $C$9, 100%, $E$9)</f>
        <v>7.2404999999999999</v>
      </c>
      <c r="J131" s="17">
        <f>CHOOSE(CONTROL!$C$42, 7.2149, 7.2149)* CHOOSE(CONTROL!$C$21, $C$9, 100%, $E$9)</f>
        <v>7.2149000000000001</v>
      </c>
      <c r="K131" s="52">
        <f>CHOOSE(CONTROL!$C$42, 7.2363, 7.2363) * CHOOSE(CONTROL!$C$21, $C$9, 100%, $E$9)</f>
        <v>7.2363</v>
      </c>
      <c r="L131" s="17">
        <f>CHOOSE(CONTROL!$C$42, 7.9084, 7.9084) * CHOOSE(CONTROL!$C$21, $C$9, 100%, $E$9)</f>
        <v>7.9084000000000003</v>
      </c>
      <c r="M131" s="17">
        <f>CHOOSE(CONTROL!$C$42, 7.0929, 7.0929) * CHOOSE(CONTROL!$C$21, $C$9, 100%, $E$9)</f>
        <v>7.0929000000000002</v>
      </c>
      <c r="N131" s="17">
        <f>CHOOSE(CONTROL!$C$42, 7.1096, 7.1096) * CHOOSE(CONTROL!$C$21, $C$9, 100%, $E$9)</f>
        <v>7.1096000000000004</v>
      </c>
      <c r="O131" s="17">
        <f>CHOOSE(CONTROL!$C$42, 7.1974, 7.1974) * CHOOSE(CONTROL!$C$21, $C$9, 100%, $E$9)</f>
        <v>7.1974</v>
      </c>
      <c r="P131" s="17">
        <f>CHOOSE(CONTROL!$C$42, 7.1177, 7.1177) * CHOOSE(CONTROL!$C$21, $C$9, 100%, $E$9)</f>
        <v>7.1177000000000001</v>
      </c>
      <c r="Q131" s="17">
        <f>CHOOSE(CONTROL!$C$42, 7.7921, 7.7921) * CHOOSE(CONTROL!$C$21, $C$9, 100%, $E$9)</f>
        <v>7.7920999999999996</v>
      </c>
      <c r="R131" s="17">
        <f>CHOOSE(CONTROL!$C$42, 8.3986, 8.3986) * CHOOSE(CONTROL!$C$21, $C$9, 100%, $E$9)</f>
        <v>8.3986000000000001</v>
      </c>
      <c r="S131" s="17">
        <f>CHOOSE(CONTROL!$C$42, 6.908, 6.908) * CHOOSE(CONTROL!$C$21, $C$9, 100%, $E$9)</f>
        <v>6.9080000000000004</v>
      </c>
      <c r="T13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31" s="56">
        <f>(1000*CHOOSE(CONTROL!$C$42, 695, 695)*CHOOSE(CONTROL!$C$42, 0.5599, 0.5599)*CHOOSE(CONTROL!$C$42, 30, 30))/1000000</f>
        <v>11.673914999999997</v>
      </c>
      <c r="V131" s="56">
        <f>(1000*CHOOSE(CONTROL!$C$42, 500, 500)*CHOOSE(CONTROL!$C$42, 0.275, 0.275)*CHOOSE(CONTROL!$C$42, 30, 30))/1000000</f>
        <v>4.125</v>
      </c>
      <c r="W131" s="56">
        <f>(1000*CHOOSE(CONTROL!$C$42, 0.1146, 0.1146)*CHOOSE(CONTROL!$C$42, 121.5, 121.5)*CHOOSE(CONTROL!$C$42, 30, 30))/1000000</f>
        <v>0.417717</v>
      </c>
      <c r="X131" s="56">
        <f>(30*0.2374*100000/1000000)</f>
        <v>0.71220000000000006</v>
      </c>
      <c r="Y131" s="56"/>
      <c r="Z131" s="17"/>
      <c r="AA131" s="55"/>
      <c r="AB131" s="48">
        <f>(B131*122.58+C131*297.941+D131*89.177+E131*140.302+F131*40+G131*60+H131*0+I131*100+J131*300)/(122.58+297.941+89.177+140.302+0+40+60+100+300)</f>
        <v>7.2345309958260877</v>
      </c>
      <c r="AC131" s="45">
        <f>(M131*'RAP TEMPLATE-GAS AVAILABILITY'!O130+N131*'RAP TEMPLATE-GAS AVAILABILITY'!P130+O131*'RAP TEMPLATE-GAS AVAILABILITY'!Q130+P131*'RAP TEMPLATE-GAS AVAILABILITY'!R130)/('RAP TEMPLATE-GAS AVAILABILITY'!O130+'RAP TEMPLATE-GAS AVAILABILITY'!P130+'RAP TEMPLATE-GAS AVAILABILITY'!Q130+'RAP TEMPLATE-GAS AVAILABILITY'!R130)</f>
        <v>7.1447928057553947</v>
      </c>
    </row>
    <row r="132" spans="1:29" ht="15.75" x14ac:dyDescent="0.25">
      <c r="A132" s="16">
        <v>44896</v>
      </c>
      <c r="B132" s="17">
        <f>CHOOSE(CONTROL!$C$42, 7.7039, 7.7039) * CHOOSE(CONTROL!$C$21, $C$9, 100%, $E$9)</f>
        <v>7.7039</v>
      </c>
      <c r="C132" s="17">
        <f>CHOOSE(CONTROL!$C$42, 7.709, 7.709) * CHOOSE(CONTROL!$C$21, $C$9, 100%, $E$9)</f>
        <v>7.7089999999999996</v>
      </c>
      <c r="D132" s="17">
        <f>CHOOSE(CONTROL!$C$42, 7.804, 7.804) * CHOOSE(CONTROL!$C$21, $C$9, 100%, $E$9)</f>
        <v>7.8040000000000003</v>
      </c>
      <c r="E132" s="17">
        <f>CHOOSE(CONTROL!$C$42, 7.8382, 7.8382) * CHOOSE(CONTROL!$C$21, $C$9, 100%, $E$9)</f>
        <v>7.8381999999999996</v>
      </c>
      <c r="F132" s="17">
        <f>CHOOSE(CONTROL!$C$42, 7.7302, 7.7302)*CHOOSE(CONTROL!$C$21, $C$9, 100%, $E$9)</f>
        <v>7.7302</v>
      </c>
      <c r="G132" s="17">
        <f>CHOOSE(CONTROL!$C$42, 7.7479, 7.7479)*CHOOSE(CONTROL!$C$21, $C$9, 100%, $E$9)</f>
        <v>7.7478999999999996</v>
      </c>
      <c r="H132" s="17">
        <f>CHOOSE(CONTROL!$C$42, 7.8273, 7.8273) * CHOOSE(CONTROL!$C$21, $C$9, 100%, $E$9)</f>
        <v>7.8273000000000001</v>
      </c>
      <c r="I132" s="17">
        <f>CHOOSE(CONTROL!$C$42, 7.748, 7.748)* CHOOSE(CONTROL!$C$21, $C$9, 100%, $E$9)</f>
        <v>7.7480000000000002</v>
      </c>
      <c r="J132" s="17">
        <f>CHOOSE(CONTROL!$C$42, 7.7232, 7.7232)* CHOOSE(CONTROL!$C$21, $C$9, 100%, $E$9)</f>
        <v>7.7232000000000003</v>
      </c>
      <c r="K132" s="52">
        <f>CHOOSE(CONTROL!$C$42, 7.7438, 7.7438) * CHOOSE(CONTROL!$C$21, $C$9, 100%, $E$9)</f>
        <v>7.7438000000000002</v>
      </c>
      <c r="L132" s="17">
        <f>CHOOSE(CONTROL!$C$42, 8.4143, 8.4143) * CHOOSE(CONTROL!$C$21, $C$9, 100%, $E$9)</f>
        <v>8.4143000000000008</v>
      </c>
      <c r="M132" s="17">
        <f>CHOOSE(CONTROL!$C$42, 7.592, 7.592) * CHOOSE(CONTROL!$C$21, $C$9, 100%, $E$9)</f>
        <v>7.5919999999999996</v>
      </c>
      <c r="N132" s="17">
        <f>CHOOSE(CONTROL!$C$42, 7.6093, 7.6093) * CHOOSE(CONTROL!$C$21, $C$9, 100%, $E$9)</f>
        <v>7.6093000000000002</v>
      </c>
      <c r="O132" s="17">
        <f>CHOOSE(CONTROL!$C$42, 7.6943, 7.6943) * CHOOSE(CONTROL!$C$21, $C$9, 100%, $E$9)</f>
        <v>7.6943000000000001</v>
      </c>
      <c r="P132" s="17">
        <f>CHOOSE(CONTROL!$C$42, 7.616, 7.616) * CHOOSE(CONTROL!$C$21, $C$9, 100%, $E$9)</f>
        <v>7.6159999999999997</v>
      </c>
      <c r="Q132" s="17">
        <f>CHOOSE(CONTROL!$C$42, 8.289, 8.289) * CHOOSE(CONTROL!$C$21, $C$9, 100%, $E$9)</f>
        <v>8.2889999999999997</v>
      </c>
      <c r="R132" s="17">
        <f>CHOOSE(CONTROL!$C$42, 8.8967, 8.8967) * CHOOSE(CONTROL!$C$21, $C$9, 100%, $E$9)</f>
        <v>8.8966999999999992</v>
      </c>
      <c r="S132" s="17">
        <f>CHOOSE(CONTROL!$C$42, 7.3942, 7.3942) * CHOOSE(CONTROL!$C$21, $C$9, 100%, $E$9)</f>
        <v>7.3941999999999997</v>
      </c>
      <c r="T13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32" s="56">
        <f>(1000*CHOOSE(CONTROL!$C$42, 695, 695)*CHOOSE(CONTROL!$C$42, 0.5599, 0.5599)*CHOOSE(CONTROL!$C$42, 31, 31))/1000000</f>
        <v>12.063045499999998</v>
      </c>
      <c r="V132" s="56">
        <f>(1000*CHOOSE(CONTROL!$C$42, 500, 500)*CHOOSE(CONTROL!$C$42, 0.275, 0.275)*CHOOSE(CONTROL!$C$42, 31, 31))/1000000</f>
        <v>4.2625000000000002</v>
      </c>
      <c r="W132" s="56">
        <f>(1000*CHOOSE(CONTROL!$C$42, 0.1146, 0.1146)*CHOOSE(CONTROL!$C$42, 121.5, 121.5)*CHOOSE(CONTROL!$C$42, 31, 31))/1000000</f>
        <v>0.43164089999999994</v>
      </c>
      <c r="X132" s="56">
        <f>(31*0.2374*100000/1000000)</f>
        <v>0.73594000000000004</v>
      </c>
      <c r="Y132" s="56"/>
      <c r="Z132" s="17"/>
      <c r="AA132" s="55"/>
      <c r="AB132" s="48">
        <f>(B132*122.58+C132*297.941+D132*89.177+E132*140.302+F132*40+G132*60+H132*0+I132*100+J132*300)/(122.58+297.941+89.177+140.302+0+40+60+100+300)</f>
        <v>7.7414484133913044</v>
      </c>
      <c r="AC132" s="45">
        <f>(M132*'RAP TEMPLATE-GAS AVAILABILITY'!O131+N132*'RAP TEMPLATE-GAS AVAILABILITY'!P131+O132*'RAP TEMPLATE-GAS AVAILABILITY'!Q131+P132*'RAP TEMPLATE-GAS AVAILABILITY'!R131)/('RAP TEMPLATE-GAS AVAILABILITY'!O131+'RAP TEMPLATE-GAS AVAILABILITY'!P131+'RAP TEMPLATE-GAS AVAILABILITY'!Q131+'RAP TEMPLATE-GAS AVAILABILITY'!R131)</f>
        <v>7.6428151079136679</v>
      </c>
    </row>
    <row r="133" spans="1:29" ht="15.75" x14ac:dyDescent="0.25">
      <c r="A133" s="16">
        <v>44927</v>
      </c>
      <c r="B133" s="17">
        <f>CHOOSE(CONTROL!$C$42, 8.5009, 8.5009) * CHOOSE(CONTROL!$C$21, $C$9, 100%, $E$9)</f>
        <v>8.5008999999999997</v>
      </c>
      <c r="C133" s="17">
        <f>CHOOSE(CONTROL!$C$42, 8.506, 8.506) * CHOOSE(CONTROL!$C$21, $C$9, 100%, $E$9)</f>
        <v>8.5060000000000002</v>
      </c>
      <c r="D133" s="17">
        <f>CHOOSE(CONTROL!$C$42, 8.6244, 8.6244) * CHOOSE(CONTROL!$C$21, $C$9, 100%, $E$9)</f>
        <v>8.6243999999999996</v>
      </c>
      <c r="E133" s="17">
        <f>CHOOSE(CONTROL!$C$42, 8.6585, 8.6585) * CHOOSE(CONTROL!$C$21, $C$9, 100%, $E$9)</f>
        <v>8.6585000000000001</v>
      </c>
      <c r="F133" s="17">
        <f>CHOOSE(CONTROL!$C$42, 8.5213, 8.5213)*CHOOSE(CONTROL!$C$21, $C$9, 100%, $E$9)</f>
        <v>8.5213000000000001</v>
      </c>
      <c r="G133" s="17">
        <f>CHOOSE(CONTROL!$C$42, 8.5381, 8.5381)*CHOOSE(CONTROL!$C$21, $C$9, 100%, $E$9)</f>
        <v>8.5381</v>
      </c>
      <c r="H133" s="17">
        <f>CHOOSE(CONTROL!$C$42, 8.6477, 8.6477) * CHOOSE(CONTROL!$C$21, $C$9, 100%, $E$9)</f>
        <v>8.6477000000000004</v>
      </c>
      <c r="I133" s="17">
        <f>CHOOSE(CONTROL!$C$42, 8.5512, 8.5512)* CHOOSE(CONTROL!$C$21, $C$9, 100%, $E$9)</f>
        <v>8.5511999999999997</v>
      </c>
      <c r="J133" s="17">
        <f>CHOOSE(CONTROL!$C$42, 8.5143, 8.5143)* CHOOSE(CONTROL!$C$21, $C$9, 100%, $E$9)</f>
        <v>8.5143000000000004</v>
      </c>
      <c r="K133" s="52">
        <f>CHOOSE(CONTROL!$C$42, 8.5469, 8.5469) * CHOOSE(CONTROL!$C$21, $C$9, 100%, $E$9)</f>
        <v>8.5469000000000008</v>
      </c>
      <c r="L133" s="17">
        <f>CHOOSE(CONTROL!$C$42, 9.2347, 9.2347) * CHOOSE(CONTROL!$C$21, $C$9, 100%, $E$9)</f>
        <v>9.2347000000000001</v>
      </c>
      <c r="M133" s="17">
        <f>CHOOSE(CONTROL!$C$42, 8.3689, 8.3689) * CHOOSE(CONTROL!$C$21, $C$9, 100%, $E$9)</f>
        <v>8.3689</v>
      </c>
      <c r="N133" s="17">
        <f>CHOOSE(CONTROL!$C$42, 8.3854, 8.3854) * CHOOSE(CONTROL!$C$21, $C$9, 100%, $E$9)</f>
        <v>8.3854000000000006</v>
      </c>
      <c r="O133" s="17">
        <f>CHOOSE(CONTROL!$C$42, 8.4999, 8.4999) * CHOOSE(CONTROL!$C$21, $C$9, 100%, $E$9)</f>
        <v>8.4999000000000002</v>
      </c>
      <c r="P133" s="17">
        <f>CHOOSE(CONTROL!$C$42, 8.4046, 8.4046) * CHOOSE(CONTROL!$C$21, $C$9, 100%, $E$9)</f>
        <v>8.4046000000000003</v>
      </c>
      <c r="Q133" s="17">
        <f>CHOOSE(CONTROL!$C$42, 9.0946, 9.0946) * CHOOSE(CONTROL!$C$21, $C$9, 100%, $E$9)</f>
        <v>9.0945999999999998</v>
      </c>
      <c r="R133" s="17">
        <f>CHOOSE(CONTROL!$C$42, 9.7043, 9.7043) * CHOOSE(CONTROL!$C$21, $C$9, 100%, $E$9)</f>
        <v>9.7042999999999999</v>
      </c>
      <c r="S133" s="17">
        <f>CHOOSE(CONTROL!$C$42, 8.16, 8.16) * CHOOSE(CONTROL!$C$21, $C$9, 100%, $E$9)</f>
        <v>8.16</v>
      </c>
      <c r="T13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33" s="56">
        <f>(1000*CHOOSE(CONTROL!$C$42, 695, 695)*CHOOSE(CONTROL!$C$42, 0.5599, 0.5599)*CHOOSE(CONTROL!$C$42, 31, 31))/1000000</f>
        <v>12.063045499999998</v>
      </c>
      <c r="V133" s="56">
        <f>(1000*CHOOSE(CONTROL!$C$42, 500, 500)*CHOOSE(CONTROL!$C$42, 0.275, 0.275)*CHOOSE(CONTROL!$C$42, 31, 31))/1000000</f>
        <v>4.2625000000000002</v>
      </c>
      <c r="W133" s="56">
        <f>(1000*CHOOSE(CONTROL!$C$42, 0.1146, 0.1146)*CHOOSE(CONTROL!$C$42, 121.5, 121.5)*CHOOSE(CONTROL!$C$42, 31, 31))/1000000</f>
        <v>0.43164089999999994</v>
      </c>
      <c r="X133" s="56">
        <f>(31*0.2374*100000/1000000)</f>
        <v>0.73594000000000004</v>
      </c>
      <c r="Y133" s="56"/>
      <c r="Z133" s="17"/>
      <c r="AA133" s="55"/>
      <c r="AB133" s="48">
        <f>(B133*122.58+C133*297.941+D133*89.177+E133*140.302+F133*40+G133*60+H133*0+I133*100+J133*300)/(122.58+297.941+89.177+140.302+0+40+60+100+300)</f>
        <v>8.5415456120000002</v>
      </c>
      <c r="AC133" s="45">
        <f>(M133*'RAP TEMPLATE-GAS AVAILABILITY'!O132+N133*'RAP TEMPLATE-GAS AVAILABILITY'!P132+O133*'RAP TEMPLATE-GAS AVAILABILITY'!Q132+P133*'RAP TEMPLATE-GAS AVAILABILITY'!R132)/('RAP TEMPLATE-GAS AVAILABILITY'!O132+'RAP TEMPLATE-GAS AVAILABILITY'!P132+'RAP TEMPLATE-GAS AVAILABILITY'!Q132+'RAP TEMPLATE-GAS AVAILABILITY'!R132)</f>
        <v>8.4343604316546763</v>
      </c>
    </row>
    <row r="134" spans="1:29" ht="15.75" x14ac:dyDescent="0.25">
      <c r="A134" s="16">
        <v>44958</v>
      </c>
      <c r="B134" s="17">
        <f>CHOOSE(CONTROL!$C$42, 8.6699, 8.6699) * CHOOSE(CONTROL!$C$21, $C$9, 100%, $E$9)</f>
        <v>8.6699000000000002</v>
      </c>
      <c r="C134" s="17">
        <f>CHOOSE(CONTROL!$C$42, 8.6749, 8.6749) * CHOOSE(CONTROL!$C$21, $C$9, 100%, $E$9)</f>
        <v>8.6748999999999992</v>
      </c>
      <c r="D134" s="17">
        <f>CHOOSE(CONTROL!$C$42, 8.7934, 8.7934) * CHOOSE(CONTROL!$C$21, $C$9, 100%, $E$9)</f>
        <v>8.7934000000000001</v>
      </c>
      <c r="E134" s="17">
        <f>CHOOSE(CONTROL!$C$42, 8.8275, 8.8275) * CHOOSE(CONTROL!$C$21, $C$9, 100%, $E$9)</f>
        <v>8.8275000000000006</v>
      </c>
      <c r="F134" s="17">
        <f>CHOOSE(CONTROL!$C$42, 8.6903, 8.6903)*CHOOSE(CONTROL!$C$21, $C$9, 100%, $E$9)</f>
        <v>8.6903000000000006</v>
      </c>
      <c r="G134" s="17">
        <f>CHOOSE(CONTROL!$C$42, 8.7071, 8.7071)*CHOOSE(CONTROL!$C$21, $C$9, 100%, $E$9)</f>
        <v>8.7071000000000005</v>
      </c>
      <c r="H134" s="17">
        <f>CHOOSE(CONTROL!$C$42, 8.8167, 8.8167) * CHOOSE(CONTROL!$C$21, $C$9, 100%, $E$9)</f>
        <v>8.8167000000000009</v>
      </c>
      <c r="I134" s="17">
        <f>CHOOSE(CONTROL!$C$42, 8.7206, 8.7206)* CHOOSE(CONTROL!$C$21, $C$9, 100%, $E$9)</f>
        <v>8.7205999999999992</v>
      </c>
      <c r="J134" s="17">
        <f>CHOOSE(CONTROL!$C$42, 8.6833, 8.6833)* CHOOSE(CONTROL!$C$21, $C$9, 100%, $E$9)</f>
        <v>8.6832999999999991</v>
      </c>
      <c r="K134" s="52">
        <f>CHOOSE(CONTROL!$C$42, 8.7164, 8.7164) * CHOOSE(CONTROL!$C$21, $C$9, 100%, $E$9)</f>
        <v>8.7164000000000001</v>
      </c>
      <c r="L134" s="17">
        <f>CHOOSE(CONTROL!$C$42, 9.4037, 9.4037) * CHOOSE(CONTROL!$C$21, $C$9, 100%, $E$9)</f>
        <v>9.4037000000000006</v>
      </c>
      <c r="M134" s="17">
        <f>CHOOSE(CONTROL!$C$42, 8.5348, 8.5348) * CHOOSE(CONTROL!$C$21, $C$9, 100%, $E$9)</f>
        <v>8.5348000000000006</v>
      </c>
      <c r="N134" s="17">
        <f>CHOOSE(CONTROL!$C$42, 8.5513, 8.5513) * CHOOSE(CONTROL!$C$21, $C$9, 100%, $E$9)</f>
        <v>8.5512999999999995</v>
      </c>
      <c r="O134" s="17">
        <f>CHOOSE(CONTROL!$C$42, 8.6658, 8.6658) * CHOOSE(CONTROL!$C$21, $C$9, 100%, $E$9)</f>
        <v>8.6658000000000008</v>
      </c>
      <c r="P134" s="17">
        <f>CHOOSE(CONTROL!$C$42, 8.5711, 8.5711) * CHOOSE(CONTROL!$C$21, $C$9, 100%, $E$9)</f>
        <v>8.5710999999999995</v>
      </c>
      <c r="Q134" s="17">
        <f>CHOOSE(CONTROL!$C$42, 9.2605, 9.2605) * CHOOSE(CONTROL!$C$21, $C$9, 100%, $E$9)</f>
        <v>9.2605000000000004</v>
      </c>
      <c r="R134" s="17">
        <f>CHOOSE(CONTROL!$C$42, 9.8707, 9.8707) * CHOOSE(CONTROL!$C$21, $C$9, 100%, $E$9)</f>
        <v>9.8706999999999994</v>
      </c>
      <c r="S134" s="17">
        <f>CHOOSE(CONTROL!$C$42, 8.3223, 8.3223) * CHOOSE(CONTROL!$C$21, $C$9, 100%, $E$9)</f>
        <v>8.3223000000000003</v>
      </c>
      <c r="T13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34" s="56">
        <f>(1000*CHOOSE(CONTROL!$C$42, 695, 695)*CHOOSE(CONTROL!$C$42, 0.5599, 0.5599)*CHOOSE(CONTROL!$C$42, 28, 28))/1000000</f>
        <v>10.895653999999999</v>
      </c>
      <c r="V134" s="56">
        <f>(1000*CHOOSE(CONTROL!$C$42, 500, 500)*CHOOSE(CONTROL!$C$42, 0.275, 0.275)*CHOOSE(CONTROL!$C$42, 28, 28))/1000000</f>
        <v>3.85</v>
      </c>
      <c r="W134" s="56">
        <f>(1000*CHOOSE(CONTROL!$C$42, 0.1146, 0.1146)*CHOOSE(CONTROL!$C$42, 121.5, 121.5)*CHOOSE(CONTROL!$C$42, 28, 28))/1000000</f>
        <v>0.38986920000000003</v>
      </c>
      <c r="X134" s="56">
        <f>(28*0.2374*100000/1000000)</f>
        <v>0.66471999999999998</v>
      </c>
      <c r="Y134" s="56"/>
      <c r="Z134" s="17"/>
      <c r="AA134" s="55"/>
      <c r="AB134" s="48">
        <f>(B134*122.58+C134*297.941+D134*89.177+E134*140.302+F134*40+G134*60+H134*0+I134*100+J134*300)/(122.58+297.941+89.177+140.302+0+40+60+100+300)</f>
        <v>8.7105544866956528</v>
      </c>
      <c r="AC134" s="45">
        <f>(M134*'RAP TEMPLATE-GAS AVAILABILITY'!O133+N134*'RAP TEMPLATE-GAS AVAILABILITY'!P133+O134*'RAP TEMPLATE-GAS AVAILABILITY'!Q133+P134*'RAP TEMPLATE-GAS AVAILABILITY'!R133)/('RAP TEMPLATE-GAS AVAILABILITY'!O133+'RAP TEMPLATE-GAS AVAILABILITY'!P133+'RAP TEMPLATE-GAS AVAILABILITY'!Q133+'RAP TEMPLATE-GAS AVAILABILITY'!R133)</f>
        <v>8.600346762589929</v>
      </c>
    </row>
    <row r="135" spans="1:29" ht="15.75" x14ac:dyDescent="0.25">
      <c r="A135" s="16">
        <v>44986</v>
      </c>
      <c r="B135" s="17">
        <f>CHOOSE(CONTROL!$C$42, 8.4413, 8.4413) * CHOOSE(CONTROL!$C$21, $C$9, 100%, $E$9)</f>
        <v>8.4413</v>
      </c>
      <c r="C135" s="17">
        <f>CHOOSE(CONTROL!$C$42, 8.4464, 8.4464) * CHOOSE(CONTROL!$C$21, $C$9, 100%, $E$9)</f>
        <v>8.4464000000000006</v>
      </c>
      <c r="D135" s="17">
        <f>CHOOSE(CONTROL!$C$42, 8.5649, 8.5649) * CHOOSE(CONTROL!$C$21, $C$9, 100%, $E$9)</f>
        <v>8.5648999999999997</v>
      </c>
      <c r="E135" s="17">
        <f>CHOOSE(CONTROL!$C$42, 8.599, 8.599) * CHOOSE(CONTROL!$C$21, $C$9, 100%, $E$9)</f>
        <v>8.5990000000000002</v>
      </c>
      <c r="F135" s="17">
        <f>CHOOSE(CONTROL!$C$42, 8.461, 8.461)*CHOOSE(CONTROL!$C$21, $C$9, 100%, $E$9)</f>
        <v>8.4610000000000003</v>
      </c>
      <c r="G135" s="17">
        <f>CHOOSE(CONTROL!$C$42, 8.4777, 8.4777)*CHOOSE(CONTROL!$C$21, $C$9, 100%, $E$9)</f>
        <v>8.4777000000000005</v>
      </c>
      <c r="H135" s="17">
        <f>CHOOSE(CONTROL!$C$42, 8.5882, 8.5882) * CHOOSE(CONTROL!$C$21, $C$9, 100%, $E$9)</f>
        <v>8.5882000000000005</v>
      </c>
      <c r="I135" s="17">
        <f>CHOOSE(CONTROL!$C$42, 8.4914, 8.4914)* CHOOSE(CONTROL!$C$21, $C$9, 100%, $E$9)</f>
        <v>8.4914000000000005</v>
      </c>
      <c r="J135" s="17">
        <f>CHOOSE(CONTROL!$C$42, 8.454, 8.454)* CHOOSE(CONTROL!$C$21, $C$9, 100%, $E$9)</f>
        <v>8.4540000000000006</v>
      </c>
      <c r="K135" s="52">
        <f>CHOOSE(CONTROL!$C$42, 8.4872, 8.4872) * CHOOSE(CONTROL!$C$21, $C$9, 100%, $E$9)</f>
        <v>8.4871999999999996</v>
      </c>
      <c r="L135" s="17">
        <f>CHOOSE(CONTROL!$C$42, 9.1752, 9.1752) * CHOOSE(CONTROL!$C$21, $C$9, 100%, $E$9)</f>
        <v>9.1752000000000002</v>
      </c>
      <c r="M135" s="17">
        <f>CHOOSE(CONTROL!$C$42, 8.3097, 8.3097) * CHOOSE(CONTROL!$C$21, $C$9, 100%, $E$9)</f>
        <v>8.3096999999999994</v>
      </c>
      <c r="N135" s="17">
        <f>CHOOSE(CONTROL!$C$42, 8.326, 8.326) * CHOOSE(CONTROL!$C$21, $C$9, 100%, $E$9)</f>
        <v>8.3260000000000005</v>
      </c>
      <c r="O135" s="17">
        <f>CHOOSE(CONTROL!$C$42, 8.4414, 8.4414) * CHOOSE(CONTROL!$C$21, $C$9, 100%, $E$9)</f>
        <v>8.4413999999999998</v>
      </c>
      <c r="P135" s="17">
        <f>CHOOSE(CONTROL!$C$42, 8.346, 8.346) * CHOOSE(CONTROL!$C$21, $C$9, 100%, $E$9)</f>
        <v>8.3460000000000001</v>
      </c>
      <c r="Q135" s="17">
        <f>CHOOSE(CONTROL!$C$42, 9.0361, 9.0361) * CHOOSE(CONTROL!$C$21, $C$9, 100%, $E$9)</f>
        <v>9.0360999999999994</v>
      </c>
      <c r="R135" s="17">
        <f>CHOOSE(CONTROL!$C$42, 9.6457, 9.6457) * CHOOSE(CONTROL!$C$21, $C$9, 100%, $E$9)</f>
        <v>9.6456999999999997</v>
      </c>
      <c r="S135" s="17">
        <f>CHOOSE(CONTROL!$C$42, 8.1027, 8.1027) * CHOOSE(CONTROL!$C$21, $C$9, 100%, $E$9)</f>
        <v>8.1027000000000005</v>
      </c>
      <c r="T13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35" s="56">
        <f>(1000*CHOOSE(CONTROL!$C$42, 695, 695)*CHOOSE(CONTROL!$C$42, 0.5599, 0.5599)*CHOOSE(CONTROL!$C$42, 31, 31))/1000000</f>
        <v>12.063045499999998</v>
      </c>
      <c r="V135" s="56">
        <f>(1000*CHOOSE(CONTROL!$C$42, 500, 500)*CHOOSE(CONTROL!$C$42, 0.275, 0.275)*CHOOSE(CONTROL!$C$42, 31, 31))/1000000</f>
        <v>4.2625000000000002</v>
      </c>
      <c r="W135" s="56">
        <f>(1000*CHOOSE(CONTROL!$C$42, 0.1146, 0.1146)*CHOOSE(CONTROL!$C$42, 121.5, 121.5)*CHOOSE(CONTROL!$C$42, 31, 31))/1000000</f>
        <v>0.43164089999999994</v>
      </c>
      <c r="X135" s="56">
        <f>(31*0.2374*100000/1000000)</f>
        <v>0.73594000000000004</v>
      </c>
      <c r="Y135" s="56"/>
      <c r="Z135" s="17"/>
      <c r="AA135" s="55"/>
      <c r="AB135" s="48">
        <f>(B135*122.58+C135*297.941+D135*89.177+E135*140.302+F135*40+G135*60+H135*0+I135*100+J135*300)/(122.58+297.941+89.177+140.302+0+40+60+100+300)</f>
        <v>8.481699479739131</v>
      </c>
      <c r="AC135" s="45">
        <f>(M135*'RAP TEMPLATE-GAS AVAILABILITY'!O134+N135*'RAP TEMPLATE-GAS AVAILABILITY'!P134+O135*'RAP TEMPLATE-GAS AVAILABILITY'!Q134+P135*'RAP TEMPLATE-GAS AVAILABILITY'!R134)/('RAP TEMPLATE-GAS AVAILABILITY'!O134+'RAP TEMPLATE-GAS AVAILABILITY'!P134+'RAP TEMPLATE-GAS AVAILABILITY'!Q134+'RAP TEMPLATE-GAS AVAILABILITY'!R134)</f>
        <v>8.3755525179856107</v>
      </c>
    </row>
    <row r="136" spans="1:29" ht="15.75" x14ac:dyDescent="0.25">
      <c r="A136" s="16">
        <v>45017</v>
      </c>
      <c r="B136" s="17">
        <f>CHOOSE(CONTROL!$C$42, 8.4344, 8.4344) * CHOOSE(CONTROL!$C$21, $C$9, 100%, $E$9)</f>
        <v>8.4344000000000001</v>
      </c>
      <c r="C136" s="17">
        <f>CHOOSE(CONTROL!$C$42, 8.4389, 8.4389) * CHOOSE(CONTROL!$C$21, $C$9, 100%, $E$9)</f>
        <v>8.4389000000000003</v>
      </c>
      <c r="D136" s="17">
        <f>CHOOSE(CONTROL!$C$42, 8.7131, 8.7131) * CHOOSE(CONTROL!$C$21, $C$9, 100%, $E$9)</f>
        <v>8.7131000000000007</v>
      </c>
      <c r="E136" s="17">
        <f>CHOOSE(CONTROL!$C$42, 8.7452, 8.7452) * CHOOSE(CONTROL!$C$21, $C$9, 100%, $E$9)</f>
        <v>8.7452000000000005</v>
      </c>
      <c r="F136" s="17">
        <f>CHOOSE(CONTROL!$C$42, 8.4537, 8.4537)*CHOOSE(CONTROL!$C$21, $C$9, 100%, $E$9)</f>
        <v>8.4536999999999995</v>
      </c>
      <c r="G136" s="17">
        <f>CHOOSE(CONTROL!$C$42, 8.4701, 8.4701)*CHOOSE(CONTROL!$C$21, $C$9, 100%, $E$9)</f>
        <v>8.4701000000000004</v>
      </c>
      <c r="H136" s="17">
        <f>CHOOSE(CONTROL!$C$42, 8.735, 8.735) * CHOOSE(CONTROL!$C$21, $C$9, 100%, $E$9)</f>
        <v>8.7349999999999994</v>
      </c>
      <c r="I136" s="17">
        <f>CHOOSE(CONTROL!$C$42, 8.4821, 8.4821)* CHOOSE(CONTROL!$C$21, $C$9, 100%, $E$9)</f>
        <v>8.4821000000000009</v>
      </c>
      <c r="J136" s="17">
        <f>CHOOSE(CONTROL!$C$42, 8.4467, 8.4467)* CHOOSE(CONTROL!$C$21, $C$9, 100%, $E$9)</f>
        <v>8.4466999999999999</v>
      </c>
      <c r="K136" s="52">
        <f>CHOOSE(CONTROL!$C$42, 8.4779, 8.4779) * CHOOSE(CONTROL!$C$21, $C$9, 100%, $E$9)</f>
        <v>8.4779</v>
      </c>
      <c r="L136" s="17">
        <f>CHOOSE(CONTROL!$C$42, 9.322, 9.322) * CHOOSE(CONTROL!$C$21, $C$9, 100%, $E$9)</f>
        <v>9.3219999999999992</v>
      </c>
      <c r="M136" s="17">
        <f>CHOOSE(CONTROL!$C$42, 8.3025, 8.3025) * CHOOSE(CONTROL!$C$21, $C$9, 100%, $E$9)</f>
        <v>8.3025000000000002</v>
      </c>
      <c r="N136" s="17">
        <f>CHOOSE(CONTROL!$C$42, 8.3185, 8.3185) * CHOOSE(CONTROL!$C$21, $C$9, 100%, $E$9)</f>
        <v>8.3185000000000002</v>
      </c>
      <c r="O136" s="17">
        <f>CHOOSE(CONTROL!$C$42, 8.5856, 8.5856) * CHOOSE(CONTROL!$C$21, $C$9, 100%, $E$9)</f>
        <v>8.5855999999999995</v>
      </c>
      <c r="P136" s="17">
        <f>CHOOSE(CONTROL!$C$42, 8.3368, 8.3368) * CHOOSE(CONTROL!$C$21, $C$9, 100%, $E$9)</f>
        <v>8.3368000000000002</v>
      </c>
      <c r="Q136" s="17">
        <f>CHOOSE(CONTROL!$C$42, 9.1803, 9.1803) * CHOOSE(CONTROL!$C$21, $C$9, 100%, $E$9)</f>
        <v>9.1803000000000008</v>
      </c>
      <c r="R136" s="17">
        <f>CHOOSE(CONTROL!$C$42, 9.7902, 9.7902) * CHOOSE(CONTROL!$C$21, $C$9, 100%, $E$9)</f>
        <v>9.7902000000000005</v>
      </c>
      <c r="S136" s="17">
        <f>CHOOSE(CONTROL!$C$42, 8.0953, 8.0953) * CHOOSE(CONTROL!$C$21, $C$9, 100%, $E$9)</f>
        <v>8.0952999999999999</v>
      </c>
      <c r="T13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36" s="56">
        <f>(1000*CHOOSE(CONTROL!$C$42, 695, 695)*CHOOSE(CONTROL!$C$42, 0.5599, 0.5599)*CHOOSE(CONTROL!$C$42, 30, 30))/1000000</f>
        <v>11.673914999999997</v>
      </c>
      <c r="V136" s="56">
        <f>(1000*CHOOSE(CONTROL!$C$42, 500, 500)*CHOOSE(CONTROL!$C$42, 0.275, 0.275)*CHOOSE(CONTROL!$C$42, 30, 30))/1000000</f>
        <v>4.125</v>
      </c>
      <c r="W136" s="56">
        <f>(1000*CHOOSE(CONTROL!$C$42, 0.1146, 0.1146)*CHOOSE(CONTROL!$C$42, 121.5, 121.5)*CHOOSE(CONTROL!$C$42, 30, 30))/1000000</f>
        <v>0.417717</v>
      </c>
      <c r="X136" s="56">
        <f>(30*0.1790888*145000/1000000)+(30*0.2374*100000/1000000)</f>
        <v>1.4912362799999999</v>
      </c>
      <c r="Y136" s="56"/>
      <c r="Z136" s="17"/>
      <c r="AA136" s="55"/>
      <c r="AB136" s="48">
        <f>(B136*141.293+C136*267.993+D136*115.016+E136*189.698+F136*40+G136*85+H136*0+I136*100+J136*300)/(141.293+267.993+115.016+189.698+0+40+85+100+300)</f>
        <v>8.5187305618240501</v>
      </c>
      <c r="AC136" s="45">
        <f>(M136*'RAP TEMPLATE-GAS AVAILABILITY'!O135+N136*'RAP TEMPLATE-GAS AVAILABILITY'!P135+O136*'RAP TEMPLATE-GAS AVAILABILITY'!Q135+P136*'RAP TEMPLATE-GAS AVAILABILITY'!R135)/('RAP TEMPLATE-GAS AVAILABILITY'!O135+'RAP TEMPLATE-GAS AVAILABILITY'!P135+'RAP TEMPLATE-GAS AVAILABILITY'!Q135+'RAP TEMPLATE-GAS AVAILABILITY'!R135)</f>
        <v>8.3905496402877713</v>
      </c>
    </row>
    <row r="137" spans="1:29" ht="15.75" x14ac:dyDescent="0.25">
      <c r="A137" s="16">
        <v>45047</v>
      </c>
      <c r="B137" s="17">
        <f>CHOOSE(CONTROL!$C$42, 8.5277, 8.5277) * CHOOSE(CONTROL!$C$21, $C$9, 100%, $E$9)</f>
        <v>8.5276999999999994</v>
      </c>
      <c r="C137" s="17">
        <f>CHOOSE(CONTROL!$C$42, 8.5357, 8.5357) * CHOOSE(CONTROL!$C$21, $C$9, 100%, $E$9)</f>
        <v>8.5357000000000003</v>
      </c>
      <c r="D137" s="17">
        <f>CHOOSE(CONTROL!$C$42, 8.8068, 8.8068) * CHOOSE(CONTROL!$C$21, $C$9, 100%, $E$9)</f>
        <v>8.8068000000000008</v>
      </c>
      <c r="E137" s="17">
        <f>CHOOSE(CONTROL!$C$42, 8.8382, 8.8382) * CHOOSE(CONTROL!$C$21, $C$9, 100%, $E$9)</f>
        <v>8.8382000000000005</v>
      </c>
      <c r="F137" s="17">
        <f>CHOOSE(CONTROL!$C$42, 8.5458, 8.5458)*CHOOSE(CONTROL!$C$21, $C$9, 100%, $E$9)</f>
        <v>8.5457999999999998</v>
      </c>
      <c r="G137" s="17">
        <f>CHOOSE(CONTROL!$C$42, 8.5625, 8.5625)*CHOOSE(CONTROL!$C$21, $C$9, 100%, $E$9)</f>
        <v>8.5625</v>
      </c>
      <c r="H137" s="17">
        <f>CHOOSE(CONTROL!$C$42, 8.8269, 8.8269) * CHOOSE(CONTROL!$C$21, $C$9, 100%, $E$9)</f>
        <v>8.8269000000000002</v>
      </c>
      <c r="I137" s="17">
        <f>CHOOSE(CONTROL!$C$42, 8.5742, 8.5742)* CHOOSE(CONTROL!$C$21, $C$9, 100%, $E$9)</f>
        <v>8.5741999999999994</v>
      </c>
      <c r="J137" s="17">
        <f>CHOOSE(CONTROL!$C$42, 8.5388, 8.5388)* CHOOSE(CONTROL!$C$21, $C$9, 100%, $E$9)</f>
        <v>8.5388000000000002</v>
      </c>
      <c r="K137" s="52">
        <f>CHOOSE(CONTROL!$C$42, 8.57, 8.57) * CHOOSE(CONTROL!$C$21, $C$9, 100%, $E$9)</f>
        <v>8.57</v>
      </c>
      <c r="L137" s="17">
        <f>CHOOSE(CONTROL!$C$42, 9.4139, 9.4139) * CHOOSE(CONTROL!$C$21, $C$9, 100%, $E$9)</f>
        <v>9.4138999999999999</v>
      </c>
      <c r="M137" s="17">
        <f>CHOOSE(CONTROL!$C$42, 8.3929, 8.3929) * CHOOSE(CONTROL!$C$21, $C$9, 100%, $E$9)</f>
        <v>8.3928999999999991</v>
      </c>
      <c r="N137" s="17">
        <f>CHOOSE(CONTROL!$C$42, 8.4093, 8.4093) * CHOOSE(CONTROL!$C$21, $C$9, 100%, $E$9)</f>
        <v>8.4093</v>
      </c>
      <c r="O137" s="17">
        <f>CHOOSE(CONTROL!$C$42, 8.6758, 8.6758) * CHOOSE(CONTROL!$C$21, $C$9, 100%, $E$9)</f>
        <v>8.6758000000000006</v>
      </c>
      <c r="P137" s="17">
        <f>CHOOSE(CONTROL!$C$42, 8.4273, 8.4273) * CHOOSE(CONTROL!$C$21, $C$9, 100%, $E$9)</f>
        <v>8.4273000000000007</v>
      </c>
      <c r="Q137" s="17">
        <f>CHOOSE(CONTROL!$C$42, 9.2705, 9.2705) * CHOOSE(CONTROL!$C$21, $C$9, 100%, $E$9)</f>
        <v>9.2705000000000002</v>
      </c>
      <c r="R137" s="17">
        <f>CHOOSE(CONTROL!$C$42, 9.8807, 9.8807) * CHOOSE(CONTROL!$C$21, $C$9, 100%, $E$9)</f>
        <v>9.8806999999999992</v>
      </c>
      <c r="S137" s="17">
        <f>CHOOSE(CONTROL!$C$42, 8.1836, 8.1836) * CHOOSE(CONTROL!$C$21, $C$9, 100%, $E$9)</f>
        <v>8.1836000000000002</v>
      </c>
      <c r="T13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37" s="56">
        <f>(1000*CHOOSE(CONTROL!$C$42, 695, 695)*CHOOSE(CONTROL!$C$42, 0.5599, 0.5599)*CHOOSE(CONTROL!$C$42, 31, 31))/1000000</f>
        <v>12.063045499999998</v>
      </c>
      <c r="V137" s="56">
        <f>(1000*CHOOSE(CONTROL!$C$42, 500, 500)*CHOOSE(CONTROL!$C$42, 0.275, 0.275)*CHOOSE(CONTROL!$C$42, 31, 31))/1000000</f>
        <v>4.2625000000000002</v>
      </c>
      <c r="W137" s="56">
        <f>(1000*CHOOSE(CONTROL!$C$42, 0.1146, 0.1146)*CHOOSE(CONTROL!$C$42, 121.5, 121.5)*CHOOSE(CONTROL!$C$42, 31, 31))/1000000</f>
        <v>0.43164089999999994</v>
      </c>
      <c r="X137" s="56">
        <f>(31*0.1790888*145000/1000000)+(31*0.2374*100000/1000000)</f>
        <v>1.5409441560000001</v>
      </c>
      <c r="Y137" s="56"/>
      <c r="Z137" s="17"/>
      <c r="AA137" s="55"/>
      <c r="AB137" s="48">
        <f>(B137*194.205+C137*267.466+D137*133.845+E137*153.484+F137*40+G137*85+H137*0+I137*100+J137*300)/(194.205+267.466+133.845+153.484+0+40+85+100+300)</f>
        <v>8.6052625192307701</v>
      </c>
      <c r="AC137" s="45">
        <f>(M137*'RAP TEMPLATE-GAS AVAILABILITY'!O136+N137*'RAP TEMPLATE-GAS AVAILABILITY'!P136+O137*'RAP TEMPLATE-GAS AVAILABILITY'!Q136+P137*'RAP TEMPLATE-GAS AVAILABILITY'!R136)/('RAP TEMPLATE-GAS AVAILABILITY'!O136+'RAP TEMPLATE-GAS AVAILABILITY'!P136+'RAP TEMPLATE-GAS AVAILABILITY'!Q136+'RAP TEMPLATE-GAS AVAILABILITY'!R136)</f>
        <v>8.4809999999999999</v>
      </c>
    </row>
    <row r="138" spans="1:29" ht="15.75" x14ac:dyDescent="0.25">
      <c r="A138" s="16">
        <v>45078</v>
      </c>
      <c r="B138" s="17">
        <f>CHOOSE(CONTROL!$C$42, 8.7873, 8.7873) * CHOOSE(CONTROL!$C$21, $C$9, 100%, $E$9)</f>
        <v>8.7873000000000001</v>
      </c>
      <c r="C138" s="17">
        <f>CHOOSE(CONTROL!$C$42, 8.7953, 8.7953) * CHOOSE(CONTROL!$C$21, $C$9, 100%, $E$9)</f>
        <v>8.7952999999999992</v>
      </c>
      <c r="D138" s="17">
        <f>CHOOSE(CONTROL!$C$42, 9.0664, 9.0664) * CHOOSE(CONTROL!$C$21, $C$9, 100%, $E$9)</f>
        <v>9.0663999999999998</v>
      </c>
      <c r="E138" s="17">
        <f>CHOOSE(CONTROL!$C$42, 9.0978, 9.0978) * CHOOSE(CONTROL!$C$21, $C$9, 100%, $E$9)</f>
        <v>9.0977999999999994</v>
      </c>
      <c r="F138" s="17">
        <f>CHOOSE(CONTROL!$C$42, 8.8057, 8.8057)*CHOOSE(CONTROL!$C$21, $C$9, 100%, $E$9)</f>
        <v>8.8056999999999999</v>
      </c>
      <c r="G138" s="17">
        <f>CHOOSE(CONTROL!$C$42, 8.8224, 8.8224)*CHOOSE(CONTROL!$C$21, $C$9, 100%, $E$9)</f>
        <v>8.8224</v>
      </c>
      <c r="H138" s="17">
        <f>CHOOSE(CONTROL!$C$42, 9.0864, 9.0864) * CHOOSE(CONTROL!$C$21, $C$9, 100%, $E$9)</f>
        <v>9.0863999999999994</v>
      </c>
      <c r="I138" s="17">
        <f>CHOOSE(CONTROL!$C$42, 8.8346, 8.8346)* CHOOSE(CONTROL!$C$21, $C$9, 100%, $E$9)</f>
        <v>8.8346</v>
      </c>
      <c r="J138" s="17">
        <f>CHOOSE(CONTROL!$C$42, 8.7987, 8.7987)* CHOOSE(CONTROL!$C$21, $C$9, 100%, $E$9)</f>
        <v>8.7987000000000002</v>
      </c>
      <c r="K138" s="52">
        <f>CHOOSE(CONTROL!$C$42, 8.8304, 8.8304) * CHOOSE(CONTROL!$C$21, $C$9, 100%, $E$9)</f>
        <v>8.8303999999999991</v>
      </c>
      <c r="L138" s="17">
        <f>CHOOSE(CONTROL!$C$42, 9.6734, 9.6734) * CHOOSE(CONTROL!$C$21, $C$9, 100%, $E$9)</f>
        <v>9.6734000000000009</v>
      </c>
      <c r="M138" s="17">
        <f>CHOOSE(CONTROL!$C$42, 8.6482, 8.6482) * CHOOSE(CONTROL!$C$21, $C$9, 100%, $E$9)</f>
        <v>8.6481999999999992</v>
      </c>
      <c r="N138" s="17">
        <f>CHOOSE(CONTROL!$C$42, 8.6646, 8.6646) * CHOOSE(CONTROL!$C$21, $C$9, 100%, $E$9)</f>
        <v>8.6646000000000001</v>
      </c>
      <c r="O138" s="17">
        <f>CHOOSE(CONTROL!$C$42, 8.9307, 8.9307) * CHOOSE(CONTROL!$C$21, $C$9, 100%, $E$9)</f>
        <v>8.9306999999999999</v>
      </c>
      <c r="P138" s="17">
        <f>CHOOSE(CONTROL!$C$42, 8.683, 8.683) * CHOOSE(CONTROL!$C$21, $C$9, 100%, $E$9)</f>
        <v>8.6829999999999998</v>
      </c>
      <c r="Q138" s="17">
        <f>CHOOSE(CONTROL!$C$42, 9.5254, 9.5254) * CHOOSE(CONTROL!$C$21, $C$9, 100%, $E$9)</f>
        <v>9.5253999999999994</v>
      </c>
      <c r="R138" s="17">
        <f>CHOOSE(CONTROL!$C$42, 10.1362, 10.1362) * CHOOSE(CONTROL!$C$21, $C$9, 100%, $E$9)</f>
        <v>10.136200000000001</v>
      </c>
      <c r="S138" s="17">
        <f>CHOOSE(CONTROL!$C$42, 8.4331, 8.4331) * CHOOSE(CONTROL!$C$21, $C$9, 100%, $E$9)</f>
        <v>8.4330999999999996</v>
      </c>
      <c r="T13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38" s="56">
        <f>(1000*CHOOSE(CONTROL!$C$42, 695, 695)*CHOOSE(CONTROL!$C$42, 0.5599, 0.5599)*CHOOSE(CONTROL!$C$42, 30, 30))/1000000</f>
        <v>11.673914999999997</v>
      </c>
      <c r="V138" s="56">
        <f>(1000*CHOOSE(CONTROL!$C$42, 500, 500)*CHOOSE(CONTROL!$C$42, 0.275, 0.275)*CHOOSE(CONTROL!$C$42, 30, 30))/1000000</f>
        <v>4.125</v>
      </c>
      <c r="W138" s="56">
        <f>(1000*CHOOSE(CONTROL!$C$42, 0.1146, 0.1146)*CHOOSE(CONTROL!$C$42, 121.5, 121.5)*CHOOSE(CONTROL!$C$42, 30, 30))/1000000</f>
        <v>0.417717</v>
      </c>
      <c r="X138" s="56">
        <f>(30*0.1790888*145000/1000000)+(30*0.2374*100000/1000000)</f>
        <v>1.4912362799999999</v>
      </c>
      <c r="Y138" s="56"/>
      <c r="Z138" s="17"/>
      <c r="AA138" s="55"/>
      <c r="AB138" s="48">
        <f>(B138*194.205+C138*267.466+D138*133.845+E138*153.484+F138*40+G138*85+H138*0+I138*100+J138*300)/(194.205+267.466+133.845+153.484+0+40+85+100+300)</f>
        <v>8.865025392072214</v>
      </c>
      <c r="AC138" s="45">
        <f>(M138*'RAP TEMPLATE-GAS AVAILABILITY'!O137+N138*'RAP TEMPLATE-GAS AVAILABILITY'!P137+O138*'RAP TEMPLATE-GAS AVAILABILITY'!Q137+P138*'RAP TEMPLATE-GAS AVAILABILITY'!R137)/('RAP TEMPLATE-GAS AVAILABILITY'!O137+'RAP TEMPLATE-GAS AVAILABILITY'!P137+'RAP TEMPLATE-GAS AVAILABILITY'!Q137+'RAP TEMPLATE-GAS AVAILABILITY'!R137)</f>
        <v>8.7362453237410076</v>
      </c>
    </row>
    <row r="139" spans="1:29" ht="15.75" x14ac:dyDescent="0.25">
      <c r="A139" s="16">
        <v>45108</v>
      </c>
      <c r="B139" s="17">
        <f>CHOOSE(CONTROL!$C$42, 8.6366, 8.6366) * CHOOSE(CONTROL!$C$21, $C$9, 100%, $E$9)</f>
        <v>8.6365999999999996</v>
      </c>
      <c r="C139" s="17">
        <f>CHOOSE(CONTROL!$C$42, 8.6447, 8.6447) * CHOOSE(CONTROL!$C$21, $C$9, 100%, $E$9)</f>
        <v>8.6447000000000003</v>
      </c>
      <c r="D139" s="17">
        <f>CHOOSE(CONTROL!$C$42, 8.9157, 8.9157) * CHOOSE(CONTROL!$C$21, $C$9, 100%, $E$9)</f>
        <v>8.9156999999999993</v>
      </c>
      <c r="E139" s="17">
        <f>CHOOSE(CONTROL!$C$42, 8.9472, 8.9472) * CHOOSE(CONTROL!$C$21, $C$9, 100%, $E$9)</f>
        <v>8.9472000000000005</v>
      </c>
      <c r="F139" s="17">
        <f>CHOOSE(CONTROL!$C$42, 8.6555, 8.6555)*CHOOSE(CONTROL!$C$21, $C$9, 100%, $E$9)</f>
        <v>8.6555</v>
      </c>
      <c r="G139" s="17">
        <f>CHOOSE(CONTROL!$C$42, 8.6723, 8.6723)*CHOOSE(CONTROL!$C$21, $C$9, 100%, $E$9)</f>
        <v>8.6722999999999999</v>
      </c>
      <c r="H139" s="17">
        <f>CHOOSE(CONTROL!$C$42, 8.9358, 8.9358) * CHOOSE(CONTROL!$C$21, $C$9, 100%, $E$9)</f>
        <v>8.9358000000000004</v>
      </c>
      <c r="I139" s="17">
        <f>CHOOSE(CONTROL!$C$42, 8.6836, 8.6836)* CHOOSE(CONTROL!$C$21, $C$9, 100%, $E$9)</f>
        <v>8.6836000000000002</v>
      </c>
      <c r="J139" s="17">
        <f>CHOOSE(CONTROL!$C$42, 8.6485, 8.6485)* CHOOSE(CONTROL!$C$21, $C$9, 100%, $E$9)</f>
        <v>8.6485000000000003</v>
      </c>
      <c r="K139" s="52">
        <f>CHOOSE(CONTROL!$C$42, 8.6793, 8.6793) * CHOOSE(CONTROL!$C$21, $C$9, 100%, $E$9)</f>
        <v>8.6792999999999996</v>
      </c>
      <c r="L139" s="17">
        <f>CHOOSE(CONTROL!$C$42, 9.5228, 9.5228) * CHOOSE(CONTROL!$C$21, $C$9, 100%, $E$9)</f>
        <v>9.5228000000000002</v>
      </c>
      <c r="M139" s="17">
        <f>CHOOSE(CONTROL!$C$42, 8.5006, 8.5006) * CHOOSE(CONTROL!$C$21, $C$9, 100%, $E$9)</f>
        <v>8.5006000000000004</v>
      </c>
      <c r="N139" s="17">
        <f>CHOOSE(CONTROL!$C$42, 8.5172, 8.5172) * CHOOSE(CONTROL!$C$21, $C$9, 100%, $E$9)</f>
        <v>8.5172000000000008</v>
      </c>
      <c r="O139" s="17">
        <f>CHOOSE(CONTROL!$C$42, 8.7828, 8.7828) * CHOOSE(CONTROL!$C$21, $C$9, 100%, $E$9)</f>
        <v>8.7827999999999999</v>
      </c>
      <c r="P139" s="17">
        <f>CHOOSE(CONTROL!$C$42, 8.5347, 8.5347) * CHOOSE(CONTROL!$C$21, $C$9, 100%, $E$9)</f>
        <v>8.5347000000000008</v>
      </c>
      <c r="Q139" s="17">
        <f>CHOOSE(CONTROL!$C$42, 9.3775, 9.3775) * CHOOSE(CONTROL!$C$21, $C$9, 100%, $E$9)</f>
        <v>9.3774999999999995</v>
      </c>
      <c r="R139" s="17">
        <f>CHOOSE(CONTROL!$C$42, 9.9879, 9.9879) * CHOOSE(CONTROL!$C$21, $C$9, 100%, $E$9)</f>
        <v>9.9878999999999998</v>
      </c>
      <c r="S139" s="17">
        <f>CHOOSE(CONTROL!$C$42, 8.2883, 8.2883) * CHOOSE(CONTROL!$C$21, $C$9, 100%, $E$9)</f>
        <v>8.2882999999999996</v>
      </c>
      <c r="T13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39" s="56">
        <f>(1000*CHOOSE(CONTROL!$C$42, 695, 695)*CHOOSE(CONTROL!$C$42, 0.5599, 0.5599)*CHOOSE(CONTROL!$C$42, 31, 31))/1000000</f>
        <v>12.063045499999998</v>
      </c>
      <c r="V139" s="56">
        <f>(1000*CHOOSE(CONTROL!$C$42, 500, 500)*CHOOSE(CONTROL!$C$42, 0.275, 0.275)*CHOOSE(CONTROL!$C$42, 31, 31))/1000000</f>
        <v>4.2625000000000002</v>
      </c>
      <c r="W139" s="56">
        <f>(1000*CHOOSE(CONTROL!$C$42, 0.1146, 0.1146)*CHOOSE(CONTROL!$C$42, 121.5, 121.5)*CHOOSE(CONTROL!$C$42, 31, 31))/1000000</f>
        <v>0.43164089999999994</v>
      </c>
      <c r="X139" s="56">
        <f>(31*0.1790888*145000/1000000)+(31*0.2374*100000/1000000)</f>
        <v>1.5409441560000001</v>
      </c>
      <c r="Y139" s="56"/>
      <c r="Z139" s="17"/>
      <c r="AA139" s="55"/>
      <c r="AB139" s="48">
        <f>(B139*194.205+C139*267.466+D139*133.845+E139*153.484+F139*40+G139*85+H139*0+I139*100+J139*300)/(194.205+267.466+133.845+153.484+0+40+85+100+300)</f>
        <v>8.7145083551805325</v>
      </c>
      <c r="AC139" s="45">
        <f>(M139*'RAP TEMPLATE-GAS AVAILABILITY'!O138+N139*'RAP TEMPLATE-GAS AVAILABILITY'!P138+O139*'RAP TEMPLATE-GAS AVAILABILITY'!Q138+P139*'RAP TEMPLATE-GAS AVAILABILITY'!R138)/('RAP TEMPLATE-GAS AVAILABILITY'!O138+'RAP TEMPLATE-GAS AVAILABILITY'!P138+'RAP TEMPLATE-GAS AVAILABILITY'!Q138+'RAP TEMPLATE-GAS AVAILABILITY'!R138)</f>
        <v>8.5885064748201447</v>
      </c>
    </row>
    <row r="140" spans="1:29" ht="15.75" x14ac:dyDescent="0.25">
      <c r="A140" s="16">
        <v>45139</v>
      </c>
      <c r="B140" s="17">
        <f>CHOOSE(CONTROL!$C$42, 8.2275, 8.2275) * CHOOSE(CONTROL!$C$21, $C$9, 100%, $E$9)</f>
        <v>8.2274999999999991</v>
      </c>
      <c r="C140" s="17">
        <f>CHOOSE(CONTROL!$C$42, 8.2355, 8.2355) * CHOOSE(CONTROL!$C$21, $C$9, 100%, $E$9)</f>
        <v>8.2355</v>
      </c>
      <c r="D140" s="17">
        <f>CHOOSE(CONTROL!$C$42, 8.5066, 8.5066) * CHOOSE(CONTROL!$C$21, $C$9, 100%, $E$9)</f>
        <v>8.5066000000000006</v>
      </c>
      <c r="E140" s="17">
        <f>CHOOSE(CONTROL!$C$42, 8.5381, 8.5381) * CHOOSE(CONTROL!$C$21, $C$9, 100%, $E$9)</f>
        <v>8.5381</v>
      </c>
      <c r="F140" s="17">
        <f>CHOOSE(CONTROL!$C$42, 8.2466, 8.2466)*CHOOSE(CONTROL!$C$21, $C$9, 100%, $E$9)</f>
        <v>8.2466000000000008</v>
      </c>
      <c r="G140" s="17">
        <f>CHOOSE(CONTROL!$C$42, 8.2635, 8.2635)*CHOOSE(CONTROL!$C$21, $C$9, 100%, $E$9)</f>
        <v>8.2635000000000005</v>
      </c>
      <c r="H140" s="17">
        <f>CHOOSE(CONTROL!$C$42, 8.5267, 8.5267) * CHOOSE(CONTROL!$C$21, $C$9, 100%, $E$9)</f>
        <v>8.5266999999999999</v>
      </c>
      <c r="I140" s="17">
        <f>CHOOSE(CONTROL!$C$42, 8.2731, 8.2731)* CHOOSE(CONTROL!$C$21, $C$9, 100%, $E$9)</f>
        <v>8.2730999999999995</v>
      </c>
      <c r="J140" s="17">
        <f>CHOOSE(CONTROL!$C$42, 8.2396, 8.2396)* CHOOSE(CONTROL!$C$21, $C$9, 100%, $E$9)</f>
        <v>8.2395999999999994</v>
      </c>
      <c r="K140" s="52">
        <f>CHOOSE(CONTROL!$C$42, 8.2689, 8.2689) * CHOOSE(CONTROL!$C$21, $C$9, 100%, $E$9)</f>
        <v>8.2689000000000004</v>
      </c>
      <c r="L140" s="17">
        <f>CHOOSE(CONTROL!$C$42, 9.1137, 9.1137) * CHOOSE(CONTROL!$C$21, $C$9, 100%, $E$9)</f>
        <v>9.1136999999999997</v>
      </c>
      <c r="M140" s="17">
        <f>CHOOSE(CONTROL!$C$42, 8.0991, 8.0991) * CHOOSE(CONTROL!$C$21, $C$9, 100%, $E$9)</f>
        <v>8.0991</v>
      </c>
      <c r="N140" s="17">
        <f>CHOOSE(CONTROL!$C$42, 8.1157, 8.1157) * CHOOSE(CONTROL!$C$21, $C$9, 100%, $E$9)</f>
        <v>8.1157000000000004</v>
      </c>
      <c r="O140" s="17">
        <f>CHOOSE(CONTROL!$C$42, 8.381, 8.381) * CHOOSE(CONTROL!$C$21, $C$9, 100%, $E$9)</f>
        <v>8.3810000000000002</v>
      </c>
      <c r="P140" s="17">
        <f>CHOOSE(CONTROL!$C$42, 8.1316, 8.1316) * CHOOSE(CONTROL!$C$21, $C$9, 100%, $E$9)</f>
        <v>8.1316000000000006</v>
      </c>
      <c r="Q140" s="17">
        <f>CHOOSE(CONTROL!$C$42, 8.9757, 8.9757) * CHOOSE(CONTROL!$C$21, $C$9, 100%, $E$9)</f>
        <v>8.9756999999999998</v>
      </c>
      <c r="R140" s="17">
        <f>CHOOSE(CONTROL!$C$42, 9.5852, 9.5852) * CHOOSE(CONTROL!$C$21, $C$9, 100%, $E$9)</f>
        <v>9.5852000000000004</v>
      </c>
      <c r="S140" s="17">
        <f>CHOOSE(CONTROL!$C$42, 7.8952, 7.8952) * CHOOSE(CONTROL!$C$21, $C$9, 100%, $E$9)</f>
        <v>7.8952</v>
      </c>
      <c r="T14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40" s="56">
        <f>(1000*CHOOSE(CONTROL!$C$42, 695, 695)*CHOOSE(CONTROL!$C$42, 0.5599, 0.5599)*CHOOSE(CONTROL!$C$42, 31, 31))/1000000</f>
        <v>12.063045499999998</v>
      </c>
      <c r="V140" s="56">
        <f>(1000*CHOOSE(CONTROL!$C$42, 500, 500)*CHOOSE(CONTROL!$C$42, 0.275, 0.275)*CHOOSE(CONTROL!$C$42, 31, 31))/1000000</f>
        <v>4.2625000000000002</v>
      </c>
      <c r="W140" s="56">
        <f>(1000*CHOOSE(CONTROL!$C$42, 0.1146, 0.1146)*CHOOSE(CONTROL!$C$42, 121.5, 121.5)*CHOOSE(CONTROL!$C$42, 31, 31))/1000000</f>
        <v>0.43164089999999994</v>
      </c>
      <c r="X140" s="56">
        <f>(31*0.1790888*145000/1000000)+(31*0.2374*100000/1000000)</f>
        <v>1.5409441560000001</v>
      </c>
      <c r="Y140" s="56"/>
      <c r="Z140" s="17"/>
      <c r="AA140" s="55"/>
      <c r="AB140" s="48">
        <f>(B140*194.205+C140*267.466+D140*133.845+E140*153.484+F140*40+G140*85+H140*0+I140*100+J140*300)/(194.205+267.466+133.845+153.484+0+40+85+100+300)</f>
        <v>8.30535086177394</v>
      </c>
      <c r="AC140" s="45">
        <f>(M140*'RAP TEMPLATE-GAS AVAILABILITY'!O139+N140*'RAP TEMPLATE-GAS AVAILABILITY'!P139+O140*'RAP TEMPLATE-GAS AVAILABILITY'!Q139+P140*'RAP TEMPLATE-GAS AVAILABILITY'!R139)/('RAP TEMPLATE-GAS AVAILABILITY'!O139+'RAP TEMPLATE-GAS AVAILABILITY'!P139+'RAP TEMPLATE-GAS AVAILABILITY'!Q139+'RAP TEMPLATE-GAS AVAILABILITY'!R139)</f>
        <v>8.186692086330936</v>
      </c>
    </row>
    <row r="141" spans="1:29" ht="15.75" x14ac:dyDescent="0.25">
      <c r="A141" s="16">
        <v>45170</v>
      </c>
      <c r="B141" s="17">
        <f>CHOOSE(CONTROL!$C$42, 7.7215, 7.7215) * CHOOSE(CONTROL!$C$21, $C$9, 100%, $E$9)</f>
        <v>7.7214999999999998</v>
      </c>
      <c r="C141" s="17">
        <f>CHOOSE(CONTROL!$C$42, 7.7296, 7.7296) * CHOOSE(CONTROL!$C$21, $C$9, 100%, $E$9)</f>
        <v>7.7295999999999996</v>
      </c>
      <c r="D141" s="17">
        <f>CHOOSE(CONTROL!$C$42, 8.0006, 8.0006) * CHOOSE(CONTROL!$C$21, $C$9, 100%, $E$9)</f>
        <v>8.0006000000000004</v>
      </c>
      <c r="E141" s="17">
        <f>CHOOSE(CONTROL!$C$42, 8.0321, 8.0321) * CHOOSE(CONTROL!$C$21, $C$9, 100%, $E$9)</f>
        <v>8.0320999999999998</v>
      </c>
      <c r="F141" s="17">
        <f>CHOOSE(CONTROL!$C$42, 7.7407, 7.7407)*CHOOSE(CONTROL!$C$21, $C$9, 100%, $E$9)</f>
        <v>7.7407000000000004</v>
      </c>
      <c r="G141" s="17">
        <f>CHOOSE(CONTROL!$C$42, 7.7576, 7.7576)*CHOOSE(CONTROL!$C$21, $C$9, 100%, $E$9)</f>
        <v>7.7576000000000001</v>
      </c>
      <c r="H141" s="17">
        <f>CHOOSE(CONTROL!$C$42, 8.0207, 8.0207) * CHOOSE(CONTROL!$C$21, $C$9, 100%, $E$9)</f>
        <v>8.0206999999999997</v>
      </c>
      <c r="I141" s="17">
        <f>CHOOSE(CONTROL!$C$42, 7.7656, 7.7656)* CHOOSE(CONTROL!$C$21, $C$9, 100%, $E$9)</f>
        <v>7.7656000000000001</v>
      </c>
      <c r="J141" s="17">
        <f>CHOOSE(CONTROL!$C$42, 7.7337, 7.7337)* CHOOSE(CONTROL!$C$21, $C$9, 100%, $E$9)</f>
        <v>7.7336999999999998</v>
      </c>
      <c r="K141" s="52">
        <f>CHOOSE(CONTROL!$C$42, 7.7614, 7.7614) * CHOOSE(CONTROL!$C$21, $C$9, 100%, $E$9)</f>
        <v>7.7614000000000001</v>
      </c>
      <c r="L141" s="17">
        <f>CHOOSE(CONTROL!$C$42, 8.6077, 8.6077) * CHOOSE(CONTROL!$C$21, $C$9, 100%, $E$9)</f>
        <v>8.6076999999999995</v>
      </c>
      <c r="M141" s="17">
        <f>CHOOSE(CONTROL!$C$42, 7.6023, 7.6023) * CHOOSE(CONTROL!$C$21, $C$9, 100%, $E$9)</f>
        <v>7.6022999999999996</v>
      </c>
      <c r="N141" s="17">
        <f>CHOOSE(CONTROL!$C$42, 7.6189, 7.6189) * CHOOSE(CONTROL!$C$21, $C$9, 100%, $E$9)</f>
        <v>7.6189</v>
      </c>
      <c r="O141" s="17">
        <f>CHOOSE(CONTROL!$C$42, 7.8842, 7.8842) * CHOOSE(CONTROL!$C$21, $C$9, 100%, $E$9)</f>
        <v>7.8841999999999999</v>
      </c>
      <c r="P141" s="17">
        <f>CHOOSE(CONTROL!$C$42, 7.6333, 7.6333) * CHOOSE(CONTROL!$C$21, $C$9, 100%, $E$9)</f>
        <v>7.6333000000000002</v>
      </c>
      <c r="Q141" s="17">
        <f>CHOOSE(CONTROL!$C$42, 8.4789, 8.4789) * CHOOSE(CONTROL!$C$21, $C$9, 100%, $E$9)</f>
        <v>8.4788999999999994</v>
      </c>
      <c r="R141" s="17">
        <f>CHOOSE(CONTROL!$C$42, 9.0871, 9.0871) * CHOOSE(CONTROL!$C$21, $C$9, 100%, $E$9)</f>
        <v>9.0870999999999995</v>
      </c>
      <c r="S141" s="17">
        <f>CHOOSE(CONTROL!$C$42, 7.409, 7.409) * CHOOSE(CONTROL!$C$21, $C$9, 100%, $E$9)</f>
        <v>7.4089999999999998</v>
      </c>
      <c r="T14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41" s="56">
        <f>(1000*CHOOSE(CONTROL!$C$42, 695, 695)*CHOOSE(CONTROL!$C$42, 0.5599, 0.5599)*CHOOSE(CONTROL!$C$42, 30, 30))/1000000</f>
        <v>11.673914999999997</v>
      </c>
      <c r="V141" s="56">
        <f>(1000*CHOOSE(CONTROL!$C$42, 500, 500)*CHOOSE(CONTROL!$C$42, 0.275, 0.275)*CHOOSE(CONTROL!$C$42, 30, 30))/1000000</f>
        <v>4.125</v>
      </c>
      <c r="W141" s="56">
        <f>(1000*CHOOSE(CONTROL!$C$42, 0.1146, 0.1146)*CHOOSE(CONTROL!$C$42, 121.5, 121.5)*CHOOSE(CONTROL!$C$42, 30, 30))/1000000</f>
        <v>0.417717</v>
      </c>
      <c r="X141" s="56">
        <f>(30*0.1790888*145000/1000000)+(30*0.2374*100000/1000000)</f>
        <v>1.4912362799999999</v>
      </c>
      <c r="Y141" s="56"/>
      <c r="Z141" s="17"/>
      <c r="AA141" s="55"/>
      <c r="AB141" s="48">
        <f>(B141*194.205+C141*267.466+D141*133.845+E141*153.484+F141*40+G141*85+H141*0+I141*100+J141*300)/(194.205+267.466+133.845+153.484+0+40+85+100+300)</f>
        <v>7.7992874760596553</v>
      </c>
      <c r="AC141" s="45">
        <f>(M141*'RAP TEMPLATE-GAS AVAILABILITY'!O140+N141*'RAP TEMPLATE-GAS AVAILABILITY'!P140+O141*'RAP TEMPLATE-GAS AVAILABILITY'!Q140+P141*'RAP TEMPLATE-GAS AVAILABILITY'!R140)/('RAP TEMPLATE-GAS AVAILABILITY'!O140+'RAP TEMPLATE-GAS AVAILABILITY'!P140+'RAP TEMPLATE-GAS AVAILABILITY'!Q140+'RAP TEMPLATE-GAS AVAILABILITY'!R140)</f>
        <v>7.6896762589928054</v>
      </c>
    </row>
    <row r="142" spans="1:29" ht="15.75" x14ac:dyDescent="0.25">
      <c r="A142" s="16">
        <v>45200</v>
      </c>
      <c r="B142" s="17">
        <f>CHOOSE(CONTROL!$C$42, 7.5788, 7.5788) * CHOOSE(CONTROL!$C$21, $C$9, 100%, $E$9)</f>
        <v>7.5788000000000002</v>
      </c>
      <c r="C142" s="17">
        <f>CHOOSE(CONTROL!$C$42, 7.5841, 7.5841) * CHOOSE(CONTROL!$C$21, $C$9, 100%, $E$9)</f>
        <v>7.5841000000000003</v>
      </c>
      <c r="D142" s="17">
        <f>CHOOSE(CONTROL!$C$42, 7.8602, 7.8602) * CHOOSE(CONTROL!$C$21, $C$9, 100%, $E$9)</f>
        <v>7.8601999999999999</v>
      </c>
      <c r="E142" s="17">
        <f>CHOOSE(CONTROL!$C$42, 7.8893, 7.8893) * CHOOSE(CONTROL!$C$21, $C$9, 100%, $E$9)</f>
        <v>7.8893000000000004</v>
      </c>
      <c r="F142" s="17">
        <f>CHOOSE(CONTROL!$C$42, 7.6002, 7.6002)*CHOOSE(CONTROL!$C$21, $C$9, 100%, $E$9)</f>
        <v>7.6002000000000001</v>
      </c>
      <c r="G142" s="17">
        <f>CHOOSE(CONTROL!$C$42, 7.617, 7.617)*CHOOSE(CONTROL!$C$21, $C$9, 100%, $E$9)</f>
        <v>7.617</v>
      </c>
      <c r="H142" s="17">
        <f>CHOOSE(CONTROL!$C$42, 7.8797, 7.8797) * CHOOSE(CONTROL!$C$21, $C$9, 100%, $E$9)</f>
        <v>7.8796999999999997</v>
      </c>
      <c r="I142" s="17">
        <f>CHOOSE(CONTROL!$C$42, 7.6242, 7.6242)* CHOOSE(CONTROL!$C$21, $C$9, 100%, $E$9)</f>
        <v>7.6242000000000001</v>
      </c>
      <c r="J142" s="17">
        <f>CHOOSE(CONTROL!$C$42, 7.5932, 7.5932)* CHOOSE(CONTROL!$C$21, $C$9, 100%, $E$9)</f>
        <v>7.5932000000000004</v>
      </c>
      <c r="K142" s="52">
        <f>CHOOSE(CONTROL!$C$42, 7.62, 7.62) * CHOOSE(CONTROL!$C$21, $C$9, 100%, $E$9)</f>
        <v>7.62</v>
      </c>
      <c r="L142" s="17">
        <f>CHOOSE(CONTROL!$C$42, 8.4667, 8.4667) * CHOOSE(CONTROL!$C$21, $C$9, 100%, $E$9)</f>
        <v>8.4666999999999994</v>
      </c>
      <c r="M142" s="17">
        <f>CHOOSE(CONTROL!$C$42, 7.4643, 7.4643) * CHOOSE(CONTROL!$C$21, $C$9, 100%, $E$9)</f>
        <v>7.4642999999999997</v>
      </c>
      <c r="N142" s="17">
        <f>CHOOSE(CONTROL!$C$42, 7.4808, 7.4808) * CHOOSE(CONTROL!$C$21, $C$9, 100%, $E$9)</f>
        <v>7.4808000000000003</v>
      </c>
      <c r="O142" s="17">
        <f>CHOOSE(CONTROL!$C$42, 7.7457, 7.7457) * CHOOSE(CONTROL!$C$21, $C$9, 100%, $E$9)</f>
        <v>7.7457000000000003</v>
      </c>
      <c r="P142" s="17">
        <f>CHOOSE(CONTROL!$C$42, 7.4944, 7.4944) * CHOOSE(CONTROL!$C$21, $C$9, 100%, $E$9)</f>
        <v>7.4943999999999997</v>
      </c>
      <c r="Q142" s="17">
        <f>CHOOSE(CONTROL!$C$42, 8.3404, 8.3404) * CHOOSE(CONTROL!$C$21, $C$9, 100%, $E$9)</f>
        <v>8.3404000000000007</v>
      </c>
      <c r="R142" s="17">
        <f>CHOOSE(CONTROL!$C$42, 8.9483, 8.9483) * CHOOSE(CONTROL!$C$21, $C$9, 100%, $E$9)</f>
        <v>8.9482999999999997</v>
      </c>
      <c r="S142" s="17">
        <f>CHOOSE(CONTROL!$C$42, 7.2735, 7.2735) * CHOOSE(CONTROL!$C$21, $C$9, 100%, $E$9)</f>
        <v>7.2735000000000003</v>
      </c>
      <c r="T14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42" s="56">
        <f>(1000*CHOOSE(CONTROL!$C$42, 695, 695)*CHOOSE(CONTROL!$C$42, 0.5599, 0.5599)*CHOOSE(CONTROL!$C$42, 31, 31))/1000000</f>
        <v>12.063045499999998</v>
      </c>
      <c r="V142" s="56">
        <f>(1000*CHOOSE(CONTROL!$C$42, 500, 500)*CHOOSE(CONTROL!$C$42, 0.275, 0.275)*CHOOSE(CONTROL!$C$42, 31, 31))/1000000</f>
        <v>4.2625000000000002</v>
      </c>
      <c r="W142" s="56">
        <f>(1000*CHOOSE(CONTROL!$C$42, 0.1146, 0.1146)*CHOOSE(CONTROL!$C$42, 121.5, 121.5)*CHOOSE(CONTROL!$C$42, 31, 31))/1000000</f>
        <v>0.43164089999999994</v>
      </c>
      <c r="X142" s="56">
        <f>(31*0.1790888*145000/1000000)+(31*0.2374*100000/1000000)</f>
        <v>1.5409441560000001</v>
      </c>
      <c r="Y142" s="56"/>
      <c r="Z142" s="17"/>
      <c r="AA142" s="55"/>
      <c r="AB142" s="48">
        <f>(B142*131.881+C142*277.167+D142*79.08+E142*225.872+F142*40+G142*85+H142*0+I142*100+J142*300)/(131.881+277.167+79.08+225.872+0+40+85+100+300)</f>
        <v>7.6650133600484258</v>
      </c>
      <c r="AC142" s="45">
        <f>(M142*'RAP TEMPLATE-GAS AVAILABILITY'!O141+N142*'RAP TEMPLATE-GAS AVAILABILITY'!P141+O142*'RAP TEMPLATE-GAS AVAILABILITY'!Q141+P142*'RAP TEMPLATE-GAS AVAILABILITY'!R141)/('RAP TEMPLATE-GAS AVAILABILITY'!O141+'RAP TEMPLATE-GAS AVAILABILITY'!P141+'RAP TEMPLATE-GAS AVAILABILITY'!Q141+'RAP TEMPLATE-GAS AVAILABILITY'!R141)</f>
        <v>7.5513834532374107</v>
      </c>
    </row>
    <row r="143" spans="1:29" ht="15.75" x14ac:dyDescent="0.25">
      <c r="A143" s="16">
        <v>45231</v>
      </c>
      <c r="B143" s="17">
        <f>CHOOSE(CONTROL!$C$42, 7.7938, 7.7938) * CHOOSE(CONTROL!$C$21, $C$9, 100%, $E$9)</f>
        <v>7.7938000000000001</v>
      </c>
      <c r="C143" s="17">
        <f>CHOOSE(CONTROL!$C$42, 7.7989, 7.7989) * CHOOSE(CONTROL!$C$21, $C$9, 100%, $E$9)</f>
        <v>7.7988999999999997</v>
      </c>
      <c r="D143" s="17">
        <f>CHOOSE(CONTROL!$C$42, 7.8939, 7.8939) * CHOOSE(CONTROL!$C$21, $C$9, 100%, $E$9)</f>
        <v>7.8939000000000004</v>
      </c>
      <c r="E143" s="17">
        <f>CHOOSE(CONTROL!$C$42, 7.928, 7.928) * CHOOSE(CONTROL!$C$21, $C$9, 100%, $E$9)</f>
        <v>7.9279999999999999</v>
      </c>
      <c r="F143" s="17">
        <f>CHOOSE(CONTROL!$C$42, 7.8177, 7.8177)*CHOOSE(CONTROL!$C$21, $C$9, 100%, $E$9)</f>
        <v>7.8177000000000003</v>
      </c>
      <c r="G143" s="17">
        <f>CHOOSE(CONTROL!$C$42, 7.8348, 7.8348)*CHOOSE(CONTROL!$C$21, $C$9, 100%, $E$9)</f>
        <v>7.8348000000000004</v>
      </c>
      <c r="H143" s="17">
        <f>CHOOSE(CONTROL!$C$42, 7.9172, 7.9172) * CHOOSE(CONTROL!$C$21, $C$9, 100%, $E$9)</f>
        <v>7.9172000000000002</v>
      </c>
      <c r="I143" s="17">
        <f>CHOOSE(CONTROL!$C$42, 7.8382, 7.8382)* CHOOSE(CONTROL!$C$21, $C$9, 100%, $E$9)</f>
        <v>7.8381999999999996</v>
      </c>
      <c r="J143" s="17">
        <f>CHOOSE(CONTROL!$C$42, 7.8107, 7.8107)* CHOOSE(CONTROL!$C$21, $C$9, 100%, $E$9)</f>
        <v>7.8106999999999998</v>
      </c>
      <c r="K143" s="52">
        <f>CHOOSE(CONTROL!$C$42, 7.8339, 7.8339) * CHOOSE(CONTROL!$C$21, $C$9, 100%, $E$9)</f>
        <v>7.8338999999999999</v>
      </c>
      <c r="L143" s="17">
        <f>CHOOSE(CONTROL!$C$42, 8.5042, 8.5042) * CHOOSE(CONTROL!$C$21, $C$9, 100%, $E$9)</f>
        <v>8.5042000000000009</v>
      </c>
      <c r="M143" s="17">
        <f>CHOOSE(CONTROL!$C$42, 7.6779, 7.6779) * CHOOSE(CONTROL!$C$21, $C$9, 100%, $E$9)</f>
        <v>7.6779000000000002</v>
      </c>
      <c r="N143" s="17">
        <f>CHOOSE(CONTROL!$C$42, 7.6947, 7.6947) * CHOOSE(CONTROL!$C$21, $C$9, 100%, $E$9)</f>
        <v>7.6947000000000001</v>
      </c>
      <c r="O143" s="17">
        <f>CHOOSE(CONTROL!$C$42, 7.7825, 7.7825) * CHOOSE(CONTROL!$C$21, $C$9, 100%, $E$9)</f>
        <v>7.7824999999999998</v>
      </c>
      <c r="P143" s="17">
        <f>CHOOSE(CONTROL!$C$42, 7.7045, 7.7045) * CHOOSE(CONTROL!$C$21, $C$9, 100%, $E$9)</f>
        <v>7.7045000000000003</v>
      </c>
      <c r="Q143" s="17">
        <f>CHOOSE(CONTROL!$C$42, 8.3772, 8.3772) * CHOOSE(CONTROL!$C$21, $C$9, 100%, $E$9)</f>
        <v>8.3772000000000002</v>
      </c>
      <c r="R143" s="17">
        <f>CHOOSE(CONTROL!$C$42, 8.9851, 8.9851) * CHOOSE(CONTROL!$C$21, $C$9, 100%, $E$9)</f>
        <v>8.9850999999999992</v>
      </c>
      <c r="S143" s="17">
        <f>CHOOSE(CONTROL!$C$42, 7.4805, 7.4805) * CHOOSE(CONTROL!$C$21, $C$9, 100%, $E$9)</f>
        <v>7.4805000000000001</v>
      </c>
      <c r="T14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43" s="56">
        <f>(1000*CHOOSE(CONTROL!$C$42, 695, 695)*CHOOSE(CONTROL!$C$42, 0.5599, 0.5599)*CHOOSE(CONTROL!$C$42, 30, 30))/1000000</f>
        <v>11.673914999999997</v>
      </c>
      <c r="V143" s="56">
        <f>(1000*CHOOSE(CONTROL!$C$42, 500, 500)*CHOOSE(CONTROL!$C$42, 0.275, 0.275)*CHOOSE(CONTROL!$C$42, 30, 30))/1000000</f>
        <v>4.125</v>
      </c>
      <c r="W143" s="56">
        <f>(1000*CHOOSE(CONTROL!$C$42, 0.1146, 0.1146)*CHOOSE(CONTROL!$C$42, 121.5, 121.5)*CHOOSE(CONTROL!$C$42, 30, 30))/1000000</f>
        <v>0.417717</v>
      </c>
      <c r="X143" s="56">
        <f>(30*0.2374*100000/1000000)</f>
        <v>0.71220000000000006</v>
      </c>
      <c r="Y143" s="56"/>
      <c r="Z143" s="17"/>
      <c r="AA143" s="55"/>
      <c r="AB143" s="48">
        <f>(B143*122.58+C143*297.941+D143*89.177+E143*140.302+F143*40+G143*60+H143*0+I143*100+J143*300)/(122.58+297.941+89.177+140.302+0+40+60+100+300)</f>
        <v>7.8304962132173896</v>
      </c>
      <c r="AC143" s="45">
        <f>(M143*'RAP TEMPLATE-GAS AVAILABILITY'!O142+N143*'RAP TEMPLATE-GAS AVAILABILITY'!P142+O143*'RAP TEMPLATE-GAS AVAILABILITY'!Q142+P143*'RAP TEMPLATE-GAS AVAILABILITY'!R142)/('RAP TEMPLATE-GAS AVAILABILITY'!O142+'RAP TEMPLATE-GAS AVAILABILITY'!P142+'RAP TEMPLATE-GAS AVAILABILITY'!Q142+'RAP TEMPLATE-GAS AVAILABILITY'!R142)</f>
        <v>7.7301028776978411</v>
      </c>
    </row>
    <row r="144" spans="1:29" ht="15.75" x14ac:dyDescent="0.25">
      <c r="A144" s="16">
        <v>45261</v>
      </c>
      <c r="B144" s="17">
        <f>CHOOSE(CONTROL!$C$42, 8.3416, 8.3416) * CHOOSE(CONTROL!$C$21, $C$9, 100%, $E$9)</f>
        <v>8.3415999999999997</v>
      </c>
      <c r="C144" s="17">
        <f>CHOOSE(CONTROL!$C$42, 8.3467, 8.3467) * CHOOSE(CONTROL!$C$21, $C$9, 100%, $E$9)</f>
        <v>8.3467000000000002</v>
      </c>
      <c r="D144" s="17">
        <f>CHOOSE(CONTROL!$C$42, 8.4417, 8.4417) * CHOOSE(CONTROL!$C$21, $C$9, 100%, $E$9)</f>
        <v>8.4417000000000009</v>
      </c>
      <c r="E144" s="17">
        <f>CHOOSE(CONTROL!$C$42, 8.4758, 8.4758) * CHOOSE(CONTROL!$C$21, $C$9, 100%, $E$9)</f>
        <v>8.4757999999999996</v>
      </c>
      <c r="F144" s="17">
        <f>CHOOSE(CONTROL!$C$42, 8.3679, 8.3679)*CHOOSE(CONTROL!$C$21, $C$9, 100%, $E$9)</f>
        <v>8.3679000000000006</v>
      </c>
      <c r="G144" s="17">
        <f>CHOOSE(CONTROL!$C$42, 8.3856, 8.3856)*CHOOSE(CONTROL!$C$21, $C$9, 100%, $E$9)</f>
        <v>8.3856000000000002</v>
      </c>
      <c r="H144" s="17">
        <f>CHOOSE(CONTROL!$C$42, 8.465, 8.465) * CHOOSE(CONTROL!$C$21, $C$9, 100%, $E$9)</f>
        <v>8.4649999999999999</v>
      </c>
      <c r="I144" s="17">
        <f>CHOOSE(CONTROL!$C$42, 8.3877, 8.3877)* CHOOSE(CONTROL!$C$21, $C$9, 100%, $E$9)</f>
        <v>8.3877000000000006</v>
      </c>
      <c r="J144" s="17">
        <f>CHOOSE(CONTROL!$C$42, 8.3609, 8.3609)* CHOOSE(CONTROL!$C$21, $C$9, 100%, $E$9)</f>
        <v>8.3609000000000009</v>
      </c>
      <c r="K144" s="52">
        <f>CHOOSE(CONTROL!$C$42, 8.3835, 8.3835) * CHOOSE(CONTROL!$C$21, $C$9, 100%, $E$9)</f>
        <v>8.3834999999999997</v>
      </c>
      <c r="L144" s="17">
        <f>CHOOSE(CONTROL!$C$42, 9.052, 9.052) * CHOOSE(CONTROL!$C$21, $C$9, 100%, $E$9)</f>
        <v>9.0519999999999996</v>
      </c>
      <c r="M144" s="17">
        <f>CHOOSE(CONTROL!$C$42, 8.2182, 8.2182) * CHOOSE(CONTROL!$C$21, $C$9, 100%, $E$9)</f>
        <v>8.2181999999999995</v>
      </c>
      <c r="N144" s="17">
        <f>CHOOSE(CONTROL!$C$42, 8.2356, 8.2356) * CHOOSE(CONTROL!$C$21, $C$9, 100%, $E$9)</f>
        <v>8.2355999999999998</v>
      </c>
      <c r="O144" s="17">
        <f>CHOOSE(CONTROL!$C$42, 8.3205, 8.3205) * CHOOSE(CONTROL!$C$21, $C$9, 100%, $E$9)</f>
        <v>8.3204999999999991</v>
      </c>
      <c r="P144" s="17">
        <f>CHOOSE(CONTROL!$C$42, 8.2442, 8.2442) * CHOOSE(CONTROL!$C$21, $C$9, 100%, $E$9)</f>
        <v>8.2441999999999993</v>
      </c>
      <c r="Q144" s="17">
        <f>CHOOSE(CONTROL!$C$42, 8.9152, 8.9152) * CHOOSE(CONTROL!$C$21, $C$9, 100%, $E$9)</f>
        <v>8.9152000000000005</v>
      </c>
      <c r="R144" s="17">
        <f>CHOOSE(CONTROL!$C$42, 9.5245, 9.5245) * CHOOSE(CONTROL!$C$21, $C$9, 100%, $E$9)</f>
        <v>9.5244999999999997</v>
      </c>
      <c r="S144" s="17">
        <f>CHOOSE(CONTROL!$C$42, 8.0069, 8.0069) * CHOOSE(CONTROL!$C$21, $C$9, 100%, $E$9)</f>
        <v>8.0068999999999999</v>
      </c>
      <c r="T14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44" s="56">
        <f>(1000*CHOOSE(CONTROL!$C$42, 695, 695)*CHOOSE(CONTROL!$C$42, 0.5599, 0.5599)*CHOOSE(CONTROL!$C$42, 31, 31))/1000000</f>
        <v>12.063045499999998</v>
      </c>
      <c r="V144" s="56">
        <f>(1000*CHOOSE(CONTROL!$C$42, 500, 500)*CHOOSE(CONTROL!$C$42, 0.275, 0.275)*CHOOSE(CONTROL!$C$42, 31, 31))/1000000</f>
        <v>4.2625000000000002</v>
      </c>
      <c r="W144" s="56">
        <f>(1000*CHOOSE(CONTROL!$C$42, 0.1146, 0.1146)*CHOOSE(CONTROL!$C$42, 121.5, 121.5)*CHOOSE(CONTROL!$C$42, 31, 31))/1000000</f>
        <v>0.43164089999999994</v>
      </c>
      <c r="X144" s="56">
        <f>(31*0.2374*100000/1000000)</f>
        <v>0.73594000000000004</v>
      </c>
      <c r="Y144" s="56"/>
      <c r="Z144" s="17"/>
      <c r="AA144" s="55"/>
      <c r="AB144" s="48">
        <f>(B144*122.58+C144*297.941+D144*89.177+E144*140.302+F144*40+G144*60+H144*0+I144*100+J144*300)/(122.58+297.941+89.177+140.302+0+40+60+100+300)</f>
        <v>8.3793101262608705</v>
      </c>
      <c r="AC144" s="45">
        <f>(M144*'RAP TEMPLATE-GAS AVAILABILITY'!O143+N144*'RAP TEMPLATE-GAS AVAILABILITY'!P143+O144*'RAP TEMPLATE-GAS AVAILABILITY'!Q143+P144*'RAP TEMPLATE-GAS AVAILABILITY'!R143)/('RAP TEMPLATE-GAS AVAILABILITY'!O143+'RAP TEMPLATE-GAS AVAILABILITY'!P143+'RAP TEMPLATE-GAS AVAILABILITY'!Q143+'RAP TEMPLATE-GAS AVAILABILITY'!R143)</f>
        <v>8.2693086330935248</v>
      </c>
    </row>
    <row r="145" spans="1:29" ht="15.75" x14ac:dyDescent="0.25">
      <c r="A145" s="16">
        <v>45292</v>
      </c>
      <c r="B145" s="17">
        <f>CHOOSE(CONTROL!$C$42, 8.8783, 8.8783) * CHOOSE(CONTROL!$C$21, $C$9, 100%, $E$9)</f>
        <v>8.8782999999999994</v>
      </c>
      <c r="C145" s="17">
        <f>CHOOSE(CONTROL!$C$42, 8.8833, 8.8833) * CHOOSE(CONTROL!$C$21, $C$9, 100%, $E$9)</f>
        <v>8.8833000000000002</v>
      </c>
      <c r="D145" s="17">
        <f>CHOOSE(CONTROL!$C$42, 9.0018, 9.0018) * CHOOSE(CONTROL!$C$21, $C$9, 100%, $E$9)</f>
        <v>9.0017999999999994</v>
      </c>
      <c r="E145" s="17">
        <f>CHOOSE(CONTROL!$C$42, 9.0359, 9.0359) * CHOOSE(CONTROL!$C$21, $C$9, 100%, $E$9)</f>
        <v>9.0358999999999998</v>
      </c>
      <c r="F145" s="17">
        <f>CHOOSE(CONTROL!$C$42, 8.8987, 8.8987)*CHOOSE(CONTROL!$C$21, $C$9, 100%, $E$9)</f>
        <v>8.8986999999999998</v>
      </c>
      <c r="G145" s="17">
        <f>CHOOSE(CONTROL!$C$42, 8.9155, 8.9155)*CHOOSE(CONTROL!$C$21, $C$9, 100%, $E$9)</f>
        <v>8.9154999999999998</v>
      </c>
      <c r="H145" s="17">
        <f>CHOOSE(CONTROL!$C$42, 9.0251, 9.0251) * CHOOSE(CONTROL!$C$21, $C$9, 100%, $E$9)</f>
        <v>9.0251000000000001</v>
      </c>
      <c r="I145" s="17">
        <f>CHOOSE(CONTROL!$C$42, 8.9297, 8.9297)* CHOOSE(CONTROL!$C$21, $C$9, 100%, $E$9)</f>
        <v>8.9297000000000004</v>
      </c>
      <c r="J145" s="17">
        <f>CHOOSE(CONTROL!$C$42, 8.8917, 8.8917)* CHOOSE(CONTROL!$C$21, $C$9, 100%, $E$9)</f>
        <v>8.8917000000000002</v>
      </c>
      <c r="K145" s="52">
        <f>CHOOSE(CONTROL!$C$42, 8.9255, 8.9255) * CHOOSE(CONTROL!$C$21, $C$9, 100%, $E$9)</f>
        <v>8.9254999999999995</v>
      </c>
      <c r="L145" s="17">
        <f>CHOOSE(CONTROL!$C$42, 9.6121, 9.6121) * CHOOSE(CONTROL!$C$21, $C$9, 100%, $E$9)</f>
        <v>9.6120999999999999</v>
      </c>
      <c r="M145" s="17">
        <f>CHOOSE(CONTROL!$C$42, 8.7394, 8.7394) * CHOOSE(CONTROL!$C$21, $C$9, 100%, $E$9)</f>
        <v>8.7393999999999998</v>
      </c>
      <c r="N145" s="17">
        <f>CHOOSE(CONTROL!$C$42, 8.756, 8.756) * CHOOSE(CONTROL!$C$21, $C$9, 100%, $E$9)</f>
        <v>8.7560000000000002</v>
      </c>
      <c r="O145" s="17">
        <f>CHOOSE(CONTROL!$C$42, 8.8704, 8.8704) * CHOOSE(CONTROL!$C$21, $C$9, 100%, $E$9)</f>
        <v>8.8704000000000001</v>
      </c>
      <c r="P145" s="17">
        <f>CHOOSE(CONTROL!$C$42, 8.7763, 8.7763) * CHOOSE(CONTROL!$C$21, $C$9, 100%, $E$9)</f>
        <v>8.7763000000000009</v>
      </c>
      <c r="Q145" s="17">
        <f>CHOOSE(CONTROL!$C$42, 9.4651, 9.4651) * CHOOSE(CONTROL!$C$21, $C$9, 100%, $E$9)</f>
        <v>9.4650999999999996</v>
      </c>
      <c r="R145" s="17">
        <f>CHOOSE(CONTROL!$C$42, 10.0758, 10.0758) * CHOOSE(CONTROL!$C$21, $C$9, 100%, $E$9)</f>
        <v>10.075799999999999</v>
      </c>
      <c r="S145" s="17">
        <f>CHOOSE(CONTROL!$C$42, 8.5226, 8.5226) * CHOOSE(CONTROL!$C$21, $C$9, 100%, $E$9)</f>
        <v>8.5226000000000006</v>
      </c>
      <c r="T14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45" s="56">
        <f>(1000*CHOOSE(CONTROL!$C$42, 695, 695)*CHOOSE(CONTROL!$C$42, 0.5599, 0.5599)*CHOOSE(CONTROL!$C$42, 31, 31))/1000000</f>
        <v>12.063045499999998</v>
      </c>
      <c r="V145" s="56">
        <f>(1000*CHOOSE(CONTROL!$C$42, 500, 500)*CHOOSE(CONTROL!$C$42, 0.275, 0.275)*CHOOSE(CONTROL!$C$42, 31, 31))/1000000</f>
        <v>4.2625000000000002</v>
      </c>
      <c r="W145" s="56">
        <f>(1000*CHOOSE(CONTROL!$C$42, 0.1146, 0.1146)*CHOOSE(CONTROL!$C$42, 121.5, 121.5)*CHOOSE(CONTROL!$C$42, 31, 31))/1000000</f>
        <v>0.43164089999999994</v>
      </c>
      <c r="X145" s="56">
        <f>(31*0.2374*100000/1000000)</f>
        <v>0.73594000000000004</v>
      </c>
      <c r="Y145" s="56"/>
      <c r="Z145" s="17"/>
      <c r="AA145" s="55"/>
      <c r="AB145" s="48">
        <f>(B145*122.58+C145*297.941+D145*89.177+E145*140.302+F145*40+G145*60+H145*0+I145*100+J145*300)/(122.58+297.941+89.177+140.302+0+40+60+100+300)</f>
        <v>8.9190153562608714</v>
      </c>
      <c r="AC145" s="45">
        <f>(M145*'RAP TEMPLATE-GAS AVAILABILITY'!O144+N145*'RAP TEMPLATE-GAS AVAILABILITY'!P144+O145*'RAP TEMPLATE-GAS AVAILABILITY'!Q144+P145*'RAP TEMPLATE-GAS AVAILABILITY'!R144)/('RAP TEMPLATE-GAS AVAILABILITY'!O144+'RAP TEMPLATE-GAS AVAILABILITY'!P144+'RAP TEMPLATE-GAS AVAILABILITY'!Q144+'RAP TEMPLATE-GAS AVAILABILITY'!R144)</f>
        <v>8.8050388489208622</v>
      </c>
    </row>
    <row r="146" spans="1:29" ht="15.75" x14ac:dyDescent="0.25">
      <c r="A146" s="16">
        <v>45323</v>
      </c>
      <c r="B146" s="17">
        <f>CHOOSE(CONTROL!$C$42, 9.0547, 9.0547) * CHOOSE(CONTROL!$C$21, $C$9, 100%, $E$9)</f>
        <v>9.0547000000000004</v>
      </c>
      <c r="C146" s="17">
        <f>CHOOSE(CONTROL!$C$42, 9.0598, 9.0598) * CHOOSE(CONTROL!$C$21, $C$9, 100%, $E$9)</f>
        <v>9.0597999999999992</v>
      </c>
      <c r="D146" s="17">
        <f>CHOOSE(CONTROL!$C$42, 9.1782, 9.1782) * CHOOSE(CONTROL!$C$21, $C$9, 100%, $E$9)</f>
        <v>9.1782000000000004</v>
      </c>
      <c r="E146" s="17">
        <f>CHOOSE(CONTROL!$C$42, 9.2124, 9.2124) * CHOOSE(CONTROL!$C$21, $C$9, 100%, $E$9)</f>
        <v>9.2124000000000006</v>
      </c>
      <c r="F146" s="17">
        <f>CHOOSE(CONTROL!$C$42, 9.0751, 9.0751)*CHOOSE(CONTROL!$C$21, $C$9, 100%, $E$9)</f>
        <v>9.0751000000000008</v>
      </c>
      <c r="G146" s="17">
        <f>CHOOSE(CONTROL!$C$42, 9.0919, 9.0919)*CHOOSE(CONTROL!$C$21, $C$9, 100%, $E$9)</f>
        <v>9.0919000000000008</v>
      </c>
      <c r="H146" s="17">
        <f>CHOOSE(CONTROL!$C$42, 9.2016, 9.2016) * CHOOSE(CONTROL!$C$21, $C$9, 100%, $E$9)</f>
        <v>9.2015999999999991</v>
      </c>
      <c r="I146" s="17">
        <f>CHOOSE(CONTROL!$C$42, 9.1067, 9.1067)* CHOOSE(CONTROL!$C$21, $C$9, 100%, $E$9)</f>
        <v>9.1067</v>
      </c>
      <c r="J146" s="17">
        <f>CHOOSE(CONTROL!$C$42, 9.0681, 9.0681)* CHOOSE(CONTROL!$C$21, $C$9, 100%, $E$9)</f>
        <v>9.0680999999999994</v>
      </c>
      <c r="K146" s="52">
        <f>CHOOSE(CONTROL!$C$42, 9.1025, 9.1025) * CHOOSE(CONTROL!$C$21, $C$9, 100%, $E$9)</f>
        <v>9.1024999999999991</v>
      </c>
      <c r="L146" s="17">
        <f>CHOOSE(CONTROL!$C$42, 9.7886, 9.7886) * CHOOSE(CONTROL!$C$21, $C$9, 100%, $E$9)</f>
        <v>9.7886000000000006</v>
      </c>
      <c r="M146" s="17">
        <f>CHOOSE(CONTROL!$C$42, 8.9127, 8.9127) * CHOOSE(CONTROL!$C$21, $C$9, 100%, $E$9)</f>
        <v>8.9126999999999992</v>
      </c>
      <c r="N146" s="17">
        <f>CHOOSE(CONTROL!$C$42, 8.9292, 8.9292) * CHOOSE(CONTROL!$C$21, $C$9, 100%, $E$9)</f>
        <v>8.9291999999999998</v>
      </c>
      <c r="O146" s="17">
        <f>CHOOSE(CONTROL!$C$42, 9.0437, 9.0437) * CHOOSE(CONTROL!$C$21, $C$9, 100%, $E$9)</f>
        <v>9.0436999999999994</v>
      </c>
      <c r="P146" s="17">
        <f>CHOOSE(CONTROL!$C$42, 8.9502, 8.9502) * CHOOSE(CONTROL!$C$21, $C$9, 100%, $E$9)</f>
        <v>8.9502000000000006</v>
      </c>
      <c r="Q146" s="17">
        <f>CHOOSE(CONTROL!$C$42, 9.6384, 9.6384) * CHOOSE(CONTROL!$C$21, $C$9, 100%, $E$9)</f>
        <v>9.6384000000000007</v>
      </c>
      <c r="R146" s="17">
        <f>CHOOSE(CONTROL!$C$42, 10.2495, 10.2495) * CHOOSE(CONTROL!$C$21, $C$9, 100%, $E$9)</f>
        <v>10.249499999999999</v>
      </c>
      <c r="S146" s="17">
        <f>CHOOSE(CONTROL!$C$42, 8.6922, 8.6922) * CHOOSE(CONTROL!$C$21, $C$9, 100%, $E$9)</f>
        <v>8.6921999999999997</v>
      </c>
      <c r="T146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146" s="56">
        <f>(1000*CHOOSE(CONTROL!$C$42, 695, 695)*CHOOSE(CONTROL!$C$42, 0.5599, 0.5599)*CHOOSE(CONTROL!$C$42, 29, 29))/1000000</f>
        <v>11.284784499999999</v>
      </c>
      <c r="V146" s="56">
        <f>(1000*CHOOSE(CONTROL!$C$42, 500, 500)*CHOOSE(CONTROL!$C$42, 0.275, 0.275)*CHOOSE(CONTROL!$C$42, 29, 29))/1000000</f>
        <v>3.9874999999999998</v>
      </c>
      <c r="W146" s="56">
        <f>(1000*CHOOSE(CONTROL!$C$42, 0.1146, 0.1146)*CHOOSE(CONTROL!$C$42, 121.5, 121.5)*CHOOSE(CONTROL!$C$42, 29, 29))/1000000</f>
        <v>0.40379309999999996</v>
      </c>
      <c r="X146" s="56">
        <f>(29*0.2374*100000/1000000)</f>
        <v>0.68845999999999996</v>
      </c>
      <c r="Y146" s="56"/>
      <c r="Z146" s="17"/>
      <c r="AA146" s="55"/>
      <c r="AB146" s="48">
        <f>(B146*122.58+C146*297.941+D146*89.177+E146*140.302+F146*40+G146*60+H146*0+I146*100+J146*300)/(122.58+297.941+89.177+140.302+0+40+60+100+300)</f>
        <v>9.0955056382608692</v>
      </c>
      <c r="AC146" s="45">
        <f>(M146*'RAP TEMPLATE-GAS AVAILABILITY'!O145+N146*'RAP TEMPLATE-GAS AVAILABILITY'!P145+O146*'RAP TEMPLATE-GAS AVAILABILITY'!Q145+P146*'RAP TEMPLATE-GAS AVAILABILITY'!R145)/('RAP TEMPLATE-GAS AVAILABILITY'!O145+'RAP TEMPLATE-GAS AVAILABILITY'!P145+'RAP TEMPLATE-GAS AVAILABILITY'!Q145+'RAP TEMPLATE-GAS AVAILABILITY'!R145)</f>
        <v>8.9784194244604318</v>
      </c>
    </row>
    <row r="147" spans="1:29" ht="15.75" x14ac:dyDescent="0.25">
      <c r="A147" s="16">
        <v>45352</v>
      </c>
      <c r="B147" s="17">
        <f>CHOOSE(CONTROL!$C$42, 8.816, 8.816) * CHOOSE(CONTROL!$C$21, $C$9, 100%, $E$9)</f>
        <v>8.8160000000000007</v>
      </c>
      <c r="C147" s="17">
        <f>CHOOSE(CONTROL!$C$42, 8.8211, 8.8211) * CHOOSE(CONTROL!$C$21, $C$9, 100%, $E$9)</f>
        <v>8.8210999999999995</v>
      </c>
      <c r="D147" s="17">
        <f>CHOOSE(CONTROL!$C$42, 8.9396, 8.9396) * CHOOSE(CONTROL!$C$21, $C$9, 100%, $E$9)</f>
        <v>8.9396000000000004</v>
      </c>
      <c r="E147" s="17">
        <f>CHOOSE(CONTROL!$C$42, 8.9737, 8.9737) * CHOOSE(CONTROL!$C$21, $C$9, 100%, $E$9)</f>
        <v>8.9736999999999991</v>
      </c>
      <c r="F147" s="17">
        <f>CHOOSE(CONTROL!$C$42, 8.8357, 8.8357)*CHOOSE(CONTROL!$C$21, $C$9, 100%, $E$9)</f>
        <v>8.8356999999999992</v>
      </c>
      <c r="G147" s="17">
        <f>CHOOSE(CONTROL!$C$42, 8.8524, 8.8524)*CHOOSE(CONTROL!$C$21, $C$9, 100%, $E$9)</f>
        <v>8.8523999999999994</v>
      </c>
      <c r="H147" s="17">
        <f>CHOOSE(CONTROL!$C$42, 8.9629, 8.9629) * CHOOSE(CONTROL!$C$21, $C$9, 100%, $E$9)</f>
        <v>8.9628999999999994</v>
      </c>
      <c r="I147" s="17">
        <f>CHOOSE(CONTROL!$C$42, 8.8673, 8.8673)* CHOOSE(CONTROL!$C$21, $C$9, 100%, $E$9)</f>
        <v>8.8673000000000002</v>
      </c>
      <c r="J147" s="17">
        <f>CHOOSE(CONTROL!$C$42, 8.8287, 8.8287)* CHOOSE(CONTROL!$C$21, $C$9, 100%, $E$9)</f>
        <v>8.8286999999999995</v>
      </c>
      <c r="K147" s="52">
        <f>CHOOSE(CONTROL!$C$42, 8.863, 8.863) * CHOOSE(CONTROL!$C$21, $C$9, 100%, $E$9)</f>
        <v>8.8629999999999995</v>
      </c>
      <c r="L147" s="17">
        <f>CHOOSE(CONTROL!$C$42, 9.5499, 9.5499) * CHOOSE(CONTROL!$C$21, $C$9, 100%, $E$9)</f>
        <v>9.5498999999999992</v>
      </c>
      <c r="M147" s="17">
        <f>CHOOSE(CONTROL!$C$42, 8.6776, 8.6776) * CHOOSE(CONTROL!$C$21, $C$9, 100%, $E$9)</f>
        <v>8.6776</v>
      </c>
      <c r="N147" s="17">
        <f>CHOOSE(CONTROL!$C$42, 8.694, 8.694) * CHOOSE(CONTROL!$C$21, $C$9, 100%, $E$9)</f>
        <v>8.6940000000000008</v>
      </c>
      <c r="O147" s="17">
        <f>CHOOSE(CONTROL!$C$42, 8.8093, 8.8093) * CHOOSE(CONTROL!$C$21, $C$9, 100%, $E$9)</f>
        <v>8.8093000000000004</v>
      </c>
      <c r="P147" s="17">
        <f>CHOOSE(CONTROL!$C$42, 8.715, 8.715) * CHOOSE(CONTROL!$C$21, $C$9, 100%, $E$9)</f>
        <v>8.7149999999999999</v>
      </c>
      <c r="Q147" s="17">
        <f>CHOOSE(CONTROL!$C$42, 9.404, 9.404) * CHOOSE(CONTROL!$C$21, $C$9, 100%, $E$9)</f>
        <v>9.4039999999999999</v>
      </c>
      <c r="R147" s="17">
        <f>CHOOSE(CONTROL!$C$42, 10.0145, 10.0145) * CHOOSE(CONTROL!$C$21, $C$9, 100%, $E$9)</f>
        <v>10.0145</v>
      </c>
      <c r="S147" s="17">
        <f>CHOOSE(CONTROL!$C$42, 8.4628, 8.4628) * CHOOSE(CONTROL!$C$21, $C$9, 100%, $E$9)</f>
        <v>8.4627999999999997</v>
      </c>
      <c r="T14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47" s="56">
        <f>(1000*CHOOSE(CONTROL!$C$42, 695, 695)*CHOOSE(CONTROL!$C$42, 0.5599, 0.5599)*CHOOSE(CONTROL!$C$42, 31, 31))/1000000</f>
        <v>12.063045499999998</v>
      </c>
      <c r="V147" s="56">
        <f>(1000*CHOOSE(CONTROL!$C$42, 500, 500)*CHOOSE(CONTROL!$C$42, 0.275, 0.275)*CHOOSE(CONTROL!$C$42, 31, 31))/1000000</f>
        <v>4.2625000000000002</v>
      </c>
      <c r="W147" s="56">
        <f>(1000*CHOOSE(CONTROL!$C$42, 0.1146, 0.1146)*CHOOSE(CONTROL!$C$42, 121.5, 121.5)*CHOOSE(CONTROL!$C$42, 31, 31))/1000000</f>
        <v>0.43164089999999994</v>
      </c>
      <c r="X147" s="56">
        <f>(31*0.2374*100000/1000000)</f>
        <v>0.73594000000000004</v>
      </c>
      <c r="Y147" s="56"/>
      <c r="Z147" s="17"/>
      <c r="AA147" s="55"/>
      <c r="AB147" s="48">
        <f>(B147*122.58+C147*297.941+D147*89.177+E147*140.302+F147*40+G147*60+H147*0+I147*100+J147*300)/(122.58+297.941+89.177+140.302+0+40+60+100+300)</f>
        <v>8.8565038275652164</v>
      </c>
      <c r="AC147" s="45">
        <f>(M147*'RAP TEMPLATE-GAS AVAILABILITY'!O146+N147*'RAP TEMPLATE-GAS AVAILABILITY'!P146+O147*'RAP TEMPLATE-GAS AVAILABILITY'!Q146+P147*'RAP TEMPLATE-GAS AVAILABILITY'!R146)/('RAP TEMPLATE-GAS AVAILABILITY'!O146+'RAP TEMPLATE-GAS AVAILABILITY'!P146+'RAP TEMPLATE-GAS AVAILABILITY'!Q146+'RAP TEMPLATE-GAS AVAILABILITY'!R146)</f>
        <v>8.7436165467625901</v>
      </c>
    </row>
    <row r="148" spans="1:29" ht="15.75" x14ac:dyDescent="0.25">
      <c r="A148" s="16">
        <v>45383</v>
      </c>
      <c r="B148" s="17">
        <f>CHOOSE(CONTROL!$C$42, 8.8088, 8.8088) * CHOOSE(CONTROL!$C$21, $C$9, 100%, $E$9)</f>
        <v>8.8087999999999997</v>
      </c>
      <c r="C148" s="17">
        <f>CHOOSE(CONTROL!$C$42, 8.8133, 8.8133) * CHOOSE(CONTROL!$C$21, $C$9, 100%, $E$9)</f>
        <v>8.8132999999999999</v>
      </c>
      <c r="D148" s="17">
        <f>CHOOSE(CONTROL!$C$42, 9.0875, 9.0875) * CHOOSE(CONTROL!$C$21, $C$9, 100%, $E$9)</f>
        <v>9.0875000000000004</v>
      </c>
      <c r="E148" s="17">
        <f>CHOOSE(CONTROL!$C$42, 9.1196, 9.1196) * CHOOSE(CONTROL!$C$21, $C$9, 100%, $E$9)</f>
        <v>9.1196000000000002</v>
      </c>
      <c r="F148" s="17">
        <f>CHOOSE(CONTROL!$C$42, 8.8281, 8.8281)*CHOOSE(CONTROL!$C$21, $C$9, 100%, $E$9)</f>
        <v>8.8280999999999992</v>
      </c>
      <c r="G148" s="17">
        <f>CHOOSE(CONTROL!$C$42, 8.8444, 8.8444)*CHOOSE(CONTROL!$C$21, $C$9, 100%, $E$9)</f>
        <v>8.8444000000000003</v>
      </c>
      <c r="H148" s="17">
        <f>CHOOSE(CONTROL!$C$42, 9.1093, 9.1093) * CHOOSE(CONTROL!$C$21, $C$9, 100%, $E$9)</f>
        <v>9.1092999999999993</v>
      </c>
      <c r="I148" s="17">
        <f>CHOOSE(CONTROL!$C$42, 8.8576, 8.8576)* CHOOSE(CONTROL!$C$21, $C$9, 100%, $E$9)</f>
        <v>8.8575999999999997</v>
      </c>
      <c r="J148" s="17">
        <f>CHOOSE(CONTROL!$C$42, 8.8211, 8.8211)* CHOOSE(CONTROL!$C$21, $C$9, 100%, $E$9)</f>
        <v>8.8210999999999995</v>
      </c>
      <c r="K148" s="52">
        <f>CHOOSE(CONTROL!$C$42, 8.8534, 8.8534) * CHOOSE(CONTROL!$C$21, $C$9, 100%, $E$9)</f>
        <v>8.8534000000000006</v>
      </c>
      <c r="L148" s="17">
        <f>CHOOSE(CONTROL!$C$42, 9.6963, 9.6963) * CHOOSE(CONTROL!$C$21, $C$9, 100%, $E$9)</f>
        <v>9.6963000000000008</v>
      </c>
      <c r="M148" s="17">
        <f>CHOOSE(CONTROL!$C$42, 8.6701, 8.6701) * CHOOSE(CONTROL!$C$21, $C$9, 100%, $E$9)</f>
        <v>8.6700999999999997</v>
      </c>
      <c r="N148" s="17">
        <f>CHOOSE(CONTROL!$C$42, 8.6862, 8.6862) * CHOOSE(CONTROL!$C$21, $C$9, 100%, $E$9)</f>
        <v>8.6861999999999995</v>
      </c>
      <c r="O148" s="17">
        <f>CHOOSE(CONTROL!$C$42, 8.9532, 8.9532) * CHOOSE(CONTROL!$C$21, $C$9, 100%, $E$9)</f>
        <v>8.9532000000000007</v>
      </c>
      <c r="P148" s="17">
        <f>CHOOSE(CONTROL!$C$42, 8.7056, 8.7056) * CHOOSE(CONTROL!$C$21, $C$9, 100%, $E$9)</f>
        <v>8.7056000000000004</v>
      </c>
      <c r="Q148" s="17">
        <f>CHOOSE(CONTROL!$C$42, 9.5479, 9.5479) * CHOOSE(CONTROL!$C$21, $C$9, 100%, $E$9)</f>
        <v>9.5479000000000003</v>
      </c>
      <c r="R148" s="17">
        <f>CHOOSE(CONTROL!$C$42, 10.1588, 10.1588) * CHOOSE(CONTROL!$C$21, $C$9, 100%, $E$9)</f>
        <v>10.158799999999999</v>
      </c>
      <c r="S148" s="17">
        <f>CHOOSE(CONTROL!$C$42, 8.4551, 8.4551) * CHOOSE(CONTROL!$C$21, $C$9, 100%, $E$9)</f>
        <v>8.4550999999999998</v>
      </c>
      <c r="T14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48" s="56">
        <f>(1000*CHOOSE(CONTROL!$C$42, 695, 695)*CHOOSE(CONTROL!$C$42, 0.5599, 0.5599)*CHOOSE(CONTROL!$C$42, 30, 30))/1000000</f>
        <v>11.673914999999997</v>
      </c>
      <c r="V148" s="56">
        <f>(1000*CHOOSE(CONTROL!$C$42, 500, 500)*CHOOSE(CONTROL!$C$42, 0.275, 0.275)*CHOOSE(CONTROL!$C$42, 30, 30))/1000000</f>
        <v>4.125</v>
      </c>
      <c r="W148" s="56">
        <f>(1000*CHOOSE(CONTROL!$C$42, 0.1146, 0.1146)*CHOOSE(CONTROL!$C$42, 121.5, 121.5)*CHOOSE(CONTROL!$C$42, 30, 30))/1000000</f>
        <v>0.417717</v>
      </c>
      <c r="X148" s="56">
        <f>(30*0.1790888*145000/1000000)+(30*0.2374*100000/1000000)</f>
        <v>1.4912362799999999</v>
      </c>
      <c r="Y148" s="56"/>
      <c r="Z148" s="17"/>
      <c r="AA148" s="55"/>
      <c r="AB148" s="48">
        <f>(B148*141.293+C148*267.993+D148*115.016+E148*189.698+F148*40+G148*85+H148*0+I148*100+J148*300)/(141.293+267.993+115.016+189.698+0+40+85+100+300)</f>
        <v>8.893212482728007</v>
      </c>
      <c r="AC148" s="45">
        <f>(M148*'RAP TEMPLATE-GAS AVAILABILITY'!O147+N148*'RAP TEMPLATE-GAS AVAILABILITY'!P147+O148*'RAP TEMPLATE-GAS AVAILABILITY'!Q147+P148*'RAP TEMPLATE-GAS AVAILABILITY'!R147)/('RAP TEMPLATE-GAS AVAILABILITY'!O147+'RAP TEMPLATE-GAS AVAILABILITY'!P147+'RAP TEMPLATE-GAS AVAILABILITY'!Q147+'RAP TEMPLATE-GAS AVAILABILITY'!R147)</f>
        <v>8.7583453237410076</v>
      </c>
    </row>
    <row r="149" spans="1:29" ht="15.75" x14ac:dyDescent="0.25">
      <c r="A149" s="16">
        <v>45413</v>
      </c>
      <c r="B149" s="17">
        <f>CHOOSE(CONTROL!$C$42, 8.9061, 8.9061) * CHOOSE(CONTROL!$C$21, $C$9, 100%, $E$9)</f>
        <v>8.9061000000000003</v>
      </c>
      <c r="C149" s="17">
        <f>CHOOSE(CONTROL!$C$42, 8.9141, 8.9141) * CHOOSE(CONTROL!$C$21, $C$9, 100%, $E$9)</f>
        <v>8.9140999999999995</v>
      </c>
      <c r="D149" s="17">
        <f>CHOOSE(CONTROL!$C$42, 9.1852, 9.1852) * CHOOSE(CONTROL!$C$21, $C$9, 100%, $E$9)</f>
        <v>9.1852</v>
      </c>
      <c r="E149" s="17">
        <f>CHOOSE(CONTROL!$C$42, 9.2166, 9.2166) * CHOOSE(CONTROL!$C$21, $C$9, 100%, $E$9)</f>
        <v>9.2165999999999997</v>
      </c>
      <c r="F149" s="17">
        <f>CHOOSE(CONTROL!$C$42, 8.9243, 8.9243)*CHOOSE(CONTROL!$C$21, $C$9, 100%, $E$9)</f>
        <v>8.9243000000000006</v>
      </c>
      <c r="G149" s="17">
        <f>CHOOSE(CONTROL!$C$42, 8.9409, 8.9409)*CHOOSE(CONTROL!$C$21, $C$9, 100%, $E$9)</f>
        <v>8.9408999999999992</v>
      </c>
      <c r="H149" s="17">
        <f>CHOOSE(CONTROL!$C$42, 9.2053, 9.2053) * CHOOSE(CONTROL!$C$21, $C$9, 100%, $E$9)</f>
        <v>9.2052999999999994</v>
      </c>
      <c r="I149" s="17">
        <f>CHOOSE(CONTROL!$C$42, 8.9539, 8.9539)* CHOOSE(CONTROL!$C$21, $C$9, 100%, $E$9)</f>
        <v>8.9539000000000009</v>
      </c>
      <c r="J149" s="17">
        <f>CHOOSE(CONTROL!$C$42, 8.9173, 8.9173)* CHOOSE(CONTROL!$C$21, $C$9, 100%, $E$9)</f>
        <v>8.9172999999999991</v>
      </c>
      <c r="K149" s="52">
        <f>CHOOSE(CONTROL!$C$42, 8.9496, 8.9496) * CHOOSE(CONTROL!$C$21, $C$9, 100%, $E$9)</f>
        <v>8.9496000000000002</v>
      </c>
      <c r="L149" s="17">
        <f>CHOOSE(CONTROL!$C$42, 9.7923, 9.7923) * CHOOSE(CONTROL!$C$21, $C$9, 100%, $E$9)</f>
        <v>9.7922999999999991</v>
      </c>
      <c r="M149" s="17">
        <f>CHOOSE(CONTROL!$C$42, 8.7646, 8.7646) * CHOOSE(CONTROL!$C$21, $C$9, 100%, $E$9)</f>
        <v>8.7645999999999997</v>
      </c>
      <c r="N149" s="17">
        <f>CHOOSE(CONTROL!$C$42, 8.7809, 8.7809) * CHOOSE(CONTROL!$C$21, $C$9, 100%, $E$9)</f>
        <v>8.7809000000000008</v>
      </c>
      <c r="O149" s="17">
        <f>CHOOSE(CONTROL!$C$42, 9.0474, 9.0474) * CHOOSE(CONTROL!$C$21, $C$9, 100%, $E$9)</f>
        <v>9.0473999999999997</v>
      </c>
      <c r="P149" s="17">
        <f>CHOOSE(CONTROL!$C$42, 8.8001, 8.8001) * CHOOSE(CONTROL!$C$21, $C$9, 100%, $E$9)</f>
        <v>8.8001000000000005</v>
      </c>
      <c r="Q149" s="17">
        <f>CHOOSE(CONTROL!$C$42, 9.6421, 9.6421) * CHOOSE(CONTROL!$C$21, $C$9, 100%, $E$9)</f>
        <v>9.6420999999999992</v>
      </c>
      <c r="R149" s="17">
        <f>CHOOSE(CONTROL!$C$42, 10.2532, 10.2532) * CHOOSE(CONTROL!$C$21, $C$9, 100%, $E$9)</f>
        <v>10.2532</v>
      </c>
      <c r="S149" s="17">
        <f>CHOOSE(CONTROL!$C$42, 8.5472, 8.5472) * CHOOSE(CONTROL!$C$21, $C$9, 100%, $E$9)</f>
        <v>8.5472000000000001</v>
      </c>
      <c r="T14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49" s="56">
        <f>(1000*CHOOSE(CONTROL!$C$42, 695, 695)*CHOOSE(CONTROL!$C$42, 0.5599, 0.5599)*CHOOSE(CONTROL!$C$42, 31, 31))/1000000</f>
        <v>12.063045499999998</v>
      </c>
      <c r="V149" s="56">
        <f>(1000*CHOOSE(CONTROL!$C$42, 500, 500)*CHOOSE(CONTROL!$C$42, 0.275, 0.275)*CHOOSE(CONTROL!$C$42, 31, 31))/1000000</f>
        <v>4.2625000000000002</v>
      </c>
      <c r="W149" s="56">
        <f>(1000*CHOOSE(CONTROL!$C$42, 0.1146, 0.1146)*CHOOSE(CONTROL!$C$42, 121.5, 121.5)*CHOOSE(CONTROL!$C$42, 31, 31))/1000000</f>
        <v>0.43164089999999994</v>
      </c>
      <c r="X149" s="56">
        <f>(31*0.1790888*145000/1000000)+(31*0.2374*100000/1000000)</f>
        <v>1.5409441560000001</v>
      </c>
      <c r="Y149" s="56"/>
      <c r="Z149" s="17"/>
      <c r="AA149" s="55"/>
      <c r="AB149" s="48">
        <f>(B149*194.205+C149*267.466+D149*133.845+E149*153.484+F149*40+G149*85+H149*0+I149*100+J149*300)/(194.205+267.466+133.845+153.484+0+40+85+100+300)</f>
        <v>8.9837912476452093</v>
      </c>
      <c r="AC149" s="45">
        <f>(M149*'RAP TEMPLATE-GAS AVAILABILITY'!O148+N149*'RAP TEMPLATE-GAS AVAILABILITY'!P148+O149*'RAP TEMPLATE-GAS AVAILABILITY'!Q148+P149*'RAP TEMPLATE-GAS AVAILABILITY'!R148)/('RAP TEMPLATE-GAS AVAILABILITY'!O148+'RAP TEMPLATE-GAS AVAILABILITY'!P148+'RAP TEMPLATE-GAS AVAILABILITY'!Q148+'RAP TEMPLATE-GAS AVAILABILITY'!R148)</f>
        <v>8.8528071942446065</v>
      </c>
    </row>
    <row r="150" spans="1:29" ht="15.75" x14ac:dyDescent="0.25">
      <c r="A150" s="16">
        <v>45444</v>
      </c>
      <c r="B150" s="17">
        <f>CHOOSE(CONTROL!$C$42, 9.1772, 9.1772) * CHOOSE(CONTROL!$C$21, $C$9, 100%, $E$9)</f>
        <v>9.1771999999999991</v>
      </c>
      <c r="C150" s="17">
        <f>CHOOSE(CONTROL!$C$42, 9.1853, 9.1853) * CHOOSE(CONTROL!$C$21, $C$9, 100%, $E$9)</f>
        <v>9.1852999999999998</v>
      </c>
      <c r="D150" s="17">
        <f>CHOOSE(CONTROL!$C$42, 9.4563, 9.4563) * CHOOSE(CONTROL!$C$21, $C$9, 100%, $E$9)</f>
        <v>9.4563000000000006</v>
      </c>
      <c r="E150" s="17">
        <f>CHOOSE(CONTROL!$C$42, 9.4878, 9.4878) * CHOOSE(CONTROL!$C$21, $C$9, 100%, $E$9)</f>
        <v>9.4878</v>
      </c>
      <c r="F150" s="17">
        <f>CHOOSE(CONTROL!$C$42, 9.1957, 9.1957)*CHOOSE(CONTROL!$C$21, $C$9, 100%, $E$9)</f>
        <v>9.1957000000000004</v>
      </c>
      <c r="G150" s="17">
        <f>CHOOSE(CONTROL!$C$42, 9.2124, 9.2124)*CHOOSE(CONTROL!$C$21, $C$9, 100%, $E$9)</f>
        <v>9.2124000000000006</v>
      </c>
      <c r="H150" s="17">
        <f>CHOOSE(CONTROL!$C$42, 9.4764, 9.4764) * CHOOSE(CONTROL!$C$21, $C$9, 100%, $E$9)</f>
        <v>9.4763999999999999</v>
      </c>
      <c r="I150" s="17">
        <f>CHOOSE(CONTROL!$C$42, 9.2258, 9.2258)* CHOOSE(CONTROL!$C$21, $C$9, 100%, $E$9)</f>
        <v>9.2257999999999996</v>
      </c>
      <c r="J150" s="17">
        <f>CHOOSE(CONTROL!$C$42, 9.1887, 9.1887)* CHOOSE(CONTROL!$C$21, $C$9, 100%, $E$9)</f>
        <v>9.1887000000000008</v>
      </c>
      <c r="K150" s="52">
        <f>CHOOSE(CONTROL!$C$42, 9.2216, 9.2216) * CHOOSE(CONTROL!$C$21, $C$9, 100%, $E$9)</f>
        <v>9.2216000000000005</v>
      </c>
      <c r="L150" s="17">
        <f>CHOOSE(CONTROL!$C$42, 10.0634, 10.0634) * CHOOSE(CONTROL!$C$21, $C$9, 100%, $E$9)</f>
        <v>10.0634</v>
      </c>
      <c r="M150" s="17">
        <f>CHOOSE(CONTROL!$C$42, 9.0311, 9.0311) * CHOOSE(CONTROL!$C$21, $C$9, 100%, $E$9)</f>
        <v>9.0311000000000003</v>
      </c>
      <c r="N150" s="17">
        <f>CHOOSE(CONTROL!$C$42, 9.0475, 9.0475) * CHOOSE(CONTROL!$C$21, $C$9, 100%, $E$9)</f>
        <v>9.0474999999999994</v>
      </c>
      <c r="O150" s="17">
        <f>CHOOSE(CONTROL!$C$42, 9.3137, 9.3137) * CHOOSE(CONTROL!$C$21, $C$9, 100%, $E$9)</f>
        <v>9.3137000000000008</v>
      </c>
      <c r="P150" s="17">
        <f>CHOOSE(CONTROL!$C$42, 9.0672, 9.0672) * CHOOSE(CONTROL!$C$21, $C$9, 100%, $E$9)</f>
        <v>9.0671999999999997</v>
      </c>
      <c r="Q150" s="17">
        <f>CHOOSE(CONTROL!$C$42, 9.9084, 9.9084) * CHOOSE(CONTROL!$C$21, $C$9, 100%, $E$9)</f>
        <v>9.9084000000000003</v>
      </c>
      <c r="R150" s="17">
        <f>CHOOSE(CONTROL!$C$42, 10.5201, 10.5201) * CHOOSE(CONTROL!$C$21, $C$9, 100%, $E$9)</f>
        <v>10.520099999999999</v>
      </c>
      <c r="S150" s="17">
        <f>CHOOSE(CONTROL!$C$42, 8.8078, 8.8078) * CHOOSE(CONTROL!$C$21, $C$9, 100%, $E$9)</f>
        <v>8.8078000000000003</v>
      </c>
      <c r="T15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50" s="56">
        <f>(1000*CHOOSE(CONTROL!$C$42, 695, 695)*CHOOSE(CONTROL!$C$42, 0.5599, 0.5599)*CHOOSE(CONTROL!$C$42, 30, 30))/1000000</f>
        <v>11.673914999999997</v>
      </c>
      <c r="V150" s="56">
        <f>(1000*CHOOSE(CONTROL!$C$42, 500, 500)*CHOOSE(CONTROL!$C$42, 0.275, 0.275)*CHOOSE(CONTROL!$C$42, 30, 30))/1000000</f>
        <v>4.125</v>
      </c>
      <c r="W150" s="56">
        <f>(1000*CHOOSE(CONTROL!$C$42, 0.1146, 0.1146)*CHOOSE(CONTROL!$C$42, 121.5, 121.5)*CHOOSE(CONTROL!$C$42, 30, 30))/1000000</f>
        <v>0.417717</v>
      </c>
      <c r="X150" s="56">
        <f>(30*0.1790888*145000/1000000)+(30*0.2374*100000/1000000)</f>
        <v>1.4912362799999999</v>
      </c>
      <c r="Y150" s="56"/>
      <c r="Z150" s="17"/>
      <c r="AA150" s="55"/>
      <c r="AB150" s="48">
        <f>(B150*194.205+C150*267.466+D150*133.845+E150*153.484+F150*40+G150*85+H150*0+I150*100+J150*300)/(194.205+267.466+133.845+153.484+0+40+85+100+300)</f>
        <v>9.2550938339874413</v>
      </c>
      <c r="AC150" s="45">
        <f>(M150*'RAP TEMPLATE-GAS AVAILABILITY'!O149+N150*'RAP TEMPLATE-GAS AVAILABILITY'!P149+O150*'RAP TEMPLATE-GAS AVAILABILITY'!Q149+P150*'RAP TEMPLATE-GAS AVAILABILITY'!R149)/('RAP TEMPLATE-GAS AVAILABILITY'!O149+'RAP TEMPLATE-GAS AVAILABILITY'!P149+'RAP TEMPLATE-GAS AVAILABILITY'!Q149+'RAP TEMPLATE-GAS AVAILABILITY'!R149)</f>
        <v>9.1193604316546768</v>
      </c>
    </row>
    <row r="151" spans="1:29" ht="15.75" x14ac:dyDescent="0.25">
      <c r="A151" s="16">
        <v>45474</v>
      </c>
      <c r="B151" s="17">
        <f>CHOOSE(CONTROL!$C$42, 9.0199, 9.0199) * CHOOSE(CONTROL!$C$21, $C$9, 100%, $E$9)</f>
        <v>9.0198999999999998</v>
      </c>
      <c r="C151" s="17">
        <f>CHOOSE(CONTROL!$C$42, 9.0279, 9.0279) * CHOOSE(CONTROL!$C$21, $C$9, 100%, $E$9)</f>
        <v>9.0279000000000007</v>
      </c>
      <c r="D151" s="17">
        <f>CHOOSE(CONTROL!$C$42, 9.299, 9.299) * CHOOSE(CONTROL!$C$21, $C$9, 100%, $E$9)</f>
        <v>9.2989999999999995</v>
      </c>
      <c r="E151" s="17">
        <f>CHOOSE(CONTROL!$C$42, 9.3305, 9.3305) * CHOOSE(CONTROL!$C$21, $C$9, 100%, $E$9)</f>
        <v>9.3305000000000007</v>
      </c>
      <c r="F151" s="17">
        <f>CHOOSE(CONTROL!$C$42, 9.0388, 9.0388)*CHOOSE(CONTROL!$C$21, $C$9, 100%, $E$9)</f>
        <v>9.0388000000000002</v>
      </c>
      <c r="G151" s="17">
        <f>CHOOSE(CONTROL!$C$42, 9.0556, 9.0556)*CHOOSE(CONTROL!$C$21, $C$9, 100%, $E$9)</f>
        <v>9.0556000000000001</v>
      </c>
      <c r="H151" s="17">
        <f>CHOOSE(CONTROL!$C$42, 9.3191, 9.3191) * CHOOSE(CONTROL!$C$21, $C$9, 100%, $E$9)</f>
        <v>9.3191000000000006</v>
      </c>
      <c r="I151" s="17">
        <f>CHOOSE(CONTROL!$C$42, 9.068, 9.068)* CHOOSE(CONTROL!$C$21, $C$9, 100%, $E$9)</f>
        <v>9.0679999999999996</v>
      </c>
      <c r="J151" s="17">
        <f>CHOOSE(CONTROL!$C$42, 9.0318, 9.0318)* CHOOSE(CONTROL!$C$21, $C$9, 100%, $E$9)</f>
        <v>9.0318000000000005</v>
      </c>
      <c r="K151" s="52">
        <f>CHOOSE(CONTROL!$C$42, 9.0638, 9.0638) * CHOOSE(CONTROL!$C$21, $C$9, 100%, $E$9)</f>
        <v>9.0638000000000005</v>
      </c>
      <c r="L151" s="17">
        <f>CHOOSE(CONTROL!$C$42, 9.9061, 9.9061) * CHOOSE(CONTROL!$C$21, $C$9, 100%, $E$9)</f>
        <v>9.9061000000000003</v>
      </c>
      <c r="M151" s="17">
        <f>CHOOSE(CONTROL!$C$42, 8.877, 8.877) * CHOOSE(CONTROL!$C$21, $C$9, 100%, $E$9)</f>
        <v>8.8770000000000007</v>
      </c>
      <c r="N151" s="17">
        <f>CHOOSE(CONTROL!$C$42, 8.8935, 8.8935) * CHOOSE(CONTROL!$C$21, $C$9, 100%, $E$9)</f>
        <v>8.8934999999999995</v>
      </c>
      <c r="O151" s="17">
        <f>CHOOSE(CONTROL!$C$42, 9.1592, 9.1592) * CHOOSE(CONTROL!$C$21, $C$9, 100%, $E$9)</f>
        <v>9.1592000000000002</v>
      </c>
      <c r="P151" s="17">
        <f>CHOOSE(CONTROL!$C$42, 8.9122, 8.9122) * CHOOSE(CONTROL!$C$21, $C$9, 100%, $E$9)</f>
        <v>8.9122000000000003</v>
      </c>
      <c r="Q151" s="17">
        <f>CHOOSE(CONTROL!$C$42, 9.7539, 9.7539) * CHOOSE(CONTROL!$C$21, $C$9, 100%, $E$9)</f>
        <v>9.7538999999999998</v>
      </c>
      <c r="R151" s="17">
        <f>CHOOSE(CONTROL!$C$42, 10.3653, 10.3653) * CHOOSE(CONTROL!$C$21, $C$9, 100%, $E$9)</f>
        <v>10.3653</v>
      </c>
      <c r="S151" s="17">
        <f>CHOOSE(CONTROL!$C$42, 8.6566, 8.6566) * CHOOSE(CONTROL!$C$21, $C$9, 100%, $E$9)</f>
        <v>8.6565999999999992</v>
      </c>
      <c r="T15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51" s="56">
        <f>(1000*CHOOSE(CONTROL!$C$42, 695, 695)*CHOOSE(CONTROL!$C$42, 0.5599, 0.5599)*CHOOSE(CONTROL!$C$42, 31, 31))/1000000</f>
        <v>12.063045499999998</v>
      </c>
      <c r="V151" s="56">
        <f>(1000*CHOOSE(CONTROL!$C$42, 500, 500)*CHOOSE(CONTROL!$C$42, 0.275, 0.275)*CHOOSE(CONTROL!$C$42, 31, 31))/1000000</f>
        <v>4.2625000000000002</v>
      </c>
      <c r="W151" s="56">
        <f>(1000*CHOOSE(CONTROL!$C$42, 0.1146, 0.1146)*CHOOSE(CONTROL!$C$42, 121.5, 121.5)*CHOOSE(CONTROL!$C$42, 31, 31))/1000000</f>
        <v>0.43164089999999994</v>
      </c>
      <c r="X151" s="56">
        <f>(31*0.1790888*145000/1000000)+(31*0.2374*100000/1000000)</f>
        <v>1.5409441560000001</v>
      </c>
      <c r="Y151" s="56"/>
      <c r="Z151" s="17"/>
      <c r="AA151" s="55"/>
      <c r="AB151" s="48">
        <f>(B151*194.205+C151*267.466+D151*133.845+E151*153.484+F151*40+G151*85+H151*0+I151*100+J151*300)/(194.205+267.466+133.845+153.484+0+40+85+100+300)</f>
        <v>9.0978737032182089</v>
      </c>
      <c r="AC151" s="45">
        <f>(M151*'RAP TEMPLATE-GAS AVAILABILITY'!O150+N151*'RAP TEMPLATE-GAS AVAILABILITY'!P150+O151*'RAP TEMPLATE-GAS AVAILABILITY'!Q150+P151*'RAP TEMPLATE-GAS AVAILABILITY'!R150)/('RAP TEMPLATE-GAS AVAILABILITY'!O150+'RAP TEMPLATE-GAS AVAILABILITY'!P150+'RAP TEMPLATE-GAS AVAILABILITY'!Q150+'RAP TEMPLATE-GAS AVAILABILITY'!R150)</f>
        <v>8.9650417266187059</v>
      </c>
    </row>
    <row r="152" spans="1:29" ht="15.75" x14ac:dyDescent="0.25">
      <c r="A152" s="16">
        <v>45505</v>
      </c>
      <c r="B152" s="17">
        <f>CHOOSE(CONTROL!$C$42, 8.5926, 8.5926) * CHOOSE(CONTROL!$C$21, $C$9, 100%, $E$9)</f>
        <v>8.5925999999999991</v>
      </c>
      <c r="C152" s="17">
        <f>CHOOSE(CONTROL!$C$42, 8.6006, 8.6006) * CHOOSE(CONTROL!$C$21, $C$9, 100%, $E$9)</f>
        <v>8.6006</v>
      </c>
      <c r="D152" s="17">
        <f>CHOOSE(CONTROL!$C$42, 8.8717, 8.8717) * CHOOSE(CONTROL!$C$21, $C$9, 100%, $E$9)</f>
        <v>8.8717000000000006</v>
      </c>
      <c r="E152" s="17">
        <f>CHOOSE(CONTROL!$C$42, 8.9032, 8.9032) * CHOOSE(CONTROL!$C$21, $C$9, 100%, $E$9)</f>
        <v>8.9032</v>
      </c>
      <c r="F152" s="17">
        <f>CHOOSE(CONTROL!$C$42, 8.6117, 8.6117)*CHOOSE(CONTROL!$C$21, $C$9, 100%, $E$9)</f>
        <v>8.6117000000000008</v>
      </c>
      <c r="G152" s="17">
        <f>CHOOSE(CONTROL!$C$42, 8.6286, 8.6286)*CHOOSE(CONTROL!$C$21, $C$9, 100%, $E$9)</f>
        <v>8.6286000000000005</v>
      </c>
      <c r="H152" s="17">
        <f>CHOOSE(CONTROL!$C$42, 8.8918, 8.8918) * CHOOSE(CONTROL!$C$21, $C$9, 100%, $E$9)</f>
        <v>8.8917999999999999</v>
      </c>
      <c r="I152" s="17">
        <f>CHOOSE(CONTROL!$C$42, 8.6394, 8.6394)* CHOOSE(CONTROL!$C$21, $C$9, 100%, $E$9)</f>
        <v>8.6394000000000002</v>
      </c>
      <c r="J152" s="17">
        <f>CHOOSE(CONTROL!$C$42, 8.6047, 8.6047)* CHOOSE(CONTROL!$C$21, $C$9, 100%, $E$9)</f>
        <v>8.6046999999999993</v>
      </c>
      <c r="K152" s="52">
        <f>CHOOSE(CONTROL!$C$42, 8.6352, 8.6352) * CHOOSE(CONTROL!$C$21, $C$9, 100%, $E$9)</f>
        <v>8.6351999999999993</v>
      </c>
      <c r="L152" s="17">
        <f>CHOOSE(CONTROL!$C$42, 9.4788, 9.4788) * CHOOSE(CONTROL!$C$21, $C$9, 100%, $E$9)</f>
        <v>9.4787999999999997</v>
      </c>
      <c r="M152" s="17">
        <f>CHOOSE(CONTROL!$C$42, 8.4577, 8.4577) * CHOOSE(CONTROL!$C$21, $C$9, 100%, $E$9)</f>
        <v>8.4577000000000009</v>
      </c>
      <c r="N152" s="17">
        <f>CHOOSE(CONTROL!$C$42, 8.4742, 8.4742) * CHOOSE(CONTROL!$C$21, $C$9, 100%, $E$9)</f>
        <v>8.4741999999999997</v>
      </c>
      <c r="O152" s="17">
        <f>CHOOSE(CONTROL!$C$42, 8.7395, 8.7395) * CHOOSE(CONTROL!$C$21, $C$9, 100%, $E$9)</f>
        <v>8.7394999999999996</v>
      </c>
      <c r="P152" s="17">
        <f>CHOOSE(CONTROL!$C$42, 8.4913, 8.4913) * CHOOSE(CONTROL!$C$21, $C$9, 100%, $E$9)</f>
        <v>8.4913000000000007</v>
      </c>
      <c r="Q152" s="17">
        <f>CHOOSE(CONTROL!$C$42, 9.3342, 9.3342) * CHOOSE(CONTROL!$C$21, $C$9, 100%, $E$9)</f>
        <v>9.3341999999999992</v>
      </c>
      <c r="R152" s="17">
        <f>CHOOSE(CONTROL!$C$42, 9.9446, 9.9446) * CHOOSE(CONTROL!$C$21, $C$9, 100%, $E$9)</f>
        <v>9.9445999999999994</v>
      </c>
      <c r="S152" s="17">
        <f>CHOOSE(CONTROL!$C$42, 8.246, 8.246) * CHOOSE(CONTROL!$C$21, $C$9, 100%, $E$9)</f>
        <v>8.2460000000000004</v>
      </c>
      <c r="T15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52" s="56">
        <f>(1000*CHOOSE(CONTROL!$C$42, 695, 695)*CHOOSE(CONTROL!$C$42, 0.5599, 0.5599)*CHOOSE(CONTROL!$C$42, 31, 31))/1000000</f>
        <v>12.063045499999998</v>
      </c>
      <c r="V152" s="56">
        <f>(1000*CHOOSE(CONTROL!$C$42, 500, 500)*CHOOSE(CONTROL!$C$42, 0.275, 0.275)*CHOOSE(CONTROL!$C$42, 31, 31))/1000000</f>
        <v>4.2625000000000002</v>
      </c>
      <c r="W152" s="56">
        <f>(1000*CHOOSE(CONTROL!$C$42, 0.1146, 0.1146)*CHOOSE(CONTROL!$C$42, 121.5, 121.5)*CHOOSE(CONTROL!$C$42, 31, 31))/1000000</f>
        <v>0.43164089999999994</v>
      </c>
      <c r="X152" s="56">
        <f>(31*0.1790888*145000/1000000)+(31*0.2374*100000/1000000)</f>
        <v>1.5409441560000001</v>
      </c>
      <c r="Y152" s="56"/>
      <c r="Z152" s="17"/>
      <c r="AA152" s="55"/>
      <c r="AB152" s="48">
        <f>(B152*194.205+C152*267.466+D152*133.845+E152*153.484+F152*40+G152*85+H152*0+I152*100+J152*300)/(194.205+267.466+133.845+153.484+0+40+85+100+300)</f>
        <v>8.6705450532967046</v>
      </c>
      <c r="AC152" s="45">
        <f>(M152*'RAP TEMPLATE-GAS AVAILABILITY'!O151+N152*'RAP TEMPLATE-GAS AVAILABILITY'!P151+O152*'RAP TEMPLATE-GAS AVAILABILITY'!Q151+P152*'RAP TEMPLATE-GAS AVAILABILITY'!R151)/('RAP TEMPLATE-GAS AVAILABILITY'!O151+'RAP TEMPLATE-GAS AVAILABILITY'!P151+'RAP TEMPLATE-GAS AVAILABILITY'!Q151+'RAP TEMPLATE-GAS AVAILABILITY'!R151)</f>
        <v>8.5453992805755412</v>
      </c>
    </row>
    <row r="153" spans="1:29" ht="15.75" x14ac:dyDescent="0.25">
      <c r="A153" s="16">
        <v>45536</v>
      </c>
      <c r="B153" s="17">
        <f>CHOOSE(CONTROL!$C$42, 8.0642, 8.0642) * CHOOSE(CONTROL!$C$21, $C$9, 100%, $E$9)</f>
        <v>8.0641999999999996</v>
      </c>
      <c r="C153" s="17">
        <f>CHOOSE(CONTROL!$C$42, 8.0722, 8.0722) * CHOOSE(CONTROL!$C$21, $C$9, 100%, $E$9)</f>
        <v>8.0722000000000005</v>
      </c>
      <c r="D153" s="17">
        <f>CHOOSE(CONTROL!$C$42, 8.3433, 8.3433) * CHOOSE(CONTROL!$C$21, $C$9, 100%, $E$9)</f>
        <v>8.3432999999999993</v>
      </c>
      <c r="E153" s="17">
        <f>CHOOSE(CONTROL!$C$42, 8.3747, 8.3747) * CHOOSE(CONTROL!$C$21, $C$9, 100%, $E$9)</f>
        <v>8.3747000000000007</v>
      </c>
      <c r="F153" s="17">
        <f>CHOOSE(CONTROL!$C$42, 8.0834, 8.0834)*CHOOSE(CONTROL!$C$21, $C$9, 100%, $E$9)</f>
        <v>8.0833999999999993</v>
      </c>
      <c r="G153" s="17">
        <f>CHOOSE(CONTROL!$C$42, 8.1003, 8.1003)*CHOOSE(CONTROL!$C$21, $C$9, 100%, $E$9)</f>
        <v>8.1003000000000007</v>
      </c>
      <c r="H153" s="17">
        <f>CHOOSE(CONTROL!$C$42, 8.3633, 8.3633) * CHOOSE(CONTROL!$C$21, $C$9, 100%, $E$9)</f>
        <v>8.3633000000000006</v>
      </c>
      <c r="I153" s="17">
        <f>CHOOSE(CONTROL!$C$42, 8.1093, 8.1093)* CHOOSE(CONTROL!$C$21, $C$9, 100%, $E$9)</f>
        <v>8.1092999999999993</v>
      </c>
      <c r="J153" s="17">
        <f>CHOOSE(CONTROL!$C$42, 8.0764, 8.0764)* CHOOSE(CONTROL!$C$21, $C$9, 100%, $E$9)</f>
        <v>8.0763999999999996</v>
      </c>
      <c r="K153" s="52">
        <f>CHOOSE(CONTROL!$C$42, 8.1051, 8.1051) * CHOOSE(CONTROL!$C$21, $C$9, 100%, $E$9)</f>
        <v>8.1051000000000002</v>
      </c>
      <c r="L153" s="17">
        <f>CHOOSE(CONTROL!$C$42, 8.9503, 8.9503) * CHOOSE(CONTROL!$C$21, $C$9, 100%, $E$9)</f>
        <v>8.9503000000000004</v>
      </c>
      <c r="M153" s="17">
        <f>CHOOSE(CONTROL!$C$42, 7.9388, 7.9388) * CHOOSE(CONTROL!$C$21, $C$9, 100%, $E$9)</f>
        <v>7.9387999999999996</v>
      </c>
      <c r="N153" s="17">
        <f>CHOOSE(CONTROL!$C$42, 7.9554, 7.9554) * CHOOSE(CONTROL!$C$21, $C$9, 100%, $E$9)</f>
        <v>7.9554</v>
      </c>
      <c r="O153" s="17">
        <f>CHOOSE(CONTROL!$C$42, 8.2206, 8.2206) * CHOOSE(CONTROL!$C$21, $C$9, 100%, $E$9)</f>
        <v>8.2205999999999992</v>
      </c>
      <c r="P153" s="17">
        <f>CHOOSE(CONTROL!$C$42, 7.9707, 7.9707) * CHOOSE(CONTROL!$C$21, $C$9, 100%, $E$9)</f>
        <v>7.9706999999999999</v>
      </c>
      <c r="Q153" s="17">
        <f>CHOOSE(CONTROL!$C$42, 8.8153, 8.8153) * CHOOSE(CONTROL!$C$21, $C$9, 100%, $E$9)</f>
        <v>8.8153000000000006</v>
      </c>
      <c r="R153" s="17">
        <f>CHOOSE(CONTROL!$C$42, 9.4243, 9.4243) * CHOOSE(CONTROL!$C$21, $C$9, 100%, $E$9)</f>
        <v>9.4243000000000006</v>
      </c>
      <c r="S153" s="17">
        <f>CHOOSE(CONTROL!$C$42, 7.7382, 7.7382) * CHOOSE(CONTROL!$C$21, $C$9, 100%, $E$9)</f>
        <v>7.7382</v>
      </c>
      <c r="T15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53" s="56">
        <f>(1000*CHOOSE(CONTROL!$C$42, 695, 695)*CHOOSE(CONTROL!$C$42, 0.5599, 0.5599)*CHOOSE(CONTROL!$C$42, 30, 30))/1000000</f>
        <v>11.673914999999997</v>
      </c>
      <c r="V153" s="56">
        <f>(1000*CHOOSE(CONTROL!$C$42, 500, 500)*CHOOSE(CONTROL!$C$42, 0.275, 0.275)*CHOOSE(CONTROL!$C$42, 30, 30))/1000000</f>
        <v>4.125</v>
      </c>
      <c r="W153" s="56">
        <f>(1000*CHOOSE(CONTROL!$C$42, 0.1146, 0.1146)*CHOOSE(CONTROL!$C$42, 121.5, 121.5)*CHOOSE(CONTROL!$C$42, 30, 30))/1000000</f>
        <v>0.417717</v>
      </c>
      <c r="X153" s="56">
        <f>(30*0.1790888*145000/1000000)+(30*0.2374*100000/1000000)</f>
        <v>1.4912362799999999</v>
      </c>
      <c r="Y153" s="56"/>
      <c r="Z153" s="17"/>
      <c r="AA153" s="55"/>
      <c r="AB153" s="48">
        <f>(B153*194.205+C153*267.466+D153*133.845+E153*153.484+F153*40+G153*85+H153*0+I153*100+J153*300)/(194.205+267.466+133.845+153.484+0+40+85+100+300)</f>
        <v>8.1420329273940339</v>
      </c>
      <c r="AC153" s="45">
        <f>(M153*'RAP TEMPLATE-GAS AVAILABILITY'!O152+N153*'RAP TEMPLATE-GAS AVAILABILITY'!P152+O153*'RAP TEMPLATE-GAS AVAILABILITY'!Q152+P153*'RAP TEMPLATE-GAS AVAILABILITY'!R152)/('RAP TEMPLATE-GAS AVAILABILITY'!O152+'RAP TEMPLATE-GAS AVAILABILITY'!P152+'RAP TEMPLATE-GAS AVAILABILITY'!Q152+'RAP TEMPLATE-GAS AVAILABILITY'!R152)</f>
        <v>8.0262776978417261</v>
      </c>
    </row>
    <row r="154" spans="1:29" ht="15.75" x14ac:dyDescent="0.25">
      <c r="A154" s="16">
        <v>45566</v>
      </c>
      <c r="B154" s="17">
        <f>CHOOSE(CONTROL!$C$42, 7.9152, 7.9152) * CHOOSE(CONTROL!$C$21, $C$9, 100%, $E$9)</f>
        <v>7.9151999999999996</v>
      </c>
      <c r="C154" s="17">
        <f>CHOOSE(CONTROL!$C$42, 7.9205, 7.9205) * CHOOSE(CONTROL!$C$21, $C$9, 100%, $E$9)</f>
        <v>7.9204999999999997</v>
      </c>
      <c r="D154" s="17">
        <f>CHOOSE(CONTROL!$C$42, 8.1965, 8.1965) * CHOOSE(CONTROL!$C$21, $C$9, 100%, $E$9)</f>
        <v>8.1965000000000003</v>
      </c>
      <c r="E154" s="17">
        <f>CHOOSE(CONTROL!$C$42, 8.2256, 8.2256) * CHOOSE(CONTROL!$C$21, $C$9, 100%, $E$9)</f>
        <v>8.2256</v>
      </c>
      <c r="F154" s="17">
        <f>CHOOSE(CONTROL!$C$42, 7.9366, 7.9366)*CHOOSE(CONTROL!$C$21, $C$9, 100%, $E$9)</f>
        <v>7.9366000000000003</v>
      </c>
      <c r="G154" s="17">
        <f>CHOOSE(CONTROL!$C$42, 7.9534, 7.9534)*CHOOSE(CONTROL!$C$21, $C$9, 100%, $E$9)</f>
        <v>7.9534000000000002</v>
      </c>
      <c r="H154" s="17">
        <f>CHOOSE(CONTROL!$C$42, 8.2161, 8.2161) * CHOOSE(CONTROL!$C$21, $C$9, 100%, $E$9)</f>
        <v>8.2161000000000008</v>
      </c>
      <c r="I154" s="17">
        <f>CHOOSE(CONTROL!$C$42, 7.9616, 7.9616)* CHOOSE(CONTROL!$C$21, $C$9, 100%, $E$9)</f>
        <v>7.9615999999999998</v>
      </c>
      <c r="J154" s="17">
        <f>CHOOSE(CONTROL!$C$42, 7.9296, 7.9296)* CHOOSE(CONTROL!$C$21, $C$9, 100%, $E$9)</f>
        <v>7.9295999999999998</v>
      </c>
      <c r="K154" s="52">
        <f>CHOOSE(CONTROL!$C$42, 7.9574, 7.9574) * CHOOSE(CONTROL!$C$21, $C$9, 100%, $E$9)</f>
        <v>7.9573999999999998</v>
      </c>
      <c r="L154" s="17">
        <f>CHOOSE(CONTROL!$C$42, 8.8031, 8.8031) * CHOOSE(CONTROL!$C$21, $C$9, 100%, $E$9)</f>
        <v>8.8031000000000006</v>
      </c>
      <c r="M154" s="17">
        <f>CHOOSE(CONTROL!$C$42, 7.7946, 7.7946) * CHOOSE(CONTROL!$C$21, $C$9, 100%, $E$9)</f>
        <v>7.7946</v>
      </c>
      <c r="N154" s="17">
        <f>CHOOSE(CONTROL!$C$42, 7.8111, 7.8111) * CHOOSE(CONTROL!$C$21, $C$9, 100%, $E$9)</f>
        <v>7.8110999999999997</v>
      </c>
      <c r="O154" s="17">
        <f>CHOOSE(CONTROL!$C$42, 8.076, 8.076) * CHOOSE(CONTROL!$C$21, $C$9, 100%, $E$9)</f>
        <v>8.0760000000000005</v>
      </c>
      <c r="P154" s="17">
        <f>CHOOSE(CONTROL!$C$42, 7.8257, 7.8257) * CHOOSE(CONTROL!$C$21, $C$9, 100%, $E$9)</f>
        <v>7.8257000000000003</v>
      </c>
      <c r="Q154" s="17">
        <f>CHOOSE(CONTROL!$C$42, 8.6707, 8.6707) * CHOOSE(CONTROL!$C$21, $C$9, 100%, $E$9)</f>
        <v>8.6707000000000001</v>
      </c>
      <c r="R154" s="17">
        <f>CHOOSE(CONTROL!$C$42, 9.2794, 9.2794) * CHOOSE(CONTROL!$C$21, $C$9, 100%, $E$9)</f>
        <v>9.2794000000000008</v>
      </c>
      <c r="S154" s="17">
        <f>CHOOSE(CONTROL!$C$42, 7.5967, 7.5967) * CHOOSE(CONTROL!$C$21, $C$9, 100%, $E$9)</f>
        <v>7.5967000000000002</v>
      </c>
      <c r="T15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54" s="56">
        <f>(1000*CHOOSE(CONTROL!$C$42, 695, 695)*CHOOSE(CONTROL!$C$42, 0.5599, 0.5599)*CHOOSE(CONTROL!$C$42, 31, 31))/1000000</f>
        <v>12.063045499999998</v>
      </c>
      <c r="V154" s="56">
        <f>(1000*CHOOSE(CONTROL!$C$42, 500, 500)*CHOOSE(CONTROL!$C$42, 0.275, 0.275)*CHOOSE(CONTROL!$C$42, 31, 31))/1000000</f>
        <v>4.2625000000000002</v>
      </c>
      <c r="W154" s="56">
        <f>(1000*CHOOSE(CONTROL!$C$42, 0.1146, 0.1146)*CHOOSE(CONTROL!$C$42, 121.5, 121.5)*CHOOSE(CONTROL!$C$42, 31, 31))/1000000</f>
        <v>0.43164089999999994</v>
      </c>
      <c r="X154" s="56">
        <f>(31*0.1790888*145000/1000000)+(31*0.2374*100000/1000000)</f>
        <v>1.5409441560000001</v>
      </c>
      <c r="Y154" s="56"/>
      <c r="Z154" s="17"/>
      <c r="AA154" s="55"/>
      <c r="AB154" s="48">
        <f>(B154*131.881+C154*277.167+D154*79.08+E154*225.872+F154*40+G154*85+H154*0+I154*100+J154*300)/(131.881+277.167+79.08+225.872+0+40+85+100+300)</f>
        <v>8.001469457546408</v>
      </c>
      <c r="AC154" s="45">
        <f>(M154*'RAP TEMPLATE-GAS AVAILABILITY'!O153+N154*'RAP TEMPLATE-GAS AVAILABILITY'!P153+O154*'RAP TEMPLATE-GAS AVAILABILITY'!Q153+P154*'RAP TEMPLATE-GAS AVAILABILITY'!R153)/('RAP TEMPLATE-GAS AVAILABILITY'!O153+'RAP TEMPLATE-GAS AVAILABILITY'!P153+'RAP TEMPLATE-GAS AVAILABILITY'!Q153+'RAP TEMPLATE-GAS AVAILABILITY'!R153)</f>
        <v>7.8818273381294945</v>
      </c>
    </row>
    <row r="155" spans="1:29" ht="15.75" x14ac:dyDescent="0.25">
      <c r="A155" s="16">
        <v>45597</v>
      </c>
      <c r="B155" s="17">
        <f>CHOOSE(CONTROL!$C$42, 8.1397, 8.1397) * CHOOSE(CONTROL!$C$21, $C$9, 100%, $E$9)</f>
        <v>8.1396999999999995</v>
      </c>
      <c r="C155" s="17">
        <f>CHOOSE(CONTROL!$C$42, 8.1448, 8.1448) * CHOOSE(CONTROL!$C$21, $C$9, 100%, $E$9)</f>
        <v>8.1448</v>
      </c>
      <c r="D155" s="17">
        <f>CHOOSE(CONTROL!$C$42, 8.2398, 8.2398) * CHOOSE(CONTROL!$C$21, $C$9, 100%, $E$9)</f>
        <v>8.2398000000000007</v>
      </c>
      <c r="E155" s="17">
        <f>CHOOSE(CONTROL!$C$42, 8.2739, 8.2739) * CHOOSE(CONTROL!$C$21, $C$9, 100%, $E$9)</f>
        <v>8.2738999999999994</v>
      </c>
      <c r="F155" s="17">
        <f>CHOOSE(CONTROL!$C$42, 8.1636, 8.1636)*CHOOSE(CONTROL!$C$21, $C$9, 100%, $E$9)</f>
        <v>8.1636000000000006</v>
      </c>
      <c r="G155" s="17">
        <f>CHOOSE(CONTROL!$C$42, 8.1807, 8.1807)*CHOOSE(CONTROL!$C$21, $C$9, 100%, $E$9)</f>
        <v>8.1806999999999999</v>
      </c>
      <c r="H155" s="17">
        <f>CHOOSE(CONTROL!$C$42, 8.2631, 8.2631) * CHOOSE(CONTROL!$C$21, $C$9, 100%, $E$9)</f>
        <v>8.2630999999999997</v>
      </c>
      <c r="I155" s="17">
        <f>CHOOSE(CONTROL!$C$42, 8.1852, 8.1852)* CHOOSE(CONTROL!$C$21, $C$9, 100%, $E$9)</f>
        <v>8.1852</v>
      </c>
      <c r="J155" s="17">
        <f>CHOOSE(CONTROL!$C$42, 8.1566, 8.1566)* CHOOSE(CONTROL!$C$21, $C$9, 100%, $E$9)</f>
        <v>8.1565999999999992</v>
      </c>
      <c r="K155" s="52">
        <f>CHOOSE(CONTROL!$C$42, 8.1809, 8.1809) * CHOOSE(CONTROL!$C$21, $C$9, 100%, $E$9)</f>
        <v>8.1808999999999994</v>
      </c>
      <c r="L155" s="17">
        <f>CHOOSE(CONTROL!$C$42, 8.8501, 8.8501) * CHOOSE(CONTROL!$C$21, $C$9, 100%, $E$9)</f>
        <v>8.8500999999999994</v>
      </c>
      <c r="M155" s="17">
        <f>CHOOSE(CONTROL!$C$42, 8.0176, 8.0176) * CHOOSE(CONTROL!$C$21, $C$9, 100%, $E$9)</f>
        <v>8.0175999999999998</v>
      </c>
      <c r="N155" s="17">
        <f>CHOOSE(CONTROL!$C$42, 8.0344, 8.0344) * CHOOSE(CONTROL!$C$21, $C$9, 100%, $E$9)</f>
        <v>8.0343999999999998</v>
      </c>
      <c r="O155" s="17">
        <f>CHOOSE(CONTROL!$C$42, 8.1222, 8.1222) * CHOOSE(CONTROL!$C$21, $C$9, 100%, $E$9)</f>
        <v>8.1221999999999994</v>
      </c>
      <c r="P155" s="17">
        <f>CHOOSE(CONTROL!$C$42, 8.0453, 8.0453) * CHOOSE(CONTROL!$C$21, $C$9, 100%, $E$9)</f>
        <v>8.0452999999999992</v>
      </c>
      <c r="Q155" s="17">
        <f>CHOOSE(CONTROL!$C$42, 8.7169, 8.7169) * CHOOSE(CONTROL!$C$21, $C$9, 100%, $E$9)</f>
        <v>8.7169000000000008</v>
      </c>
      <c r="R155" s="17">
        <f>CHOOSE(CONTROL!$C$42, 9.3257, 9.3257) * CHOOSE(CONTROL!$C$21, $C$9, 100%, $E$9)</f>
        <v>9.3256999999999994</v>
      </c>
      <c r="S155" s="17">
        <f>CHOOSE(CONTROL!$C$42, 7.8129, 7.8129) * CHOOSE(CONTROL!$C$21, $C$9, 100%, $E$9)</f>
        <v>7.8129</v>
      </c>
      <c r="T15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55" s="56">
        <f>(1000*CHOOSE(CONTROL!$C$42, 695, 695)*CHOOSE(CONTROL!$C$42, 0.5599, 0.5599)*CHOOSE(CONTROL!$C$42, 30, 30))/1000000</f>
        <v>11.673914999999997</v>
      </c>
      <c r="V155" s="56">
        <f>(1000*CHOOSE(CONTROL!$C$42, 500, 500)*CHOOSE(CONTROL!$C$42, 0.275, 0.275)*CHOOSE(CONTROL!$C$42, 30, 30))/1000000</f>
        <v>4.125</v>
      </c>
      <c r="W155" s="56">
        <f>(1000*CHOOSE(CONTROL!$C$42, 0.1146, 0.1146)*CHOOSE(CONTROL!$C$42, 121.5, 121.5)*CHOOSE(CONTROL!$C$42, 30, 30))/1000000</f>
        <v>0.417717</v>
      </c>
      <c r="X155" s="56">
        <f>(30*0.2374*100000/1000000)</f>
        <v>0.71220000000000006</v>
      </c>
      <c r="Y155" s="56"/>
      <c r="Z155" s="17"/>
      <c r="AA155" s="55"/>
      <c r="AB155" s="48">
        <f>(B155*122.58+C155*297.941+D155*89.177+E155*140.302+F155*40+G155*60+H155*0+I155*100+J155*300)/(122.58+297.941+89.177+140.302+0+40+60+100+300)</f>
        <v>8.1764918653913021</v>
      </c>
      <c r="AC155" s="45">
        <f>(M155*'RAP TEMPLATE-GAS AVAILABILITY'!O154+N155*'RAP TEMPLATE-GAS AVAILABILITY'!P154+O155*'RAP TEMPLATE-GAS AVAILABILITY'!Q154+P155*'RAP TEMPLATE-GAS AVAILABILITY'!R154)/('RAP TEMPLATE-GAS AVAILABILITY'!O154+'RAP TEMPLATE-GAS AVAILABILITY'!P154+'RAP TEMPLATE-GAS AVAILABILITY'!Q154+'RAP TEMPLATE-GAS AVAILABILITY'!R154)</f>
        <v>8.069961151079136</v>
      </c>
    </row>
    <row r="156" spans="1:29" ht="15.75" x14ac:dyDescent="0.25">
      <c r="A156" s="16">
        <v>45627</v>
      </c>
      <c r="B156" s="17">
        <f>CHOOSE(CONTROL!$C$42, 8.7119, 8.7119) * CHOOSE(CONTROL!$C$21, $C$9, 100%, $E$9)</f>
        <v>8.7119</v>
      </c>
      <c r="C156" s="17">
        <f>CHOOSE(CONTROL!$C$42, 8.717, 8.717) * CHOOSE(CONTROL!$C$21, $C$9, 100%, $E$9)</f>
        <v>8.7170000000000005</v>
      </c>
      <c r="D156" s="17">
        <f>CHOOSE(CONTROL!$C$42, 8.812, 8.812) * CHOOSE(CONTROL!$C$21, $C$9, 100%, $E$9)</f>
        <v>8.8119999999999994</v>
      </c>
      <c r="E156" s="17">
        <f>CHOOSE(CONTROL!$C$42, 8.8461, 8.8461) * CHOOSE(CONTROL!$C$21, $C$9, 100%, $E$9)</f>
        <v>8.8460999999999999</v>
      </c>
      <c r="F156" s="17">
        <f>CHOOSE(CONTROL!$C$42, 8.7382, 8.7382)*CHOOSE(CONTROL!$C$21, $C$9, 100%, $E$9)</f>
        <v>8.7382000000000009</v>
      </c>
      <c r="G156" s="17">
        <f>CHOOSE(CONTROL!$C$42, 8.7558, 8.7558)*CHOOSE(CONTROL!$C$21, $C$9, 100%, $E$9)</f>
        <v>8.7558000000000007</v>
      </c>
      <c r="H156" s="17">
        <f>CHOOSE(CONTROL!$C$42, 8.8353, 8.8353) * CHOOSE(CONTROL!$C$21, $C$9, 100%, $E$9)</f>
        <v>8.8353000000000002</v>
      </c>
      <c r="I156" s="17">
        <f>CHOOSE(CONTROL!$C$42, 8.7592, 8.7592)* CHOOSE(CONTROL!$C$21, $C$9, 100%, $E$9)</f>
        <v>8.7591999999999999</v>
      </c>
      <c r="J156" s="17">
        <f>CHOOSE(CONTROL!$C$42, 8.7312, 8.7312)* CHOOSE(CONTROL!$C$21, $C$9, 100%, $E$9)</f>
        <v>8.7311999999999994</v>
      </c>
      <c r="K156" s="52">
        <f>CHOOSE(CONTROL!$C$42, 8.7549, 8.7549) * CHOOSE(CONTROL!$C$21, $C$9, 100%, $E$9)</f>
        <v>8.7548999999999992</v>
      </c>
      <c r="L156" s="17">
        <f>CHOOSE(CONTROL!$C$42, 9.4223, 9.4223) * CHOOSE(CONTROL!$C$21, $C$9, 100%, $E$9)</f>
        <v>9.4222999999999999</v>
      </c>
      <c r="M156" s="17">
        <f>CHOOSE(CONTROL!$C$42, 8.5818, 8.5818) * CHOOSE(CONTROL!$C$21, $C$9, 100%, $E$9)</f>
        <v>8.5817999999999994</v>
      </c>
      <c r="N156" s="17">
        <f>CHOOSE(CONTROL!$C$42, 8.5992, 8.5992) * CHOOSE(CONTROL!$C$21, $C$9, 100%, $E$9)</f>
        <v>8.5991999999999997</v>
      </c>
      <c r="O156" s="17">
        <f>CHOOSE(CONTROL!$C$42, 8.6841, 8.6841) * CHOOSE(CONTROL!$C$21, $C$9, 100%, $E$9)</f>
        <v>8.6841000000000008</v>
      </c>
      <c r="P156" s="17">
        <f>CHOOSE(CONTROL!$C$42, 8.6089, 8.6089) * CHOOSE(CONTROL!$C$21, $C$9, 100%, $E$9)</f>
        <v>8.6089000000000002</v>
      </c>
      <c r="Q156" s="17">
        <f>CHOOSE(CONTROL!$C$42, 9.2788, 9.2788) * CHOOSE(CONTROL!$C$21, $C$9, 100%, $E$9)</f>
        <v>9.2788000000000004</v>
      </c>
      <c r="R156" s="17">
        <f>CHOOSE(CONTROL!$C$42, 9.889, 9.889) * CHOOSE(CONTROL!$C$21, $C$9, 100%, $E$9)</f>
        <v>9.8889999999999993</v>
      </c>
      <c r="S156" s="17">
        <f>CHOOSE(CONTROL!$C$42, 8.3627, 8.3627) * CHOOSE(CONTROL!$C$21, $C$9, 100%, $E$9)</f>
        <v>8.3627000000000002</v>
      </c>
      <c r="T15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56" s="56">
        <f>(1000*CHOOSE(CONTROL!$C$42, 695, 695)*CHOOSE(CONTROL!$C$42, 0.5599, 0.5599)*CHOOSE(CONTROL!$C$42, 31, 31))/1000000</f>
        <v>12.063045499999998</v>
      </c>
      <c r="V156" s="56">
        <f>(1000*CHOOSE(CONTROL!$C$42, 500, 500)*CHOOSE(CONTROL!$C$42, 0.275, 0.275)*CHOOSE(CONTROL!$C$42, 31, 31))/1000000</f>
        <v>4.2625000000000002</v>
      </c>
      <c r="W156" s="56">
        <f>(1000*CHOOSE(CONTROL!$C$42, 0.1146, 0.1146)*CHOOSE(CONTROL!$C$42, 121.5, 121.5)*CHOOSE(CONTROL!$C$42, 31, 31))/1000000</f>
        <v>0.43164089999999994</v>
      </c>
      <c r="X156" s="56">
        <f>(31*0.2374*100000/1000000)</f>
        <v>0.73594000000000004</v>
      </c>
      <c r="Y156" s="56"/>
      <c r="Z156" s="17"/>
      <c r="AA156" s="55"/>
      <c r="AB156" s="48">
        <f>(B156*122.58+C156*297.941+D156*89.177+E156*140.302+F156*40+G156*60+H156*0+I156*100+J156*300)/(122.58+297.941+89.177+140.302+0+40+60+100+300)</f>
        <v>8.7497092566956507</v>
      </c>
      <c r="AC156" s="45">
        <f>(M156*'RAP TEMPLATE-GAS AVAILABILITY'!O155+N156*'RAP TEMPLATE-GAS AVAILABILITY'!P155+O156*'RAP TEMPLATE-GAS AVAILABILITY'!Q155+P156*'RAP TEMPLATE-GAS AVAILABILITY'!R155)/('RAP TEMPLATE-GAS AVAILABILITY'!O155+'RAP TEMPLATE-GAS AVAILABILITY'!P155+'RAP TEMPLATE-GAS AVAILABILITY'!Q155+'RAP TEMPLATE-GAS AVAILABILITY'!R155)</f>
        <v>8.6330669064748218</v>
      </c>
    </row>
    <row r="157" spans="1:29" ht="15.75" x14ac:dyDescent="0.25">
      <c r="A157" s="16">
        <v>45658</v>
      </c>
      <c r="B157" s="17">
        <f>CHOOSE(CONTROL!$C$42, 9.2538, 9.2538) * CHOOSE(CONTROL!$C$21, $C$9, 100%, $E$9)</f>
        <v>9.2538</v>
      </c>
      <c r="C157" s="17">
        <f>CHOOSE(CONTROL!$C$42, 9.2589, 9.2589) * CHOOSE(CONTROL!$C$21, $C$9, 100%, $E$9)</f>
        <v>9.2589000000000006</v>
      </c>
      <c r="D157" s="17">
        <f>CHOOSE(CONTROL!$C$42, 9.3773, 9.3773) * CHOOSE(CONTROL!$C$21, $C$9, 100%, $E$9)</f>
        <v>9.3773</v>
      </c>
      <c r="E157" s="17">
        <f>CHOOSE(CONTROL!$C$42, 9.4114, 9.4114) * CHOOSE(CONTROL!$C$21, $C$9, 100%, $E$9)</f>
        <v>9.4114000000000004</v>
      </c>
      <c r="F157" s="17">
        <f>CHOOSE(CONTROL!$C$42, 9.2742, 9.2742)*CHOOSE(CONTROL!$C$21, $C$9, 100%, $E$9)</f>
        <v>9.2742000000000004</v>
      </c>
      <c r="G157" s="17">
        <f>CHOOSE(CONTROL!$C$42, 9.291, 9.291)*CHOOSE(CONTROL!$C$21, $C$9, 100%, $E$9)</f>
        <v>9.2910000000000004</v>
      </c>
      <c r="H157" s="17">
        <f>CHOOSE(CONTROL!$C$42, 9.4006, 9.4006) * CHOOSE(CONTROL!$C$21, $C$9, 100%, $E$9)</f>
        <v>9.4006000000000007</v>
      </c>
      <c r="I157" s="17">
        <f>CHOOSE(CONTROL!$C$42, 9.3064, 9.3064)* CHOOSE(CONTROL!$C$21, $C$9, 100%, $E$9)</f>
        <v>9.3064</v>
      </c>
      <c r="J157" s="17">
        <f>CHOOSE(CONTROL!$C$42, 9.2672, 9.2672)* CHOOSE(CONTROL!$C$21, $C$9, 100%, $E$9)</f>
        <v>9.2672000000000008</v>
      </c>
      <c r="K157" s="52">
        <f>CHOOSE(CONTROL!$C$42, 9.3022, 9.3022) * CHOOSE(CONTROL!$C$21, $C$9, 100%, $E$9)</f>
        <v>9.3021999999999991</v>
      </c>
      <c r="L157" s="17">
        <f>CHOOSE(CONTROL!$C$42, 9.9876, 9.9876) * CHOOSE(CONTROL!$C$21, $C$9, 100%, $E$9)</f>
        <v>9.9876000000000005</v>
      </c>
      <c r="M157" s="17">
        <f>CHOOSE(CONTROL!$C$42, 9.1082, 9.1082) * CHOOSE(CONTROL!$C$21, $C$9, 100%, $E$9)</f>
        <v>9.1082000000000001</v>
      </c>
      <c r="N157" s="17">
        <f>CHOOSE(CONTROL!$C$42, 9.1247, 9.1247) * CHOOSE(CONTROL!$C$21, $C$9, 100%, $E$9)</f>
        <v>9.1247000000000007</v>
      </c>
      <c r="O157" s="17">
        <f>CHOOSE(CONTROL!$C$42, 9.2392, 9.2392) * CHOOSE(CONTROL!$C$21, $C$9, 100%, $E$9)</f>
        <v>9.2392000000000003</v>
      </c>
      <c r="P157" s="17">
        <f>CHOOSE(CONTROL!$C$42, 9.1463, 9.1463) * CHOOSE(CONTROL!$C$21, $C$9, 100%, $E$9)</f>
        <v>9.1463000000000001</v>
      </c>
      <c r="Q157" s="17">
        <f>CHOOSE(CONTROL!$C$42, 9.8339, 9.8339) * CHOOSE(CONTROL!$C$21, $C$9, 100%, $E$9)</f>
        <v>9.8338999999999999</v>
      </c>
      <c r="R157" s="17">
        <f>CHOOSE(CONTROL!$C$42, 10.4455, 10.4455) * CHOOSE(CONTROL!$C$21, $C$9, 100%, $E$9)</f>
        <v>10.445499999999999</v>
      </c>
      <c r="S157" s="17">
        <f>CHOOSE(CONTROL!$C$42, 8.8834, 8.8834) * CHOOSE(CONTROL!$C$21, $C$9, 100%, $E$9)</f>
        <v>8.8834</v>
      </c>
      <c r="T15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57" s="56">
        <f>(1000*CHOOSE(CONTROL!$C$42, 695, 695)*CHOOSE(CONTROL!$C$42, 0.5599, 0.5599)*CHOOSE(CONTROL!$C$42, 31, 31))/1000000</f>
        <v>12.063045499999998</v>
      </c>
      <c r="V157" s="56">
        <f>(1000*CHOOSE(CONTROL!$C$42, 500, 500)*CHOOSE(CONTROL!$C$42, 0.275, 0.275)*CHOOSE(CONTROL!$C$42, 31, 31))/1000000</f>
        <v>4.2625000000000002</v>
      </c>
      <c r="W157" s="56">
        <f>(1000*CHOOSE(CONTROL!$C$42, 0.1146, 0.1146)*CHOOSE(CONTROL!$C$42, 121.5, 121.5)*CHOOSE(CONTROL!$C$42, 31, 31))/1000000</f>
        <v>0.43164089999999994</v>
      </c>
      <c r="X157" s="56">
        <f>(31*0.2374*100000/1000000)</f>
        <v>0.73594000000000004</v>
      </c>
      <c r="Y157" s="56"/>
      <c r="Z157" s="17"/>
      <c r="AA157" s="55"/>
      <c r="AB157" s="48">
        <f>(B157*122.58+C157*297.941+D157*89.177+E157*140.302+F157*40+G157*60+H157*0+I157*100+J157*300)/(122.58+297.941+89.177+140.302+0+40+60+100+300)</f>
        <v>9.2946456120000001</v>
      </c>
      <c r="AC157" s="45">
        <f>(M157*'RAP TEMPLATE-GAS AVAILABILITY'!O156+N157*'RAP TEMPLATE-GAS AVAILABILITY'!P156+O157*'RAP TEMPLATE-GAS AVAILABILITY'!Q156+P157*'RAP TEMPLATE-GAS AVAILABILITY'!R156)/('RAP TEMPLATE-GAS AVAILABILITY'!O156+'RAP TEMPLATE-GAS AVAILABILITY'!P156+'RAP TEMPLATE-GAS AVAILABILITY'!Q156+'RAP TEMPLATE-GAS AVAILABILITY'!R156)</f>
        <v>9.1740057553956831</v>
      </c>
    </row>
    <row r="158" spans="1:29" ht="15.75" x14ac:dyDescent="0.25">
      <c r="A158" s="16">
        <v>45689</v>
      </c>
      <c r="B158" s="17">
        <f>CHOOSE(CONTROL!$C$42, 9.4377, 9.4377) * CHOOSE(CONTROL!$C$21, $C$9, 100%, $E$9)</f>
        <v>9.4376999999999995</v>
      </c>
      <c r="C158" s="17">
        <f>CHOOSE(CONTROL!$C$42, 9.4428, 9.4428) * CHOOSE(CONTROL!$C$21, $C$9, 100%, $E$9)</f>
        <v>9.4428000000000001</v>
      </c>
      <c r="D158" s="17">
        <f>CHOOSE(CONTROL!$C$42, 9.5613, 9.5613) * CHOOSE(CONTROL!$C$21, $C$9, 100%, $E$9)</f>
        <v>9.5612999999999992</v>
      </c>
      <c r="E158" s="17">
        <f>CHOOSE(CONTROL!$C$42, 9.5954, 9.5954) * CHOOSE(CONTROL!$C$21, $C$9, 100%, $E$9)</f>
        <v>9.5953999999999997</v>
      </c>
      <c r="F158" s="17">
        <f>CHOOSE(CONTROL!$C$42, 9.4581, 9.4581)*CHOOSE(CONTROL!$C$21, $C$9, 100%, $E$9)</f>
        <v>9.4581</v>
      </c>
      <c r="G158" s="17">
        <f>CHOOSE(CONTROL!$C$42, 9.4749, 9.4749)*CHOOSE(CONTROL!$C$21, $C$9, 100%, $E$9)</f>
        <v>9.4748999999999999</v>
      </c>
      <c r="H158" s="17">
        <f>CHOOSE(CONTROL!$C$42, 9.5846, 9.5846) * CHOOSE(CONTROL!$C$21, $C$9, 100%, $E$9)</f>
        <v>9.5846</v>
      </c>
      <c r="I158" s="17">
        <f>CHOOSE(CONTROL!$C$42, 9.4909, 9.4909)* CHOOSE(CONTROL!$C$21, $C$9, 100%, $E$9)</f>
        <v>9.4908999999999999</v>
      </c>
      <c r="J158" s="17">
        <f>CHOOSE(CONTROL!$C$42, 9.4511, 9.4511)* CHOOSE(CONTROL!$C$21, $C$9, 100%, $E$9)</f>
        <v>9.4511000000000003</v>
      </c>
      <c r="K158" s="52">
        <f>CHOOSE(CONTROL!$C$42, 9.4867, 9.4867) * CHOOSE(CONTROL!$C$21, $C$9, 100%, $E$9)</f>
        <v>9.4867000000000008</v>
      </c>
      <c r="L158" s="17">
        <f>CHOOSE(CONTROL!$C$42, 10.1716, 10.1716) * CHOOSE(CONTROL!$C$21, $C$9, 100%, $E$9)</f>
        <v>10.1716</v>
      </c>
      <c r="M158" s="17">
        <f>CHOOSE(CONTROL!$C$42, 9.2888, 9.2888) * CHOOSE(CONTROL!$C$21, $C$9, 100%, $E$9)</f>
        <v>9.2888000000000002</v>
      </c>
      <c r="N158" s="17">
        <f>CHOOSE(CONTROL!$C$42, 9.3053, 9.3053) * CHOOSE(CONTROL!$C$21, $C$9, 100%, $E$9)</f>
        <v>9.3053000000000008</v>
      </c>
      <c r="O158" s="17">
        <f>CHOOSE(CONTROL!$C$42, 9.4199, 9.4199) * CHOOSE(CONTROL!$C$21, $C$9, 100%, $E$9)</f>
        <v>9.4199000000000002</v>
      </c>
      <c r="P158" s="17">
        <f>CHOOSE(CONTROL!$C$42, 9.3274, 9.3274) * CHOOSE(CONTROL!$C$21, $C$9, 100%, $E$9)</f>
        <v>9.3274000000000008</v>
      </c>
      <c r="Q158" s="17">
        <f>CHOOSE(CONTROL!$C$42, 10.0146, 10.0146) * CHOOSE(CONTROL!$C$21, $C$9, 100%, $E$9)</f>
        <v>10.0146</v>
      </c>
      <c r="R158" s="17">
        <f>CHOOSE(CONTROL!$C$42, 10.6266, 10.6266) * CHOOSE(CONTROL!$C$21, $C$9, 100%, $E$9)</f>
        <v>10.6266</v>
      </c>
      <c r="S158" s="17">
        <f>CHOOSE(CONTROL!$C$42, 9.0602, 9.0602) * CHOOSE(CONTROL!$C$21, $C$9, 100%, $E$9)</f>
        <v>9.0602</v>
      </c>
      <c r="T15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58" s="56">
        <f>(1000*CHOOSE(CONTROL!$C$42, 695, 695)*CHOOSE(CONTROL!$C$42, 0.5599, 0.5599)*CHOOSE(CONTROL!$C$42, 28, 28))/1000000</f>
        <v>10.895653999999999</v>
      </c>
      <c r="V158" s="56">
        <f>(1000*CHOOSE(CONTROL!$C$42, 500, 500)*CHOOSE(CONTROL!$C$42, 0.275, 0.275)*CHOOSE(CONTROL!$C$42, 28, 28))/1000000</f>
        <v>3.85</v>
      </c>
      <c r="W158" s="56">
        <f>(1000*CHOOSE(CONTROL!$C$42, 0.1146, 0.1146)*CHOOSE(CONTROL!$C$42, 121.5, 121.5)*CHOOSE(CONTROL!$C$42, 28, 28))/1000000</f>
        <v>0.38986920000000003</v>
      </c>
      <c r="X158" s="56">
        <f>(28*0.2374*100000/1000000)</f>
        <v>0.66471999999999998</v>
      </c>
      <c r="Y158" s="56"/>
      <c r="Z158" s="17"/>
      <c r="AA158" s="55"/>
      <c r="AB158" s="48">
        <f>(B158*122.58+C158*297.941+D158*89.177+E158*140.302+F158*40+G158*60+H158*0+I158*100+J158*300)/(122.58+297.941+89.177+140.302+0+40+60+100+300)</f>
        <v>9.4786177406086942</v>
      </c>
      <c r="AC158" s="45">
        <f>(M158*'RAP TEMPLATE-GAS AVAILABILITY'!O157+N158*'RAP TEMPLATE-GAS AVAILABILITY'!P157+O158*'RAP TEMPLATE-GAS AVAILABILITY'!Q157+P158*'RAP TEMPLATE-GAS AVAILABILITY'!R157)/('RAP TEMPLATE-GAS AVAILABILITY'!O157+'RAP TEMPLATE-GAS AVAILABILITY'!P157+'RAP TEMPLATE-GAS AVAILABILITY'!Q157+'RAP TEMPLATE-GAS AVAILABILITY'!R157)</f>
        <v>9.3547230215827337</v>
      </c>
    </row>
    <row r="159" spans="1:29" ht="15.75" x14ac:dyDescent="0.25">
      <c r="A159" s="16">
        <v>45717</v>
      </c>
      <c r="B159" s="17">
        <f>CHOOSE(CONTROL!$C$42, 9.1889, 9.1889) * CHOOSE(CONTROL!$C$21, $C$9, 100%, $E$9)</f>
        <v>9.1889000000000003</v>
      </c>
      <c r="C159" s="17">
        <f>CHOOSE(CONTROL!$C$42, 9.194, 9.194) * CHOOSE(CONTROL!$C$21, $C$9, 100%, $E$9)</f>
        <v>9.1940000000000008</v>
      </c>
      <c r="D159" s="17">
        <f>CHOOSE(CONTROL!$C$42, 9.3124, 9.3124) * CHOOSE(CONTROL!$C$21, $C$9, 100%, $E$9)</f>
        <v>9.3124000000000002</v>
      </c>
      <c r="E159" s="17">
        <f>CHOOSE(CONTROL!$C$42, 9.3466, 9.3466) * CHOOSE(CONTROL!$C$21, $C$9, 100%, $E$9)</f>
        <v>9.3466000000000005</v>
      </c>
      <c r="F159" s="17">
        <f>CHOOSE(CONTROL!$C$42, 9.2086, 9.2086)*CHOOSE(CONTROL!$C$21, $C$9, 100%, $E$9)</f>
        <v>9.2086000000000006</v>
      </c>
      <c r="G159" s="17">
        <f>CHOOSE(CONTROL!$C$42, 9.2253, 9.2253)*CHOOSE(CONTROL!$C$21, $C$9, 100%, $E$9)</f>
        <v>9.2253000000000007</v>
      </c>
      <c r="H159" s="17">
        <f>CHOOSE(CONTROL!$C$42, 9.3358, 9.3358) * CHOOSE(CONTROL!$C$21, $C$9, 100%, $E$9)</f>
        <v>9.3358000000000008</v>
      </c>
      <c r="I159" s="17">
        <f>CHOOSE(CONTROL!$C$42, 9.2413, 9.2413)* CHOOSE(CONTROL!$C$21, $C$9, 100%, $E$9)</f>
        <v>9.2413000000000007</v>
      </c>
      <c r="J159" s="17">
        <f>CHOOSE(CONTROL!$C$42, 9.2016, 9.2016)* CHOOSE(CONTROL!$C$21, $C$9, 100%, $E$9)</f>
        <v>9.2015999999999991</v>
      </c>
      <c r="K159" s="52">
        <f>CHOOSE(CONTROL!$C$42, 9.2371, 9.2371) * CHOOSE(CONTROL!$C$21, $C$9, 100%, $E$9)</f>
        <v>9.2370999999999999</v>
      </c>
      <c r="L159" s="17">
        <f>CHOOSE(CONTROL!$C$42, 9.9228, 9.9228) * CHOOSE(CONTROL!$C$21, $C$9, 100%, $E$9)</f>
        <v>9.9228000000000005</v>
      </c>
      <c r="M159" s="17">
        <f>CHOOSE(CONTROL!$C$42, 9.0438, 9.0438) * CHOOSE(CONTROL!$C$21, $C$9, 100%, $E$9)</f>
        <v>9.0437999999999992</v>
      </c>
      <c r="N159" s="17">
        <f>CHOOSE(CONTROL!$C$42, 9.0602, 9.0602) * CHOOSE(CONTROL!$C$21, $C$9, 100%, $E$9)</f>
        <v>9.0602</v>
      </c>
      <c r="O159" s="17">
        <f>CHOOSE(CONTROL!$C$42, 9.1755, 9.1755) * CHOOSE(CONTROL!$C$21, $C$9, 100%, $E$9)</f>
        <v>9.1754999999999995</v>
      </c>
      <c r="P159" s="17">
        <f>CHOOSE(CONTROL!$C$42, 9.0824, 9.0824) * CHOOSE(CONTROL!$C$21, $C$9, 100%, $E$9)</f>
        <v>9.0823999999999998</v>
      </c>
      <c r="Q159" s="17">
        <f>CHOOSE(CONTROL!$C$42, 9.7702, 9.7702) * CHOOSE(CONTROL!$C$21, $C$9, 100%, $E$9)</f>
        <v>9.7702000000000009</v>
      </c>
      <c r="R159" s="17">
        <f>CHOOSE(CONTROL!$C$42, 10.3816, 10.3816) * CHOOSE(CONTROL!$C$21, $C$9, 100%, $E$9)</f>
        <v>10.381600000000001</v>
      </c>
      <c r="S159" s="17">
        <f>CHOOSE(CONTROL!$C$42, 8.8211, 8.8211) * CHOOSE(CONTROL!$C$21, $C$9, 100%, $E$9)</f>
        <v>8.8210999999999995</v>
      </c>
      <c r="T15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59" s="56">
        <f>(1000*CHOOSE(CONTROL!$C$42, 695, 695)*CHOOSE(CONTROL!$C$42, 0.5599, 0.5599)*CHOOSE(CONTROL!$C$42, 31, 31))/1000000</f>
        <v>12.063045499999998</v>
      </c>
      <c r="V159" s="56">
        <f>(1000*CHOOSE(CONTROL!$C$42, 500, 500)*CHOOSE(CONTROL!$C$42, 0.275, 0.275)*CHOOSE(CONTROL!$C$42, 31, 31))/1000000</f>
        <v>4.2625000000000002</v>
      </c>
      <c r="W159" s="56">
        <f>(1000*CHOOSE(CONTROL!$C$42, 0.1146, 0.1146)*CHOOSE(CONTROL!$C$42, 121.5, 121.5)*CHOOSE(CONTROL!$C$42, 31, 31))/1000000</f>
        <v>0.43164089999999994</v>
      </c>
      <c r="X159" s="56">
        <f>(31*0.2374*100000/1000000)</f>
        <v>0.73594000000000004</v>
      </c>
      <c r="Y159" s="56"/>
      <c r="Z159" s="17"/>
      <c r="AA159" s="55"/>
      <c r="AB159" s="48">
        <f>(B159*122.58+C159*297.941+D159*89.177+E159*140.302+F159*40+G159*60+H159*0+I159*100+J159*300)/(122.58+297.941+89.177+140.302+0+40+60+100+300)</f>
        <v>9.2294917252173914</v>
      </c>
      <c r="AC159" s="45">
        <f>(M159*'RAP TEMPLATE-GAS AVAILABILITY'!O158+N159*'RAP TEMPLATE-GAS AVAILABILITY'!P158+O159*'RAP TEMPLATE-GAS AVAILABILITY'!Q158+P159*'RAP TEMPLATE-GAS AVAILABILITY'!R158)/('RAP TEMPLATE-GAS AVAILABILITY'!O158+'RAP TEMPLATE-GAS AVAILABILITY'!P158+'RAP TEMPLATE-GAS AVAILABILITY'!Q158+'RAP TEMPLATE-GAS AVAILABILITY'!R158)</f>
        <v>9.1099892086330918</v>
      </c>
    </row>
    <row r="160" spans="1:29" ht="15.75" x14ac:dyDescent="0.25">
      <c r="A160" s="16">
        <v>45748</v>
      </c>
      <c r="B160" s="17">
        <f>CHOOSE(CONTROL!$C$42, 9.1813, 9.1813) * CHOOSE(CONTROL!$C$21, $C$9, 100%, $E$9)</f>
        <v>9.1813000000000002</v>
      </c>
      <c r="C160" s="17">
        <f>CHOOSE(CONTROL!$C$42, 9.1858, 9.1858) * CHOOSE(CONTROL!$C$21, $C$9, 100%, $E$9)</f>
        <v>9.1858000000000004</v>
      </c>
      <c r="D160" s="17">
        <f>CHOOSE(CONTROL!$C$42, 9.46, 9.46) * CHOOSE(CONTROL!$C$21, $C$9, 100%, $E$9)</f>
        <v>9.4600000000000009</v>
      </c>
      <c r="E160" s="17">
        <f>CHOOSE(CONTROL!$C$42, 9.4921, 9.4921) * CHOOSE(CONTROL!$C$21, $C$9, 100%, $E$9)</f>
        <v>9.4921000000000006</v>
      </c>
      <c r="F160" s="17">
        <f>CHOOSE(CONTROL!$C$42, 9.2006, 9.2006)*CHOOSE(CONTROL!$C$21, $C$9, 100%, $E$9)</f>
        <v>9.2005999999999997</v>
      </c>
      <c r="G160" s="17">
        <f>CHOOSE(CONTROL!$C$42, 9.217, 9.217)*CHOOSE(CONTROL!$C$21, $C$9, 100%, $E$9)</f>
        <v>9.2170000000000005</v>
      </c>
      <c r="H160" s="17">
        <f>CHOOSE(CONTROL!$C$42, 9.4819, 9.4819) * CHOOSE(CONTROL!$C$21, $C$9, 100%, $E$9)</f>
        <v>9.4818999999999996</v>
      </c>
      <c r="I160" s="17">
        <f>CHOOSE(CONTROL!$C$42, 9.2313, 9.2313)* CHOOSE(CONTROL!$C$21, $C$9, 100%, $E$9)</f>
        <v>9.2312999999999992</v>
      </c>
      <c r="J160" s="17">
        <f>CHOOSE(CONTROL!$C$42, 9.1936, 9.1936)* CHOOSE(CONTROL!$C$21, $C$9, 100%, $E$9)</f>
        <v>9.1936</v>
      </c>
      <c r="K160" s="52">
        <f>CHOOSE(CONTROL!$C$42, 9.2271, 9.2271) * CHOOSE(CONTROL!$C$21, $C$9, 100%, $E$9)</f>
        <v>9.2271000000000001</v>
      </c>
      <c r="L160" s="17">
        <f>CHOOSE(CONTROL!$C$42, 10.0689, 10.0689) * CHOOSE(CONTROL!$C$21, $C$9, 100%, $E$9)</f>
        <v>10.068899999999999</v>
      </c>
      <c r="M160" s="17">
        <f>CHOOSE(CONTROL!$C$42, 9.036, 9.036) * CHOOSE(CONTROL!$C$21, $C$9, 100%, $E$9)</f>
        <v>9.0359999999999996</v>
      </c>
      <c r="N160" s="17">
        <f>CHOOSE(CONTROL!$C$42, 9.052, 9.052) * CHOOSE(CONTROL!$C$21, $C$9, 100%, $E$9)</f>
        <v>9.0519999999999996</v>
      </c>
      <c r="O160" s="17">
        <f>CHOOSE(CONTROL!$C$42, 9.319, 9.319) * CHOOSE(CONTROL!$C$21, $C$9, 100%, $E$9)</f>
        <v>9.3190000000000008</v>
      </c>
      <c r="P160" s="17">
        <f>CHOOSE(CONTROL!$C$42, 9.0725, 9.0725) * CHOOSE(CONTROL!$C$21, $C$9, 100%, $E$9)</f>
        <v>9.0724999999999998</v>
      </c>
      <c r="Q160" s="17">
        <f>CHOOSE(CONTROL!$C$42, 9.9137, 9.9137) * CHOOSE(CONTROL!$C$21, $C$9, 100%, $E$9)</f>
        <v>9.9137000000000004</v>
      </c>
      <c r="R160" s="17">
        <f>CHOOSE(CONTROL!$C$42, 10.5255, 10.5255) * CHOOSE(CONTROL!$C$21, $C$9, 100%, $E$9)</f>
        <v>10.525499999999999</v>
      </c>
      <c r="S160" s="17">
        <f>CHOOSE(CONTROL!$C$42, 8.813, 8.813) * CHOOSE(CONTROL!$C$21, $C$9, 100%, $E$9)</f>
        <v>8.8130000000000006</v>
      </c>
      <c r="T16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60" s="56">
        <f>(1000*CHOOSE(CONTROL!$C$42, 695, 695)*CHOOSE(CONTROL!$C$42, 0.5599, 0.5599)*CHOOSE(CONTROL!$C$42, 30, 30))/1000000</f>
        <v>11.673914999999997</v>
      </c>
      <c r="V160" s="56">
        <f>(1000*CHOOSE(CONTROL!$C$42, 500, 500)*CHOOSE(CONTROL!$C$42, 0.275, 0.275)*CHOOSE(CONTROL!$C$42, 30, 30))/1000000</f>
        <v>4.125</v>
      </c>
      <c r="W160" s="56">
        <f>(1000*CHOOSE(CONTROL!$C$42, 0.1146, 0.1146)*CHOOSE(CONTROL!$C$42, 121.5, 121.5)*CHOOSE(CONTROL!$C$42, 30, 30))/1000000</f>
        <v>0.417717</v>
      </c>
      <c r="X160" s="56">
        <f>(30*0.1790888*145000/1000000)+(30*0.2374*100000/1000000)</f>
        <v>1.4912362799999999</v>
      </c>
      <c r="Y160" s="56"/>
      <c r="Z160" s="17"/>
      <c r="AA160" s="55"/>
      <c r="AB160" s="48">
        <f>(B160*141.293+C160*267.993+D160*115.016+E160*189.698+F160*40+G160*85+H160*0+I160*100+J160*300)/(141.293+267.993+115.016+189.698+0+40+85+100+300)</f>
        <v>9.2658161953995162</v>
      </c>
      <c r="AC160" s="45">
        <f>(M160*'RAP TEMPLATE-GAS AVAILABILITY'!O159+N160*'RAP TEMPLATE-GAS AVAILABILITY'!P159+O160*'RAP TEMPLATE-GAS AVAILABILITY'!Q159+P160*'RAP TEMPLATE-GAS AVAILABILITY'!R159)/('RAP TEMPLATE-GAS AVAILABILITY'!O159+'RAP TEMPLATE-GAS AVAILABILITY'!P159+'RAP TEMPLATE-GAS AVAILABILITY'!Q159+'RAP TEMPLATE-GAS AVAILABILITY'!R159)</f>
        <v>9.1243381294964028</v>
      </c>
    </row>
    <row r="161" spans="1:29" ht="15.75" x14ac:dyDescent="0.25">
      <c r="A161" s="16">
        <v>45778</v>
      </c>
      <c r="B161" s="17">
        <f>CHOOSE(CONTROL!$C$42, 9.2827, 9.2827) * CHOOSE(CONTROL!$C$21, $C$9, 100%, $E$9)</f>
        <v>9.2827000000000002</v>
      </c>
      <c r="C161" s="17">
        <f>CHOOSE(CONTROL!$C$42, 9.2907, 9.2907) * CHOOSE(CONTROL!$C$21, $C$9, 100%, $E$9)</f>
        <v>9.2906999999999993</v>
      </c>
      <c r="D161" s="17">
        <f>CHOOSE(CONTROL!$C$42, 9.5618, 9.5618) * CHOOSE(CONTROL!$C$21, $C$9, 100%, $E$9)</f>
        <v>9.5617999999999999</v>
      </c>
      <c r="E161" s="17">
        <f>CHOOSE(CONTROL!$C$42, 9.5933, 9.5933) * CHOOSE(CONTROL!$C$21, $C$9, 100%, $E$9)</f>
        <v>9.5932999999999993</v>
      </c>
      <c r="F161" s="17">
        <f>CHOOSE(CONTROL!$C$42, 9.3009, 9.3009)*CHOOSE(CONTROL!$C$21, $C$9, 100%, $E$9)</f>
        <v>9.3009000000000004</v>
      </c>
      <c r="G161" s="17">
        <f>CHOOSE(CONTROL!$C$42, 9.3175, 9.3175)*CHOOSE(CONTROL!$C$21, $C$9, 100%, $E$9)</f>
        <v>9.3175000000000008</v>
      </c>
      <c r="H161" s="17">
        <f>CHOOSE(CONTROL!$C$42, 9.5819, 9.5819) * CHOOSE(CONTROL!$C$21, $C$9, 100%, $E$9)</f>
        <v>9.5818999999999992</v>
      </c>
      <c r="I161" s="17">
        <f>CHOOSE(CONTROL!$C$42, 9.3316, 9.3316)* CHOOSE(CONTROL!$C$21, $C$9, 100%, $E$9)</f>
        <v>9.3315999999999999</v>
      </c>
      <c r="J161" s="17">
        <f>CHOOSE(CONTROL!$C$42, 9.2939, 9.2939)* CHOOSE(CONTROL!$C$21, $C$9, 100%, $E$9)</f>
        <v>9.2939000000000007</v>
      </c>
      <c r="K161" s="52">
        <f>CHOOSE(CONTROL!$C$42, 9.3274, 9.3274) * CHOOSE(CONTROL!$C$21, $C$9, 100%, $E$9)</f>
        <v>9.3274000000000008</v>
      </c>
      <c r="L161" s="17">
        <f>CHOOSE(CONTROL!$C$42, 10.1689, 10.1689) * CHOOSE(CONTROL!$C$21, $C$9, 100%, $E$9)</f>
        <v>10.168900000000001</v>
      </c>
      <c r="M161" s="17">
        <f>CHOOSE(CONTROL!$C$42, 9.1344, 9.1344) * CHOOSE(CONTROL!$C$21, $C$9, 100%, $E$9)</f>
        <v>9.1343999999999994</v>
      </c>
      <c r="N161" s="17">
        <f>CHOOSE(CONTROL!$C$42, 9.1507, 9.1507) * CHOOSE(CONTROL!$C$21, $C$9, 100%, $E$9)</f>
        <v>9.1507000000000005</v>
      </c>
      <c r="O161" s="17">
        <f>CHOOSE(CONTROL!$C$42, 9.4172, 9.4172) * CHOOSE(CONTROL!$C$21, $C$9, 100%, $E$9)</f>
        <v>9.4171999999999993</v>
      </c>
      <c r="P161" s="17">
        <f>CHOOSE(CONTROL!$C$42, 9.171, 9.171) * CHOOSE(CONTROL!$C$21, $C$9, 100%, $E$9)</f>
        <v>9.1709999999999994</v>
      </c>
      <c r="Q161" s="17">
        <f>CHOOSE(CONTROL!$C$42, 10.0119, 10.0119) * CHOOSE(CONTROL!$C$21, $C$9, 100%, $E$9)</f>
        <v>10.011900000000001</v>
      </c>
      <c r="R161" s="17">
        <f>CHOOSE(CONTROL!$C$42, 10.624, 10.624) * CHOOSE(CONTROL!$C$21, $C$9, 100%, $E$9)</f>
        <v>10.624000000000001</v>
      </c>
      <c r="S161" s="17">
        <f>CHOOSE(CONTROL!$C$42, 8.9091, 8.9091) * CHOOSE(CONTROL!$C$21, $C$9, 100%, $E$9)</f>
        <v>8.9091000000000005</v>
      </c>
      <c r="T16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61" s="56">
        <f>(1000*CHOOSE(CONTROL!$C$42, 695, 695)*CHOOSE(CONTROL!$C$42, 0.5599, 0.5599)*CHOOSE(CONTROL!$C$42, 31, 31))/1000000</f>
        <v>12.063045499999998</v>
      </c>
      <c r="V161" s="56">
        <f>(1000*CHOOSE(CONTROL!$C$42, 500, 500)*CHOOSE(CONTROL!$C$42, 0.275, 0.275)*CHOOSE(CONTROL!$C$42, 31, 31))/1000000</f>
        <v>4.2625000000000002</v>
      </c>
      <c r="W161" s="56">
        <f>(1000*CHOOSE(CONTROL!$C$42, 0.1146, 0.1146)*CHOOSE(CONTROL!$C$42, 121.5, 121.5)*CHOOSE(CONTROL!$C$42, 31, 31))/1000000</f>
        <v>0.43164089999999994</v>
      </c>
      <c r="X161" s="56">
        <f>(31*0.1790888*145000/1000000)+(31*0.2374*100000/1000000)</f>
        <v>1.5409441560000001</v>
      </c>
      <c r="Y161" s="56"/>
      <c r="Z161" s="17"/>
      <c r="AA161" s="55"/>
      <c r="AB161" s="48">
        <f>(B161*194.205+C161*267.466+D161*133.845+E161*153.484+F161*40+G161*85+H161*0+I161*100+J161*300)/(194.205+267.466+133.845+153.484+0+40+85+100+300)</f>
        <v>9.3604896372841431</v>
      </c>
      <c r="AC161" s="45">
        <f>(M161*'RAP TEMPLATE-GAS AVAILABILITY'!O160+N161*'RAP TEMPLATE-GAS AVAILABILITY'!P160+O161*'RAP TEMPLATE-GAS AVAILABILITY'!Q160+P161*'RAP TEMPLATE-GAS AVAILABILITY'!R160)/('RAP TEMPLATE-GAS AVAILABILITY'!O160+'RAP TEMPLATE-GAS AVAILABILITY'!P160+'RAP TEMPLATE-GAS AVAILABILITY'!Q160+'RAP TEMPLATE-GAS AVAILABILITY'!R160)</f>
        <v>9.2227654676258997</v>
      </c>
    </row>
    <row r="162" spans="1:29" ht="15.75" x14ac:dyDescent="0.25">
      <c r="A162" s="16">
        <v>45809</v>
      </c>
      <c r="B162" s="17">
        <f>CHOOSE(CONTROL!$C$42, 9.5653, 9.5653) * CHOOSE(CONTROL!$C$21, $C$9, 100%, $E$9)</f>
        <v>9.5653000000000006</v>
      </c>
      <c r="C162" s="17">
        <f>CHOOSE(CONTROL!$C$42, 9.5733, 9.5733) * CHOOSE(CONTROL!$C$21, $C$9, 100%, $E$9)</f>
        <v>9.5732999999999997</v>
      </c>
      <c r="D162" s="17">
        <f>CHOOSE(CONTROL!$C$42, 9.8444, 9.8444) * CHOOSE(CONTROL!$C$21, $C$9, 100%, $E$9)</f>
        <v>9.8444000000000003</v>
      </c>
      <c r="E162" s="17">
        <f>CHOOSE(CONTROL!$C$42, 9.8759, 9.8759) * CHOOSE(CONTROL!$C$21, $C$9, 100%, $E$9)</f>
        <v>9.8758999999999997</v>
      </c>
      <c r="F162" s="17">
        <f>CHOOSE(CONTROL!$C$42, 9.5838, 9.5838)*CHOOSE(CONTROL!$C$21, $C$9, 100%, $E$9)</f>
        <v>9.5838000000000001</v>
      </c>
      <c r="G162" s="17">
        <f>CHOOSE(CONTROL!$C$42, 9.6005, 9.6005)*CHOOSE(CONTROL!$C$21, $C$9, 100%, $E$9)</f>
        <v>9.6005000000000003</v>
      </c>
      <c r="H162" s="17">
        <f>CHOOSE(CONTROL!$C$42, 9.8645, 9.8645) * CHOOSE(CONTROL!$C$21, $C$9, 100%, $E$9)</f>
        <v>9.8644999999999996</v>
      </c>
      <c r="I162" s="17">
        <f>CHOOSE(CONTROL!$C$42, 9.6151, 9.6151)* CHOOSE(CONTROL!$C$21, $C$9, 100%, $E$9)</f>
        <v>9.6151</v>
      </c>
      <c r="J162" s="17">
        <f>CHOOSE(CONTROL!$C$42, 9.5768, 9.5768)* CHOOSE(CONTROL!$C$21, $C$9, 100%, $E$9)</f>
        <v>9.5768000000000004</v>
      </c>
      <c r="K162" s="52">
        <f>CHOOSE(CONTROL!$C$42, 9.6109, 9.6109) * CHOOSE(CONTROL!$C$21, $C$9, 100%, $E$9)</f>
        <v>9.6109000000000009</v>
      </c>
      <c r="L162" s="17">
        <f>CHOOSE(CONTROL!$C$42, 10.4515, 10.4515) * CHOOSE(CONTROL!$C$21, $C$9, 100%, $E$9)</f>
        <v>10.451499999999999</v>
      </c>
      <c r="M162" s="17">
        <f>CHOOSE(CONTROL!$C$42, 9.4122, 9.4122) * CHOOSE(CONTROL!$C$21, $C$9, 100%, $E$9)</f>
        <v>9.4122000000000003</v>
      </c>
      <c r="N162" s="17">
        <f>CHOOSE(CONTROL!$C$42, 9.4286, 9.4286) * CHOOSE(CONTROL!$C$21, $C$9, 100%, $E$9)</f>
        <v>9.4285999999999994</v>
      </c>
      <c r="O162" s="17">
        <f>CHOOSE(CONTROL!$C$42, 9.6948, 9.6948) * CHOOSE(CONTROL!$C$21, $C$9, 100%, $E$9)</f>
        <v>9.6948000000000008</v>
      </c>
      <c r="P162" s="17">
        <f>CHOOSE(CONTROL!$C$42, 9.4494, 9.4494) * CHOOSE(CONTROL!$C$21, $C$9, 100%, $E$9)</f>
        <v>9.4494000000000007</v>
      </c>
      <c r="Q162" s="17">
        <f>CHOOSE(CONTROL!$C$42, 10.2895, 10.2895) * CHOOSE(CONTROL!$C$21, $C$9, 100%, $E$9)</f>
        <v>10.2895</v>
      </c>
      <c r="R162" s="17">
        <f>CHOOSE(CONTROL!$C$42, 10.9022, 10.9022) * CHOOSE(CONTROL!$C$21, $C$9, 100%, $E$9)</f>
        <v>10.902200000000001</v>
      </c>
      <c r="S162" s="17">
        <f>CHOOSE(CONTROL!$C$42, 9.1807, 9.1807) * CHOOSE(CONTROL!$C$21, $C$9, 100%, $E$9)</f>
        <v>9.1806999999999999</v>
      </c>
      <c r="T16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62" s="56">
        <f>(1000*CHOOSE(CONTROL!$C$42, 695, 695)*CHOOSE(CONTROL!$C$42, 0.5599, 0.5599)*CHOOSE(CONTROL!$C$42, 30, 30))/1000000</f>
        <v>11.673914999999997</v>
      </c>
      <c r="V162" s="56">
        <f>(1000*CHOOSE(CONTROL!$C$42, 500, 500)*CHOOSE(CONTROL!$C$42, 0.275, 0.275)*CHOOSE(CONTROL!$C$42, 30, 30))/1000000</f>
        <v>4.125</v>
      </c>
      <c r="W162" s="56">
        <f>(1000*CHOOSE(CONTROL!$C$42, 0.1146, 0.1146)*CHOOSE(CONTROL!$C$42, 121.5, 121.5)*CHOOSE(CONTROL!$C$42, 30, 30))/1000000</f>
        <v>0.417717</v>
      </c>
      <c r="X162" s="56">
        <f>(30*0.1790888*145000/1000000)+(30*0.2374*100000/1000000)</f>
        <v>1.4912362799999999</v>
      </c>
      <c r="Y162" s="56"/>
      <c r="Z162" s="17"/>
      <c r="AA162" s="55"/>
      <c r="AB162" s="48">
        <f>(B162*194.205+C162*267.466+D162*133.845+E162*153.484+F162*40+G162*85+H162*0+I162*100+J162*300)/(194.205+267.466+133.845+153.484+0+40+85+100+300)</f>
        <v>9.6432670313186826</v>
      </c>
      <c r="AC162" s="45">
        <f>(M162*'RAP TEMPLATE-GAS AVAILABILITY'!O161+N162*'RAP TEMPLATE-GAS AVAILABILITY'!P161+O162*'RAP TEMPLATE-GAS AVAILABILITY'!Q161+P162*'RAP TEMPLATE-GAS AVAILABILITY'!R161)/('RAP TEMPLATE-GAS AVAILABILITY'!O161+'RAP TEMPLATE-GAS AVAILABILITY'!P161+'RAP TEMPLATE-GAS AVAILABILITY'!Q161+'RAP TEMPLATE-GAS AVAILABILITY'!R161)</f>
        <v>9.5006187050359721</v>
      </c>
    </row>
    <row r="163" spans="1:29" ht="15.75" x14ac:dyDescent="0.25">
      <c r="A163" s="16">
        <v>45839</v>
      </c>
      <c r="B163" s="17">
        <f>CHOOSE(CONTROL!$C$42, 9.4013, 9.4013) * CHOOSE(CONTROL!$C$21, $C$9, 100%, $E$9)</f>
        <v>9.4013000000000009</v>
      </c>
      <c r="C163" s="17">
        <f>CHOOSE(CONTROL!$C$42, 9.4094, 9.4094) * CHOOSE(CONTROL!$C$21, $C$9, 100%, $E$9)</f>
        <v>9.4093999999999998</v>
      </c>
      <c r="D163" s="17">
        <f>CHOOSE(CONTROL!$C$42, 9.6804, 9.6804) * CHOOSE(CONTROL!$C$21, $C$9, 100%, $E$9)</f>
        <v>9.6804000000000006</v>
      </c>
      <c r="E163" s="17">
        <f>CHOOSE(CONTROL!$C$42, 9.7119, 9.7119) * CHOOSE(CONTROL!$C$21, $C$9, 100%, $E$9)</f>
        <v>9.7119</v>
      </c>
      <c r="F163" s="17">
        <f>CHOOSE(CONTROL!$C$42, 9.4202, 9.4202)*CHOOSE(CONTROL!$C$21, $C$9, 100%, $E$9)</f>
        <v>9.4201999999999995</v>
      </c>
      <c r="G163" s="17">
        <f>CHOOSE(CONTROL!$C$42, 9.437, 9.437)*CHOOSE(CONTROL!$C$21, $C$9, 100%, $E$9)</f>
        <v>9.4369999999999994</v>
      </c>
      <c r="H163" s="17">
        <f>CHOOSE(CONTROL!$C$42, 9.7005, 9.7005) * CHOOSE(CONTROL!$C$21, $C$9, 100%, $E$9)</f>
        <v>9.7004999999999999</v>
      </c>
      <c r="I163" s="17">
        <f>CHOOSE(CONTROL!$C$42, 9.4507, 9.4507)* CHOOSE(CONTROL!$C$21, $C$9, 100%, $E$9)</f>
        <v>9.4506999999999994</v>
      </c>
      <c r="J163" s="17">
        <f>CHOOSE(CONTROL!$C$42, 9.4132, 9.4132)* CHOOSE(CONTROL!$C$21, $C$9, 100%, $E$9)</f>
        <v>9.4131999999999998</v>
      </c>
      <c r="K163" s="52">
        <f>CHOOSE(CONTROL!$C$42, 9.4464, 9.4464) * CHOOSE(CONTROL!$C$21, $C$9, 100%, $E$9)</f>
        <v>9.4464000000000006</v>
      </c>
      <c r="L163" s="17">
        <f>CHOOSE(CONTROL!$C$42, 10.2875, 10.2875) * CHOOSE(CONTROL!$C$21, $C$9, 100%, $E$9)</f>
        <v>10.2875</v>
      </c>
      <c r="M163" s="17">
        <f>CHOOSE(CONTROL!$C$42, 9.2516, 9.2516) * CHOOSE(CONTROL!$C$21, $C$9, 100%, $E$9)</f>
        <v>9.2515999999999998</v>
      </c>
      <c r="N163" s="17">
        <f>CHOOSE(CONTROL!$C$42, 9.2681, 9.2681) * CHOOSE(CONTROL!$C$21, $C$9, 100%, $E$9)</f>
        <v>9.2681000000000004</v>
      </c>
      <c r="O163" s="17">
        <f>CHOOSE(CONTROL!$C$42, 9.5337, 9.5337) * CHOOSE(CONTROL!$C$21, $C$9, 100%, $E$9)</f>
        <v>9.5336999999999996</v>
      </c>
      <c r="P163" s="17">
        <f>CHOOSE(CONTROL!$C$42, 9.2879, 9.2879) * CHOOSE(CONTROL!$C$21, $C$9, 100%, $E$9)</f>
        <v>9.2879000000000005</v>
      </c>
      <c r="Q163" s="17">
        <f>CHOOSE(CONTROL!$C$42, 10.1284, 10.1284) * CHOOSE(CONTROL!$C$21, $C$9, 100%, $E$9)</f>
        <v>10.128399999999999</v>
      </c>
      <c r="R163" s="17">
        <f>CHOOSE(CONTROL!$C$42, 10.7408, 10.7408) * CHOOSE(CONTROL!$C$21, $C$9, 100%, $E$9)</f>
        <v>10.7408</v>
      </c>
      <c r="S163" s="17">
        <f>CHOOSE(CONTROL!$C$42, 9.0231, 9.0231) * CHOOSE(CONTROL!$C$21, $C$9, 100%, $E$9)</f>
        <v>9.0230999999999995</v>
      </c>
      <c r="T16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63" s="56">
        <f>(1000*CHOOSE(CONTROL!$C$42, 695, 695)*CHOOSE(CONTROL!$C$42, 0.5599, 0.5599)*CHOOSE(CONTROL!$C$42, 31, 31))/1000000</f>
        <v>12.063045499999998</v>
      </c>
      <c r="V163" s="56">
        <f>(1000*CHOOSE(CONTROL!$C$42, 500, 500)*CHOOSE(CONTROL!$C$42, 0.275, 0.275)*CHOOSE(CONTROL!$C$42, 31, 31))/1000000</f>
        <v>4.2625000000000002</v>
      </c>
      <c r="W163" s="56">
        <f>(1000*CHOOSE(CONTROL!$C$42, 0.1146, 0.1146)*CHOOSE(CONTROL!$C$42, 121.5, 121.5)*CHOOSE(CONTROL!$C$42, 31, 31))/1000000</f>
        <v>0.43164089999999994</v>
      </c>
      <c r="X163" s="56">
        <f>(31*0.1790888*145000/1000000)+(31*0.2374*100000/1000000)</f>
        <v>1.5409441560000001</v>
      </c>
      <c r="Y163" s="56"/>
      <c r="Z163" s="17"/>
      <c r="AA163" s="55"/>
      <c r="AB163" s="48">
        <f>(B163*194.205+C163*267.466+D163*133.845+E163*153.484+F163*40+G163*85+H163*0+I163*100+J163*300)/(194.205+267.466+133.845+153.484+0+40+85+100+300)</f>
        <v>9.4793967382260611</v>
      </c>
      <c r="AC163" s="45">
        <f>(M163*'RAP TEMPLATE-GAS AVAILABILITY'!O162+N163*'RAP TEMPLATE-GAS AVAILABILITY'!P162+O163*'RAP TEMPLATE-GAS AVAILABILITY'!Q162+P163*'RAP TEMPLATE-GAS AVAILABILITY'!R162)/('RAP TEMPLATE-GAS AVAILABILITY'!O162+'RAP TEMPLATE-GAS AVAILABILITY'!P162+'RAP TEMPLATE-GAS AVAILABILITY'!Q162+'RAP TEMPLATE-GAS AVAILABILITY'!R162)</f>
        <v>9.3397719424460437</v>
      </c>
    </row>
    <row r="164" spans="1:29" ht="15.75" x14ac:dyDescent="0.25">
      <c r="A164" s="16">
        <v>45870</v>
      </c>
      <c r="B164" s="17">
        <f>CHOOSE(CONTROL!$C$42, 8.9559, 8.9559) * CHOOSE(CONTROL!$C$21, $C$9, 100%, $E$9)</f>
        <v>8.9558999999999997</v>
      </c>
      <c r="C164" s="17">
        <f>CHOOSE(CONTROL!$C$42, 8.964, 8.964) * CHOOSE(CONTROL!$C$21, $C$9, 100%, $E$9)</f>
        <v>8.9640000000000004</v>
      </c>
      <c r="D164" s="17">
        <f>CHOOSE(CONTROL!$C$42, 9.235, 9.235) * CHOOSE(CONTROL!$C$21, $C$9, 100%, $E$9)</f>
        <v>9.2349999999999994</v>
      </c>
      <c r="E164" s="17">
        <f>CHOOSE(CONTROL!$C$42, 9.2665, 9.2665) * CHOOSE(CONTROL!$C$21, $C$9, 100%, $E$9)</f>
        <v>9.2665000000000006</v>
      </c>
      <c r="F164" s="17">
        <f>CHOOSE(CONTROL!$C$42, 8.9751, 8.9751)*CHOOSE(CONTROL!$C$21, $C$9, 100%, $E$9)</f>
        <v>8.9750999999999994</v>
      </c>
      <c r="G164" s="17">
        <f>CHOOSE(CONTROL!$C$42, 8.9919, 8.9919)*CHOOSE(CONTROL!$C$21, $C$9, 100%, $E$9)</f>
        <v>8.9918999999999993</v>
      </c>
      <c r="H164" s="17">
        <f>CHOOSE(CONTROL!$C$42, 9.2551, 9.2551) * CHOOSE(CONTROL!$C$21, $C$9, 100%, $E$9)</f>
        <v>9.2551000000000005</v>
      </c>
      <c r="I164" s="17">
        <f>CHOOSE(CONTROL!$C$42, 9.0039, 9.0039)* CHOOSE(CONTROL!$C$21, $C$9, 100%, $E$9)</f>
        <v>9.0038999999999998</v>
      </c>
      <c r="J164" s="17">
        <f>CHOOSE(CONTROL!$C$42, 8.9681, 8.9681)* CHOOSE(CONTROL!$C$21, $C$9, 100%, $E$9)</f>
        <v>8.9680999999999997</v>
      </c>
      <c r="K164" s="52">
        <f>CHOOSE(CONTROL!$C$42, 8.9996, 8.9996) * CHOOSE(CONTROL!$C$21, $C$9, 100%, $E$9)</f>
        <v>8.9995999999999992</v>
      </c>
      <c r="L164" s="17">
        <f>CHOOSE(CONTROL!$C$42, 9.8421, 9.8421) * CHOOSE(CONTROL!$C$21, $C$9, 100%, $E$9)</f>
        <v>9.8421000000000003</v>
      </c>
      <c r="M164" s="17">
        <f>CHOOSE(CONTROL!$C$42, 8.8144, 8.8144) * CHOOSE(CONTROL!$C$21, $C$9, 100%, $E$9)</f>
        <v>8.8143999999999991</v>
      </c>
      <c r="N164" s="17">
        <f>CHOOSE(CONTROL!$C$42, 8.831, 8.831) * CHOOSE(CONTROL!$C$21, $C$9, 100%, $E$9)</f>
        <v>8.8309999999999995</v>
      </c>
      <c r="O164" s="17">
        <f>CHOOSE(CONTROL!$C$42, 9.0963, 9.0963) * CHOOSE(CONTROL!$C$21, $C$9, 100%, $E$9)</f>
        <v>9.0962999999999994</v>
      </c>
      <c r="P164" s="17">
        <f>CHOOSE(CONTROL!$C$42, 8.8492, 8.8492) * CHOOSE(CONTROL!$C$21, $C$9, 100%, $E$9)</f>
        <v>8.8491999999999997</v>
      </c>
      <c r="Q164" s="17">
        <f>CHOOSE(CONTROL!$C$42, 9.691, 9.691) * CHOOSE(CONTROL!$C$21, $C$9, 100%, $E$9)</f>
        <v>9.6910000000000007</v>
      </c>
      <c r="R164" s="17">
        <f>CHOOSE(CONTROL!$C$42, 10.3023, 10.3023) * CHOOSE(CONTROL!$C$21, $C$9, 100%, $E$9)</f>
        <v>10.302300000000001</v>
      </c>
      <c r="S164" s="17">
        <f>CHOOSE(CONTROL!$C$42, 8.5951, 8.5951) * CHOOSE(CONTROL!$C$21, $C$9, 100%, $E$9)</f>
        <v>8.5951000000000004</v>
      </c>
      <c r="T16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64" s="56">
        <f>(1000*CHOOSE(CONTROL!$C$42, 695, 695)*CHOOSE(CONTROL!$C$42, 0.5599, 0.5599)*CHOOSE(CONTROL!$C$42, 31, 31))/1000000</f>
        <v>12.063045499999998</v>
      </c>
      <c r="V164" s="56">
        <f>(1000*CHOOSE(CONTROL!$C$42, 500, 500)*CHOOSE(CONTROL!$C$42, 0.275, 0.275)*CHOOSE(CONTROL!$C$42, 31, 31))/1000000</f>
        <v>4.2625000000000002</v>
      </c>
      <c r="W164" s="56">
        <f>(1000*CHOOSE(CONTROL!$C$42, 0.1146, 0.1146)*CHOOSE(CONTROL!$C$42, 121.5, 121.5)*CHOOSE(CONTROL!$C$42, 31, 31))/1000000</f>
        <v>0.43164089999999994</v>
      </c>
      <c r="X164" s="56">
        <f>(31*0.1790888*145000/1000000)+(31*0.2374*100000/1000000)</f>
        <v>1.5409441560000001</v>
      </c>
      <c r="Y164" s="56"/>
      <c r="Z164" s="17"/>
      <c r="AA164" s="55"/>
      <c r="AB164" s="48">
        <f>(B164*194.205+C164*267.466+D164*133.845+E164*153.484+F164*40+G164*85+H164*0+I164*100+J164*300)/(194.205+267.466+133.845+153.484+0+40+85+100+300)</f>
        <v>9.0339869266091064</v>
      </c>
      <c r="AC164" s="45">
        <f>(M164*'RAP TEMPLATE-GAS AVAILABILITY'!O163+N164*'RAP TEMPLATE-GAS AVAILABILITY'!P163+O164*'RAP TEMPLATE-GAS AVAILABILITY'!Q163+P164*'RAP TEMPLATE-GAS AVAILABILITY'!R163)/('RAP TEMPLATE-GAS AVAILABILITY'!O163+'RAP TEMPLATE-GAS AVAILABILITY'!P163+'RAP TEMPLATE-GAS AVAILABILITY'!Q163+'RAP TEMPLATE-GAS AVAILABILITY'!R163)</f>
        <v>8.9023230215827329</v>
      </c>
    </row>
    <row r="165" spans="1:29" ht="15.75" x14ac:dyDescent="0.25">
      <c r="A165" s="16">
        <v>45901</v>
      </c>
      <c r="B165" s="17">
        <f>CHOOSE(CONTROL!$C$42, 8.4051, 8.4051) * CHOOSE(CONTROL!$C$21, $C$9, 100%, $E$9)</f>
        <v>8.4050999999999991</v>
      </c>
      <c r="C165" s="17">
        <f>CHOOSE(CONTROL!$C$42, 8.4132, 8.4132) * CHOOSE(CONTROL!$C$21, $C$9, 100%, $E$9)</f>
        <v>8.4131999999999998</v>
      </c>
      <c r="D165" s="17">
        <f>CHOOSE(CONTROL!$C$42, 8.6842, 8.6842) * CHOOSE(CONTROL!$C$21, $C$9, 100%, $E$9)</f>
        <v>8.6842000000000006</v>
      </c>
      <c r="E165" s="17">
        <f>CHOOSE(CONTROL!$C$42, 8.7157, 8.7157) * CHOOSE(CONTROL!$C$21, $C$9, 100%, $E$9)</f>
        <v>8.7157</v>
      </c>
      <c r="F165" s="17">
        <f>CHOOSE(CONTROL!$C$42, 8.4243, 8.4243)*CHOOSE(CONTROL!$C$21, $C$9, 100%, $E$9)</f>
        <v>8.4243000000000006</v>
      </c>
      <c r="G165" s="17">
        <f>CHOOSE(CONTROL!$C$42, 8.4412, 8.4412)*CHOOSE(CONTROL!$C$21, $C$9, 100%, $E$9)</f>
        <v>8.4412000000000003</v>
      </c>
      <c r="H165" s="17">
        <f>CHOOSE(CONTROL!$C$42, 8.7043, 8.7043) * CHOOSE(CONTROL!$C$21, $C$9, 100%, $E$9)</f>
        <v>8.7042999999999999</v>
      </c>
      <c r="I165" s="17">
        <f>CHOOSE(CONTROL!$C$42, 8.4513, 8.4513)* CHOOSE(CONTROL!$C$21, $C$9, 100%, $E$9)</f>
        <v>8.4512999999999998</v>
      </c>
      <c r="J165" s="17">
        <f>CHOOSE(CONTROL!$C$42, 8.4173, 8.4173)* CHOOSE(CONTROL!$C$21, $C$9, 100%, $E$9)</f>
        <v>8.4172999999999991</v>
      </c>
      <c r="K165" s="52">
        <f>CHOOSE(CONTROL!$C$42, 8.4471, 8.4471) * CHOOSE(CONTROL!$C$21, $C$9, 100%, $E$9)</f>
        <v>8.4471000000000007</v>
      </c>
      <c r="L165" s="17">
        <f>CHOOSE(CONTROL!$C$42, 9.2913, 9.2913) * CHOOSE(CONTROL!$C$21, $C$9, 100%, $E$9)</f>
        <v>9.2912999999999997</v>
      </c>
      <c r="M165" s="17">
        <f>CHOOSE(CONTROL!$C$42, 8.2736, 8.2736) * CHOOSE(CONTROL!$C$21, $C$9, 100%, $E$9)</f>
        <v>8.2736000000000001</v>
      </c>
      <c r="N165" s="17">
        <f>CHOOSE(CONTROL!$C$42, 8.2902, 8.2902) * CHOOSE(CONTROL!$C$21, $C$9, 100%, $E$9)</f>
        <v>8.2902000000000005</v>
      </c>
      <c r="O165" s="17">
        <f>CHOOSE(CONTROL!$C$42, 8.5554, 8.5554) * CHOOSE(CONTROL!$C$21, $C$9, 100%, $E$9)</f>
        <v>8.5554000000000006</v>
      </c>
      <c r="P165" s="17">
        <f>CHOOSE(CONTROL!$C$42, 8.3066, 8.3066) * CHOOSE(CONTROL!$C$21, $C$9, 100%, $E$9)</f>
        <v>8.3065999999999995</v>
      </c>
      <c r="Q165" s="17">
        <f>CHOOSE(CONTROL!$C$42, 9.1501, 9.1501) * CHOOSE(CONTROL!$C$21, $C$9, 100%, $E$9)</f>
        <v>9.1501000000000001</v>
      </c>
      <c r="R165" s="17">
        <f>CHOOSE(CONTROL!$C$42, 9.76, 9.76) * CHOOSE(CONTROL!$C$21, $C$9, 100%, $E$9)</f>
        <v>9.76</v>
      </c>
      <c r="S165" s="17">
        <f>CHOOSE(CONTROL!$C$42, 8.0659, 8.0659) * CHOOSE(CONTROL!$C$21, $C$9, 100%, $E$9)</f>
        <v>8.0658999999999992</v>
      </c>
      <c r="T16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65" s="56">
        <f>(1000*CHOOSE(CONTROL!$C$42, 695, 695)*CHOOSE(CONTROL!$C$42, 0.5599, 0.5599)*CHOOSE(CONTROL!$C$42, 30, 30))/1000000</f>
        <v>11.673914999999997</v>
      </c>
      <c r="V165" s="56">
        <f>(1000*CHOOSE(CONTROL!$C$42, 500, 500)*CHOOSE(CONTROL!$C$42, 0.275, 0.275)*CHOOSE(CONTROL!$C$42, 30, 30))/1000000</f>
        <v>4.125</v>
      </c>
      <c r="W165" s="56">
        <f>(1000*CHOOSE(CONTROL!$C$42, 0.1146, 0.1146)*CHOOSE(CONTROL!$C$42, 121.5, 121.5)*CHOOSE(CONTROL!$C$42, 30, 30))/1000000</f>
        <v>0.417717</v>
      </c>
      <c r="X165" s="56">
        <f>(30*0.1790888*145000/1000000)+(30*0.2374*100000/1000000)</f>
        <v>1.4912362799999999</v>
      </c>
      <c r="Y165" s="56"/>
      <c r="Z165" s="17"/>
      <c r="AA165" s="55"/>
      <c r="AB165" s="48">
        <f>(B165*194.205+C165*267.466+D165*133.845+E165*153.484+F165*40+G165*85+H165*0+I165*100+J165*300)/(194.205+267.466+133.845+153.484+0+40+85+100+300)</f>
        <v>8.4830523112244887</v>
      </c>
      <c r="AC165" s="45">
        <f>(M165*'RAP TEMPLATE-GAS AVAILABILITY'!O164+N165*'RAP TEMPLATE-GAS AVAILABILITY'!P164+O165*'RAP TEMPLATE-GAS AVAILABILITY'!Q164+P165*'RAP TEMPLATE-GAS AVAILABILITY'!R164)/('RAP TEMPLATE-GAS AVAILABILITY'!O164+'RAP TEMPLATE-GAS AVAILABILITY'!P164+'RAP TEMPLATE-GAS AVAILABILITY'!Q164+'RAP TEMPLATE-GAS AVAILABILITY'!R164)</f>
        <v>8.3612359712230226</v>
      </c>
    </row>
    <row r="166" spans="1:29" ht="15.75" x14ac:dyDescent="0.25">
      <c r="A166" s="16">
        <v>45931</v>
      </c>
      <c r="B166" s="17">
        <f>CHOOSE(CONTROL!$C$42, 8.2499, 8.2499) * CHOOSE(CONTROL!$C$21, $C$9, 100%, $E$9)</f>
        <v>8.2499000000000002</v>
      </c>
      <c r="C166" s="17">
        <f>CHOOSE(CONTROL!$C$42, 8.2552, 8.2552) * CHOOSE(CONTROL!$C$21, $C$9, 100%, $E$9)</f>
        <v>8.2552000000000003</v>
      </c>
      <c r="D166" s="17">
        <f>CHOOSE(CONTROL!$C$42, 8.5312, 8.5312) * CHOOSE(CONTROL!$C$21, $C$9, 100%, $E$9)</f>
        <v>8.5312000000000001</v>
      </c>
      <c r="E166" s="17">
        <f>CHOOSE(CONTROL!$C$42, 8.5604, 8.5604) * CHOOSE(CONTROL!$C$21, $C$9, 100%, $E$9)</f>
        <v>8.5603999999999996</v>
      </c>
      <c r="F166" s="17">
        <f>CHOOSE(CONTROL!$C$42, 8.2713, 8.2713)*CHOOSE(CONTROL!$C$21, $C$9, 100%, $E$9)</f>
        <v>8.2713000000000001</v>
      </c>
      <c r="G166" s="17">
        <f>CHOOSE(CONTROL!$C$42, 8.2881, 8.2881)*CHOOSE(CONTROL!$C$21, $C$9, 100%, $E$9)</f>
        <v>8.2881</v>
      </c>
      <c r="H166" s="17">
        <f>CHOOSE(CONTROL!$C$42, 8.5508, 8.5508) * CHOOSE(CONTROL!$C$21, $C$9, 100%, $E$9)</f>
        <v>8.5508000000000006</v>
      </c>
      <c r="I166" s="17">
        <f>CHOOSE(CONTROL!$C$42, 8.2974, 8.2974)* CHOOSE(CONTROL!$C$21, $C$9, 100%, $E$9)</f>
        <v>8.2973999999999997</v>
      </c>
      <c r="J166" s="17">
        <f>CHOOSE(CONTROL!$C$42, 8.2643, 8.2643)* CHOOSE(CONTROL!$C$21, $C$9, 100%, $E$9)</f>
        <v>8.2643000000000004</v>
      </c>
      <c r="K166" s="52">
        <f>CHOOSE(CONTROL!$C$42, 8.2931, 8.2931) * CHOOSE(CONTROL!$C$21, $C$9, 100%, $E$9)</f>
        <v>8.2931000000000008</v>
      </c>
      <c r="L166" s="17">
        <f>CHOOSE(CONTROL!$C$42, 9.1378, 9.1378) * CHOOSE(CONTROL!$C$21, $C$9, 100%, $E$9)</f>
        <v>9.1378000000000004</v>
      </c>
      <c r="M166" s="17">
        <f>CHOOSE(CONTROL!$C$42, 8.1233, 8.1233) * CHOOSE(CONTROL!$C$21, $C$9, 100%, $E$9)</f>
        <v>8.1233000000000004</v>
      </c>
      <c r="N166" s="17">
        <f>CHOOSE(CONTROL!$C$42, 8.1398, 8.1398) * CHOOSE(CONTROL!$C$21, $C$9, 100%, $E$9)</f>
        <v>8.1397999999999993</v>
      </c>
      <c r="O166" s="17">
        <f>CHOOSE(CONTROL!$C$42, 8.4047, 8.4047) * CHOOSE(CONTROL!$C$21, $C$9, 100%, $E$9)</f>
        <v>8.4047000000000001</v>
      </c>
      <c r="P166" s="17">
        <f>CHOOSE(CONTROL!$C$42, 8.1554, 8.1554) * CHOOSE(CONTROL!$C$21, $C$9, 100%, $E$9)</f>
        <v>8.1554000000000002</v>
      </c>
      <c r="Q166" s="17">
        <f>CHOOSE(CONTROL!$C$42, 8.9994, 8.9994) * CHOOSE(CONTROL!$C$21, $C$9, 100%, $E$9)</f>
        <v>8.9993999999999996</v>
      </c>
      <c r="R166" s="17">
        <f>CHOOSE(CONTROL!$C$42, 9.6089, 9.6089) * CHOOSE(CONTROL!$C$21, $C$9, 100%, $E$9)</f>
        <v>9.6089000000000002</v>
      </c>
      <c r="S166" s="17">
        <f>CHOOSE(CONTROL!$C$42, 7.9184, 7.9184) * CHOOSE(CONTROL!$C$21, $C$9, 100%, $E$9)</f>
        <v>7.9184000000000001</v>
      </c>
      <c r="T16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66" s="56">
        <f>(1000*CHOOSE(CONTROL!$C$42, 695, 695)*CHOOSE(CONTROL!$C$42, 0.5599, 0.5599)*CHOOSE(CONTROL!$C$42, 31, 31))/1000000</f>
        <v>12.063045499999998</v>
      </c>
      <c r="V166" s="56">
        <f>(1000*CHOOSE(CONTROL!$C$42, 500, 500)*CHOOSE(CONTROL!$C$42, 0.275, 0.275)*CHOOSE(CONTROL!$C$42, 31, 31))/1000000</f>
        <v>4.2625000000000002</v>
      </c>
      <c r="W166" s="56">
        <f>(1000*CHOOSE(CONTROL!$C$42, 0.1146, 0.1146)*CHOOSE(CONTROL!$C$42, 121.5, 121.5)*CHOOSE(CONTROL!$C$42, 31, 31))/1000000</f>
        <v>0.43164089999999994</v>
      </c>
      <c r="X166" s="56">
        <f>(31*0.1790888*145000/1000000)+(31*0.2374*100000/1000000)</f>
        <v>1.5409441560000001</v>
      </c>
      <c r="Y166" s="56"/>
      <c r="Z166" s="17"/>
      <c r="AA166" s="55"/>
      <c r="AB166" s="48">
        <f>(B166*131.881+C166*277.167+D166*79.08+E166*225.872+F166*40+G166*85+H166*0+I166*100+J166*300)/(131.881+277.167+79.08+225.872+0+40+85+100+300)</f>
        <v>8.3362764690072648</v>
      </c>
      <c r="AC166" s="45">
        <f>(M166*'RAP TEMPLATE-GAS AVAILABILITY'!O165+N166*'RAP TEMPLATE-GAS AVAILABILITY'!P165+O166*'RAP TEMPLATE-GAS AVAILABILITY'!Q165+P166*'RAP TEMPLATE-GAS AVAILABILITY'!R165)/('RAP TEMPLATE-GAS AVAILABILITY'!O165+'RAP TEMPLATE-GAS AVAILABILITY'!P165+'RAP TEMPLATE-GAS AVAILABILITY'!Q165+'RAP TEMPLATE-GAS AVAILABILITY'!R165)</f>
        <v>8.210671223021583</v>
      </c>
    </row>
    <row r="167" spans="1:29" ht="15.75" x14ac:dyDescent="0.25">
      <c r="A167" s="16">
        <v>45962</v>
      </c>
      <c r="B167" s="17">
        <f>CHOOSE(CONTROL!$C$42, 8.484, 8.484) * CHOOSE(CONTROL!$C$21, $C$9, 100%, $E$9)</f>
        <v>8.484</v>
      </c>
      <c r="C167" s="17">
        <f>CHOOSE(CONTROL!$C$42, 8.489, 8.489) * CHOOSE(CONTROL!$C$21, $C$9, 100%, $E$9)</f>
        <v>8.4890000000000008</v>
      </c>
      <c r="D167" s="17">
        <f>CHOOSE(CONTROL!$C$42, 8.5841, 8.5841) * CHOOSE(CONTROL!$C$21, $C$9, 100%, $E$9)</f>
        <v>8.5840999999999994</v>
      </c>
      <c r="E167" s="17">
        <f>CHOOSE(CONTROL!$C$42, 8.6182, 8.6182) * CHOOSE(CONTROL!$C$21, $C$9, 100%, $E$9)</f>
        <v>8.6181999999999999</v>
      </c>
      <c r="F167" s="17">
        <f>CHOOSE(CONTROL!$C$42, 8.5079, 8.5079)*CHOOSE(CONTROL!$C$21, $C$9, 100%, $E$9)</f>
        <v>8.5078999999999994</v>
      </c>
      <c r="G167" s="17">
        <f>CHOOSE(CONTROL!$C$42, 8.5249, 8.5249)*CHOOSE(CONTROL!$C$21, $C$9, 100%, $E$9)</f>
        <v>8.5249000000000006</v>
      </c>
      <c r="H167" s="17">
        <f>CHOOSE(CONTROL!$C$42, 8.6074, 8.6074) * CHOOSE(CONTROL!$C$21, $C$9, 100%, $E$9)</f>
        <v>8.6074000000000002</v>
      </c>
      <c r="I167" s="17">
        <f>CHOOSE(CONTROL!$C$42, 8.5305, 8.5305)* CHOOSE(CONTROL!$C$21, $C$9, 100%, $E$9)</f>
        <v>8.5305</v>
      </c>
      <c r="J167" s="17">
        <f>CHOOSE(CONTROL!$C$42, 8.5009, 8.5009)* CHOOSE(CONTROL!$C$21, $C$9, 100%, $E$9)</f>
        <v>8.5008999999999997</v>
      </c>
      <c r="K167" s="52">
        <f>CHOOSE(CONTROL!$C$42, 8.5263, 8.5263) * CHOOSE(CONTROL!$C$21, $C$9, 100%, $E$9)</f>
        <v>8.5263000000000009</v>
      </c>
      <c r="L167" s="17">
        <f>CHOOSE(CONTROL!$C$42, 9.1944, 9.1944) * CHOOSE(CONTROL!$C$21, $C$9, 100%, $E$9)</f>
        <v>9.1943999999999999</v>
      </c>
      <c r="M167" s="17">
        <f>CHOOSE(CONTROL!$C$42, 8.3557, 8.3557) * CHOOSE(CONTROL!$C$21, $C$9, 100%, $E$9)</f>
        <v>8.3557000000000006</v>
      </c>
      <c r="N167" s="17">
        <f>CHOOSE(CONTROL!$C$42, 8.3724, 8.3724) * CHOOSE(CONTROL!$C$21, $C$9, 100%, $E$9)</f>
        <v>8.3724000000000007</v>
      </c>
      <c r="O167" s="17">
        <f>CHOOSE(CONTROL!$C$42, 8.4602, 8.4602) * CHOOSE(CONTROL!$C$21, $C$9, 100%, $E$9)</f>
        <v>8.4602000000000004</v>
      </c>
      <c r="P167" s="17">
        <f>CHOOSE(CONTROL!$C$42, 8.3844, 8.3844) * CHOOSE(CONTROL!$C$21, $C$9, 100%, $E$9)</f>
        <v>8.3843999999999994</v>
      </c>
      <c r="Q167" s="17">
        <f>CHOOSE(CONTROL!$C$42, 9.0549, 9.0549) * CHOOSE(CONTROL!$C$21, $C$9, 100%, $E$9)</f>
        <v>9.0548999999999999</v>
      </c>
      <c r="R167" s="17">
        <f>CHOOSE(CONTROL!$C$42, 9.6646, 9.6646) * CHOOSE(CONTROL!$C$21, $C$9, 100%, $E$9)</f>
        <v>9.6646000000000001</v>
      </c>
      <c r="S167" s="17">
        <f>CHOOSE(CONTROL!$C$42, 8.1437, 8.1437) * CHOOSE(CONTROL!$C$21, $C$9, 100%, $E$9)</f>
        <v>8.1437000000000008</v>
      </c>
      <c r="T16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67" s="56">
        <f>(1000*CHOOSE(CONTROL!$C$42, 695, 695)*CHOOSE(CONTROL!$C$42, 0.5599, 0.5599)*CHOOSE(CONTROL!$C$42, 30, 30))/1000000</f>
        <v>11.673914999999997</v>
      </c>
      <c r="V167" s="56">
        <f>(1000*CHOOSE(CONTROL!$C$42, 500, 500)*CHOOSE(CONTROL!$C$42, 0.275, 0.275)*CHOOSE(CONTROL!$C$42, 30, 30))/1000000</f>
        <v>4.125</v>
      </c>
      <c r="W167" s="56">
        <f>(1000*CHOOSE(CONTROL!$C$42, 0.1146, 0.1146)*CHOOSE(CONTROL!$C$42, 121.5, 121.5)*CHOOSE(CONTROL!$C$42, 30, 30))/1000000</f>
        <v>0.417717</v>
      </c>
      <c r="X167" s="56">
        <f>(30*0.2374*100000/1000000)</f>
        <v>0.71220000000000006</v>
      </c>
      <c r="Y167" s="56"/>
      <c r="Z167" s="17"/>
      <c r="AA167" s="55"/>
      <c r="AB167" s="48">
        <f>(B167*122.58+C167*297.941+D167*89.177+E167*140.302+F167*40+G167*60+H167*0+I167*100+J167*300)/(122.58+297.941+89.177+140.302+0+40+60+100+300)</f>
        <v>8.5208476966086959</v>
      </c>
      <c r="AC167" s="45">
        <f>(M167*'RAP TEMPLATE-GAS AVAILABILITY'!O166+N167*'RAP TEMPLATE-GAS AVAILABILITY'!P166+O167*'RAP TEMPLATE-GAS AVAILABILITY'!Q166+P167*'RAP TEMPLATE-GAS AVAILABILITY'!R166)/('RAP TEMPLATE-GAS AVAILABILITY'!O166+'RAP TEMPLATE-GAS AVAILABILITY'!P166+'RAP TEMPLATE-GAS AVAILABILITY'!Q166+'RAP TEMPLATE-GAS AVAILABILITY'!R166)</f>
        <v>8.408153956834532</v>
      </c>
    </row>
    <row r="168" spans="1:29" ht="15.75" x14ac:dyDescent="0.25">
      <c r="A168" s="16">
        <v>45992</v>
      </c>
      <c r="B168" s="17">
        <f>CHOOSE(CONTROL!$C$42, 9.0804, 9.0804) * CHOOSE(CONTROL!$C$21, $C$9, 100%, $E$9)</f>
        <v>9.0803999999999991</v>
      </c>
      <c r="C168" s="17">
        <f>CHOOSE(CONTROL!$C$42, 9.0855, 9.0855) * CHOOSE(CONTROL!$C$21, $C$9, 100%, $E$9)</f>
        <v>9.0854999999999997</v>
      </c>
      <c r="D168" s="17">
        <f>CHOOSE(CONTROL!$C$42, 9.1805, 9.1805) * CHOOSE(CONTROL!$C$21, $C$9, 100%, $E$9)</f>
        <v>9.1805000000000003</v>
      </c>
      <c r="E168" s="17">
        <f>CHOOSE(CONTROL!$C$42, 9.2146, 9.2146) * CHOOSE(CONTROL!$C$21, $C$9, 100%, $E$9)</f>
        <v>9.2146000000000008</v>
      </c>
      <c r="F168" s="17">
        <f>CHOOSE(CONTROL!$C$42, 9.1066, 9.1066)*CHOOSE(CONTROL!$C$21, $C$9, 100%, $E$9)</f>
        <v>9.1066000000000003</v>
      </c>
      <c r="G168" s="17">
        <f>CHOOSE(CONTROL!$C$42, 9.1243, 9.1243)*CHOOSE(CONTROL!$C$21, $C$9, 100%, $E$9)</f>
        <v>9.1242999999999999</v>
      </c>
      <c r="H168" s="17">
        <f>CHOOSE(CONTROL!$C$42, 9.2038, 9.2038) * CHOOSE(CONTROL!$C$21, $C$9, 100%, $E$9)</f>
        <v>9.2037999999999993</v>
      </c>
      <c r="I168" s="17">
        <f>CHOOSE(CONTROL!$C$42, 9.1288, 9.1288)* CHOOSE(CONTROL!$C$21, $C$9, 100%, $E$9)</f>
        <v>9.1288</v>
      </c>
      <c r="J168" s="17">
        <f>CHOOSE(CONTROL!$C$42, 9.0996, 9.0996)* CHOOSE(CONTROL!$C$21, $C$9, 100%, $E$9)</f>
        <v>9.0996000000000006</v>
      </c>
      <c r="K168" s="52">
        <f>CHOOSE(CONTROL!$C$42, 9.1246, 9.1246) * CHOOSE(CONTROL!$C$21, $C$9, 100%, $E$9)</f>
        <v>9.1245999999999992</v>
      </c>
      <c r="L168" s="17">
        <f>CHOOSE(CONTROL!$C$42, 9.7908, 9.7908) * CHOOSE(CONTROL!$C$21, $C$9, 100%, $E$9)</f>
        <v>9.7908000000000008</v>
      </c>
      <c r="M168" s="17">
        <f>CHOOSE(CONTROL!$C$42, 8.9437, 8.9437) * CHOOSE(CONTROL!$C$21, $C$9, 100%, $E$9)</f>
        <v>8.9436999999999998</v>
      </c>
      <c r="N168" s="17">
        <f>CHOOSE(CONTROL!$C$42, 8.961, 8.961) * CHOOSE(CONTROL!$C$21, $C$9, 100%, $E$9)</f>
        <v>8.9610000000000003</v>
      </c>
      <c r="O168" s="17">
        <f>CHOOSE(CONTROL!$C$42, 9.0459, 9.0459) * CHOOSE(CONTROL!$C$21, $C$9, 100%, $E$9)</f>
        <v>9.0458999999999996</v>
      </c>
      <c r="P168" s="17">
        <f>CHOOSE(CONTROL!$C$42, 8.9719, 8.9719) * CHOOSE(CONTROL!$C$21, $C$9, 100%, $E$9)</f>
        <v>8.9718999999999998</v>
      </c>
      <c r="Q168" s="17">
        <f>CHOOSE(CONTROL!$C$42, 9.6406, 9.6406) * CHOOSE(CONTROL!$C$21, $C$9, 100%, $E$9)</f>
        <v>9.6405999999999992</v>
      </c>
      <c r="R168" s="17">
        <f>CHOOSE(CONTROL!$C$42, 10.2517, 10.2517) * CHOOSE(CONTROL!$C$21, $C$9, 100%, $E$9)</f>
        <v>10.2517</v>
      </c>
      <c r="S168" s="17">
        <f>CHOOSE(CONTROL!$C$42, 8.7168, 8.7168) * CHOOSE(CONTROL!$C$21, $C$9, 100%, $E$9)</f>
        <v>8.7167999999999992</v>
      </c>
      <c r="T16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68" s="56">
        <f>(1000*CHOOSE(CONTROL!$C$42, 695, 695)*CHOOSE(CONTROL!$C$42, 0.5599, 0.5599)*CHOOSE(CONTROL!$C$42, 31, 31))/1000000</f>
        <v>12.063045499999998</v>
      </c>
      <c r="V168" s="56">
        <f>(1000*CHOOSE(CONTROL!$C$42, 500, 500)*CHOOSE(CONTROL!$C$42, 0.275, 0.275)*CHOOSE(CONTROL!$C$42, 31, 31))/1000000</f>
        <v>4.2625000000000002</v>
      </c>
      <c r="W168" s="56">
        <f>(1000*CHOOSE(CONTROL!$C$42, 0.1146, 0.1146)*CHOOSE(CONTROL!$C$42, 121.5, 121.5)*CHOOSE(CONTROL!$C$42, 31, 31))/1000000</f>
        <v>0.43164089999999994</v>
      </c>
      <c r="X168" s="56">
        <f>(31*0.2374*100000/1000000)</f>
        <v>0.73594000000000004</v>
      </c>
      <c r="Y168" s="56"/>
      <c r="Z168" s="17"/>
      <c r="AA168" s="55"/>
      <c r="AB168" s="48">
        <f>(B168*122.58+C168*297.941+D168*89.177+E168*140.302+F168*40+G168*60+H168*0+I168*100+J168*300)/(122.58+297.941+89.177+140.302+0+40+60+100+300)</f>
        <v>9.118275343652174</v>
      </c>
      <c r="AC168" s="45">
        <f>(M168*'RAP TEMPLATE-GAS AVAILABILITY'!O167+N168*'RAP TEMPLATE-GAS AVAILABILITY'!P167+O168*'RAP TEMPLATE-GAS AVAILABILITY'!Q167+P168*'RAP TEMPLATE-GAS AVAILABILITY'!R167)/('RAP TEMPLATE-GAS AVAILABILITY'!O167+'RAP TEMPLATE-GAS AVAILABILITY'!P167+'RAP TEMPLATE-GAS AVAILABILITY'!Q167+'RAP TEMPLATE-GAS AVAILABILITY'!R167)</f>
        <v>8.9950741007194228</v>
      </c>
    </row>
    <row r="169" spans="1:29" ht="15.75" x14ac:dyDescent="0.25">
      <c r="A169" s="16">
        <v>46023</v>
      </c>
      <c r="B169" s="17">
        <f>CHOOSE(CONTROL!$C$42, 9.5874, 9.5874) * CHOOSE(CONTROL!$C$21, $C$9, 100%, $E$9)</f>
        <v>9.5874000000000006</v>
      </c>
      <c r="C169" s="17">
        <f>CHOOSE(CONTROL!$C$42, 9.5924, 9.5924) * CHOOSE(CONTROL!$C$21, $C$9, 100%, $E$9)</f>
        <v>9.5923999999999996</v>
      </c>
      <c r="D169" s="17">
        <f>CHOOSE(CONTROL!$C$42, 9.7109, 9.7109) * CHOOSE(CONTROL!$C$21, $C$9, 100%, $E$9)</f>
        <v>9.7109000000000005</v>
      </c>
      <c r="E169" s="17">
        <f>CHOOSE(CONTROL!$C$42, 9.745, 9.745) * CHOOSE(CONTROL!$C$21, $C$9, 100%, $E$9)</f>
        <v>9.7449999999999992</v>
      </c>
      <c r="F169" s="17">
        <f>CHOOSE(CONTROL!$C$42, 9.6078, 9.6078)*CHOOSE(CONTROL!$C$21, $C$9, 100%, $E$9)</f>
        <v>9.6077999999999992</v>
      </c>
      <c r="G169" s="17">
        <f>CHOOSE(CONTROL!$C$42, 9.6246, 9.6246)*CHOOSE(CONTROL!$C$21, $C$9, 100%, $E$9)</f>
        <v>9.6245999999999992</v>
      </c>
      <c r="H169" s="17">
        <f>CHOOSE(CONTROL!$C$42, 9.7342, 9.7342) * CHOOSE(CONTROL!$C$21, $C$9, 100%, $E$9)</f>
        <v>9.7341999999999995</v>
      </c>
      <c r="I169" s="17">
        <f>CHOOSE(CONTROL!$C$42, 9.641, 9.641)* CHOOSE(CONTROL!$C$21, $C$9, 100%, $E$9)</f>
        <v>9.641</v>
      </c>
      <c r="J169" s="17">
        <f>CHOOSE(CONTROL!$C$42, 9.6008, 9.6008)* CHOOSE(CONTROL!$C$21, $C$9, 100%, $E$9)</f>
        <v>9.6007999999999996</v>
      </c>
      <c r="K169" s="52">
        <f>CHOOSE(CONTROL!$C$42, 9.6368, 9.6368) * CHOOSE(CONTROL!$C$21, $C$9, 100%, $E$9)</f>
        <v>9.6367999999999991</v>
      </c>
      <c r="L169" s="17">
        <f>CHOOSE(CONTROL!$C$42, 10.3212, 10.3212) * CHOOSE(CONTROL!$C$21, $C$9, 100%, $E$9)</f>
        <v>10.321199999999999</v>
      </c>
      <c r="M169" s="17">
        <f>CHOOSE(CONTROL!$C$42, 9.4358, 9.4358) * CHOOSE(CONTROL!$C$21, $C$9, 100%, $E$9)</f>
        <v>9.4358000000000004</v>
      </c>
      <c r="N169" s="17">
        <f>CHOOSE(CONTROL!$C$42, 9.4523, 9.4523) * CHOOSE(CONTROL!$C$21, $C$9, 100%, $E$9)</f>
        <v>9.4522999999999993</v>
      </c>
      <c r="O169" s="17">
        <f>CHOOSE(CONTROL!$C$42, 9.5668, 9.5668) * CHOOSE(CONTROL!$C$21, $C$9, 100%, $E$9)</f>
        <v>9.5668000000000006</v>
      </c>
      <c r="P169" s="17">
        <f>CHOOSE(CONTROL!$C$42, 9.4748, 9.4748) * CHOOSE(CONTROL!$C$21, $C$9, 100%, $E$9)</f>
        <v>9.4748000000000001</v>
      </c>
      <c r="Q169" s="17">
        <f>CHOOSE(CONTROL!$C$42, 10.1615, 10.1615) * CHOOSE(CONTROL!$C$21, $C$9, 100%, $E$9)</f>
        <v>10.1615</v>
      </c>
      <c r="R169" s="17">
        <f>CHOOSE(CONTROL!$C$42, 10.7739, 10.7739) * CHOOSE(CONTROL!$C$21, $C$9, 100%, $E$9)</f>
        <v>10.773899999999999</v>
      </c>
      <c r="S169" s="17">
        <f>CHOOSE(CONTROL!$C$42, 9.204, 9.204) * CHOOSE(CONTROL!$C$21, $C$9, 100%, $E$9)</f>
        <v>9.2040000000000006</v>
      </c>
      <c r="T16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69" s="56">
        <f>(1000*CHOOSE(CONTROL!$C$42, 695, 695)*CHOOSE(CONTROL!$C$42, 0.5599, 0.5599)*CHOOSE(CONTROL!$C$42, 31, 31))/1000000</f>
        <v>12.063045499999998</v>
      </c>
      <c r="V169" s="56">
        <f>(1000*CHOOSE(CONTROL!$C$42, 500, 500)*CHOOSE(CONTROL!$C$42, 0.275, 0.275)*CHOOSE(CONTROL!$C$42, 31, 31))/1000000</f>
        <v>4.2625000000000002</v>
      </c>
      <c r="W169" s="56">
        <f>(1000*CHOOSE(CONTROL!$C$42, 0.1146, 0.1146)*CHOOSE(CONTROL!$C$42, 121.5, 121.5)*CHOOSE(CONTROL!$C$42, 31, 31))/1000000</f>
        <v>0.43164089999999994</v>
      </c>
      <c r="X169" s="56">
        <f>(31*0.2374*100000/1000000)</f>
        <v>0.73594000000000004</v>
      </c>
      <c r="Y169" s="56"/>
      <c r="Z169" s="17"/>
      <c r="AA169" s="55"/>
      <c r="AB169" s="48">
        <f>(B169*122.58+C169*297.941+D169*89.177+E169*140.302+F169*40+G169*60+H169*0+I169*100+J169*300)/(122.58+297.941+89.177+140.302+0+40+60+100+300)</f>
        <v>9.6283066606086951</v>
      </c>
      <c r="AC169" s="45">
        <f>(M169*'RAP TEMPLATE-GAS AVAILABILITY'!O168+N169*'RAP TEMPLATE-GAS AVAILABILITY'!P168+O169*'RAP TEMPLATE-GAS AVAILABILITY'!Q168+P169*'RAP TEMPLATE-GAS AVAILABILITY'!R168)/('RAP TEMPLATE-GAS AVAILABILITY'!O168+'RAP TEMPLATE-GAS AVAILABILITY'!P168+'RAP TEMPLATE-GAS AVAILABILITY'!Q168+'RAP TEMPLATE-GAS AVAILABILITY'!R168)</f>
        <v>9.5017352517985607</v>
      </c>
    </row>
    <row r="170" spans="1:29" ht="15.75" x14ac:dyDescent="0.25">
      <c r="A170" s="16">
        <v>46054</v>
      </c>
      <c r="B170" s="17">
        <f>CHOOSE(CONTROL!$C$42, 9.778, 9.778) * CHOOSE(CONTROL!$C$21, $C$9, 100%, $E$9)</f>
        <v>9.7780000000000005</v>
      </c>
      <c r="C170" s="17">
        <f>CHOOSE(CONTROL!$C$42, 9.783, 9.783) * CHOOSE(CONTROL!$C$21, $C$9, 100%, $E$9)</f>
        <v>9.7829999999999995</v>
      </c>
      <c r="D170" s="17">
        <f>CHOOSE(CONTROL!$C$42, 9.9015, 9.9015) * CHOOSE(CONTROL!$C$21, $C$9, 100%, $E$9)</f>
        <v>9.9015000000000004</v>
      </c>
      <c r="E170" s="17">
        <f>CHOOSE(CONTROL!$C$42, 9.9356, 9.9356) * CHOOSE(CONTROL!$C$21, $C$9, 100%, $E$9)</f>
        <v>9.9356000000000009</v>
      </c>
      <c r="F170" s="17">
        <f>CHOOSE(CONTROL!$C$42, 9.7983, 9.7983)*CHOOSE(CONTROL!$C$21, $C$9, 100%, $E$9)</f>
        <v>9.7982999999999993</v>
      </c>
      <c r="G170" s="17">
        <f>CHOOSE(CONTROL!$C$42, 9.8152, 9.8152)*CHOOSE(CONTROL!$C$21, $C$9, 100%, $E$9)</f>
        <v>9.8152000000000008</v>
      </c>
      <c r="H170" s="17">
        <f>CHOOSE(CONTROL!$C$42, 9.9248, 9.9248) * CHOOSE(CONTROL!$C$21, $C$9, 100%, $E$9)</f>
        <v>9.9247999999999994</v>
      </c>
      <c r="I170" s="17">
        <f>CHOOSE(CONTROL!$C$42, 9.8322, 9.8322)* CHOOSE(CONTROL!$C$21, $C$9, 100%, $E$9)</f>
        <v>9.8322000000000003</v>
      </c>
      <c r="J170" s="17">
        <f>CHOOSE(CONTROL!$C$42, 9.7913, 9.7913)* CHOOSE(CONTROL!$C$21, $C$9, 100%, $E$9)</f>
        <v>9.7912999999999997</v>
      </c>
      <c r="K170" s="52">
        <f>CHOOSE(CONTROL!$C$42, 9.828, 9.828) * CHOOSE(CONTROL!$C$21, $C$9, 100%, $E$9)</f>
        <v>9.8279999999999994</v>
      </c>
      <c r="L170" s="17">
        <f>CHOOSE(CONTROL!$C$42, 10.5118, 10.5118) * CHOOSE(CONTROL!$C$21, $C$9, 100%, $E$9)</f>
        <v>10.511799999999999</v>
      </c>
      <c r="M170" s="17">
        <f>CHOOSE(CONTROL!$C$42, 9.6229, 9.6229) * CHOOSE(CONTROL!$C$21, $C$9, 100%, $E$9)</f>
        <v>9.6228999999999996</v>
      </c>
      <c r="N170" s="17">
        <f>CHOOSE(CONTROL!$C$42, 9.6394, 9.6394) * CHOOSE(CONTROL!$C$21, $C$9, 100%, $E$9)</f>
        <v>9.6394000000000002</v>
      </c>
      <c r="O170" s="17">
        <f>CHOOSE(CONTROL!$C$42, 9.754, 9.754) * CHOOSE(CONTROL!$C$21, $C$9, 100%, $E$9)</f>
        <v>9.7539999999999996</v>
      </c>
      <c r="P170" s="17">
        <f>CHOOSE(CONTROL!$C$42, 9.6626, 9.6626) * CHOOSE(CONTROL!$C$21, $C$9, 100%, $E$9)</f>
        <v>9.6625999999999994</v>
      </c>
      <c r="Q170" s="17">
        <f>CHOOSE(CONTROL!$C$42, 10.3487, 10.3487) * CHOOSE(CONTROL!$C$21, $C$9, 100%, $E$9)</f>
        <v>10.348699999999999</v>
      </c>
      <c r="R170" s="17">
        <f>CHOOSE(CONTROL!$C$42, 10.9615, 10.9615) * CHOOSE(CONTROL!$C$21, $C$9, 100%, $E$9)</f>
        <v>10.961499999999999</v>
      </c>
      <c r="S170" s="17">
        <f>CHOOSE(CONTROL!$C$42, 9.3871, 9.3871) * CHOOSE(CONTROL!$C$21, $C$9, 100%, $E$9)</f>
        <v>9.3871000000000002</v>
      </c>
      <c r="T17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70" s="56">
        <f>(1000*CHOOSE(CONTROL!$C$42, 695, 695)*CHOOSE(CONTROL!$C$42, 0.5599, 0.5599)*CHOOSE(CONTROL!$C$42, 28, 28))/1000000</f>
        <v>10.895653999999999</v>
      </c>
      <c r="V170" s="56">
        <f>(1000*CHOOSE(CONTROL!$C$42, 500, 500)*CHOOSE(CONTROL!$C$42, 0.275, 0.275)*CHOOSE(CONTROL!$C$42, 28, 28))/1000000</f>
        <v>3.85</v>
      </c>
      <c r="W170" s="56">
        <f>(1000*CHOOSE(CONTROL!$C$42, 0.1146, 0.1146)*CHOOSE(CONTROL!$C$42, 121.5, 121.5)*CHOOSE(CONTROL!$C$42, 28, 28))/1000000</f>
        <v>0.38986920000000003</v>
      </c>
      <c r="X170" s="56">
        <f>(28*0.2374*100000/1000000)</f>
        <v>0.66471999999999998</v>
      </c>
      <c r="Y170" s="56"/>
      <c r="Z170" s="17"/>
      <c r="AA170" s="55"/>
      <c r="AB170" s="48">
        <f>(B170*122.58+C170*297.941+D170*89.177+E170*140.302+F170*40+G170*60+H170*0+I170*100+J170*300)/(122.58+297.941+89.177+140.302+0+40+60+100+300)</f>
        <v>9.8189292693043466</v>
      </c>
      <c r="AC170" s="45">
        <f>(M170*'RAP TEMPLATE-GAS AVAILABILITY'!O169+N170*'RAP TEMPLATE-GAS AVAILABILITY'!P169+O170*'RAP TEMPLATE-GAS AVAILABILITY'!Q169+P170*'RAP TEMPLATE-GAS AVAILABILITY'!R169)/('RAP TEMPLATE-GAS AVAILABILITY'!O169+'RAP TEMPLATE-GAS AVAILABILITY'!P169+'RAP TEMPLATE-GAS AVAILABILITY'!Q169+'RAP TEMPLATE-GAS AVAILABILITY'!R169)</f>
        <v>9.6889812949640302</v>
      </c>
    </row>
    <row r="171" spans="1:29" ht="15.75" x14ac:dyDescent="0.25">
      <c r="A171" s="16">
        <v>46082</v>
      </c>
      <c r="B171" s="17">
        <f>CHOOSE(CONTROL!$C$42, 9.5202, 9.5202) * CHOOSE(CONTROL!$C$21, $C$9, 100%, $E$9)</f>
        <v>9.5202000000000009</v>
      </c>
      <c r="C171" s="17">
        <f>CHOOSE(CONTROL!$C$42, 9.5252, 9.5252) * CHOOSE(CONTROL!$C$21, $C$9, 100%, $E$9)</f>
        <v>9.5251999999999999</v>
      </c>
      <c r="D171" s="17">
        <f>CHOOSE(CONTROL!$C$42, 9.6437, 9.6437) * CHOOSE(CONTROL!$C$21, $C$9, 100%, $E$9)</f>
        <v>9.6437000000000008</v>
      </c>
      <c r="E171" s="17">
        <f>CHOOSE(CONTROL!$C$42, 9.6778, 9.6778) * CHOOSE(CONTROL!$C$21, $C$9, 100%, $E$9)</f>
        <v>9.6777999999999995</v>
      </c>
      <c r="F171" s="17">
        <f>CHOOSE(CONTROL!$C$42, 9.5399, 9.5399)*CHOOSE(CONTROL!$C$21, $C$9, 100%, $E$9)</f>
        <v>9.5398999999999994</v>
      </c>
      <c r="G171" s="17">
        <f>CHOOSE(CONTROL!$C$42, 9.5565, 9.5565)*CHOOSE(CONTROL!$C$21, $C$9, 100%, $E$9)</f>
        <v>9.5564999999999998</v>
      </c>
      <c r="H171" s="17">
        <f>CHOOSE(CONTROL!$C$42, 9.667, 9.667) * CHOOSE(CONTROL!$C$21, $C$9, 100%, $E$9)</f>
        <v>9.6669999999999998</v>
      </c>
      <c r="I171" s="17">
        <f>CHOOSE(CONTROL!$C$42, 9.5736, 9.5736)* CHOOSE(CONTROL!$C$21, $C$9, 100%, $E$9)</f>
        <v>9.5736000000000008</v>
      </c>
      <c r="J171" s="17">
        <f>CHOOSE(CONTROL!$C$42, 9.5329, 9.5329)* CHOOSE(CONTROL!$C$21, $C$9, 100%, $E$9)</f>
        <v>9.5328999999999997</v>
      </c>
      <c r="K171" s="52">
        <f>CHOOSE(CONTROL!$C$42, 9.5694, 9.5694) * CHOOSE(CONTROL!$C$21, $C$9, 100%, $E$9)</f>
        <v>9.5693999999999999</v>
      </c>
      <c r="L171" s="17">
        <f>CHOOSE(CONTROL!$C$42, 10.254, 10.254) * CHOOSE(CONTROL!$C$21, $C$9, 100%, $E$9)</f>
        <v>10.254</v>
      </c>
      <c r="M171" s="17">
        <f>CHOOSE(CONTROL!$C$42, 9.3691, 9.3691) * CHOOSE(CONTROL!$C$21, $C$9, 100%, $E$9)</f>
        <v>9.3690999999999995</v>
      </c>
      <c r="N171" s="17">
        <f>CHOOSE(CONTROL!$C$42, 9.3855, 9.3855) * CHOOSE(CONTROL!$C$21, $C$9, 100%, $E$9)</f>
        <v>9.3855000000000004</v>
      </c>
      <c r="O171" s="17">
        <f>CHOOSE(CONTROL!$C$42, 9.5008, 9.5008) * CHOOSE(CONTROL!$C$21, $C$9, 100%, $E$9)</f>
        <v>9.5007999999999999</v>
      </c>
      <c r="P171" s="17">
        <f>CHOOSE(CONTROL!$C$42, 9.4086, 9.4086) * CHOOSE(CONTROL!$C$21, $C$9, 100%, $E$9)</f>
        <v>9.4085999999999999</v>
      </c>
      <c r="Q171" s="17">
        <f>CHOOSE(CONTROL!$C$42, 10.0955, 10.0955) * CHOOSE(CONTROL!$C$21, $C$9, 100%, $E$9)</f>
        <v>10.095499999999999</v>
      </c>
      <c r="R171" s="17">
        <f>CHOOSE(CONTROL!$C$42, 10.7077, 10.7077) * CHOOSE(CONTROL!$C$21, $C$9, 100%, $E$9)</f>
        <v>10.707700000000001</v>
      </c>
      <c r="S171" s="17">
        <f>CHOOSE(CONTROL!$C$42, 9.1394, 9.1394) * CHOOSE(CONTROL!$C$21, $C$9, 100%, $E$9)</f>
        <v>9.1394000000000002</v>
      </c>
      <c r="T17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71" s="56">
        <f>(1000*CHOOSE(CONTROL!$C$42, 695, 695)*CHOOSE(CONTROL!$C$42, 0.5599, 0.5599)*CHOOSE(CONTROL!$C$42, 31, 31))/1000000</f>
        <v>12.063045499999998</v>
      </c>
      <c r="V171" s="56">
        <f>(1000*CHOOSE(CONTROL!$C$42, 500, 500)*CHOOSE(CONTROL!$C$42, 0.275, 0.275)*CHOOSE(CONTROL!$C$42, 31, 31))/1000000</f>
        <v>4.2625000000000002</v>
      </c>
      <c r="W171" s="56">
        <f>(1000*CHOOSE(CONTROL!$C$42, 0.1146, 0.1146)*CHOOSE(CONTROL!$C$42, 121.5, 121.5)*CHOOSE(CONTROL!$C$42, 31, 31))/1000000</f>
        <v>0.43164089999999994</v>
      </c>
      <c r="X171" s="56">
        <f>(31*0.2374*100000/1000000)</f>
        <v>0.73594000000000004</v>
      </c>
      <c r="Y171" s="56"/>
      <c r="Z171" s="17"/>
      <c r="AA171" s="55"/>
      <c r="AB171" s="48">
        <f>(B171*122.58+C171*297.941+D171*89.177+E171*140.302+F171*40+G171*60+H171*0+I171*100+J171*300)/(122.58+297.941+89.177+140.302+0+40+60+100+300)</f>
        <v>9.5608353562608688</v>
      </c>
      <c r="AC171" s="45">
        <f>(M171*'RAP TEMPLATE-GAS AVAILABILITY'!O170+N171*'RAP TEMPLATE-GAS AVAILABILITY'!P170+O171*'RAP TEMPLATE-GAS AVAILABILITY'!Q170+P171*'RAP TEMPLATE-GAS AVAILABILITY'!R170)/('RAP TEMPLATE-GAS AVAILABILITY'!O170+'RAP TEMPLATE-GAS AVAILABILITY'!P170+'RAP TEMPLATE-GAS AVAILABILITY'!Q170+'RAP TEMPLATE-GAS AVAILABILITY'!R170)</f>
        <v>9.4354187050359695</v>
      </c>
    </row>
    <row r="172" spans="1:29" ht="15.75" x14ac:dyDescent="0.25">
      <c r="A172" s="16">
        <v>46113</v>
      </c>
      <c r="B172" s="17">
        <f>CHOOSE(CONTROL!$C$42, 9.5122, 9.5122) * CHOOSE(CONTROL!$C$21, $C$9, 100%, $E$9)</f>
        <v>9.5122</v>
      </c>
      <c r="C172" s="17">
        <f>CHOOSE(CONTROL!$C$42, 9.5167, 9.5167) * CHOOSE(CONTROL!$C$21, $C$9, 100%, $E$9)</f>
        <v>9.5167000000000002</v>
      </c>
      <c r="D172" s="17">
        <f>CHOOSE(CONTROL!$C$42, 9.7909, 9.7909) * CHOOSE(CONTROL!$C$21, $C$9, 100%, $E$9)</f>
        <v>9.7909000000000006</v>
      </c>
      <c r="E172" s="17">
        <f>CHOOSE(CONTROL!$C$42, 9.823, 9.823) * CHOOSE(CONTROL!$C$21, $C$9, 100%, $E$9)</f>
        <v>9.8230000000000004</v>
      </c>
      <c r="F172" s="17">
        <f>CHOOSE(CONTROL!$C$42, 9.5316, 9.5316)*CHOOSE(CONTROL!$C$21, $C$9, 100%, $E$9)</f>
        <v>9.5315999999999992</v>
      </c>
      <c r="G172" s="17">
        <f>CHOOSE(CONTROL!$C$42, 9.5479, 9.5479)*CHOOSE(CONTROL!$C$21, $C$9, 100%, $E$9)</f>
        <v>9.5479000000000003</v>
      </c>
      <c r="H172" s="17">
        <f>CHOOSE(CONTROL!$C$42, 9.8128, 9.8128) * CHOOSE(CONTROL!$C$21, $C$9, 100%, $E$9)</f>
        <v>9.8127999999999993</v>
      </c>
      <c r="I172" s="17">
        <f>CHOOSE(CONTROL!$C$42, 9.5633, 9.5633)* CHOOSE(CONTROL!$C$21, $C$9, 100%, $E$9)</f>
        <v>9.5632999999999999</v>
      </c>
      <c r="J172" s="17">
        <f>CHOOSE(CONTROL!$C$42, 9.5246, 9.5246)* CHOOSE(CONTROL!$C$21, $C$9, 100%, $E$9)</f>
        <v>9.5245999999999995</v>
      </c>
      <c r="K172" s="52">
        <f>CHOOSE(CONTROL!$C$42, 9.5591, 9.5591) * CHOOSE(CONTROL!$C$21, $C$9, 100%, $E$9)</f>
        <v>9.5591000000000008</v>
      </c>
      <c r="L172" s="17">
        <f>CHOOSE(CONTROL!$C$42, 10.3998, 10.3998) * CHOOSE(CONTROL!$C$21, $C$9, 100%, $E$9)</f>
        <v>10.399800000000001</v>
      </c>
      <c r="M172" s="17">
        <f>CHOOSE(CONTROL!$C$42, 9.3609, 9.3609) * CHOOSE(CONTROL!$C$21, $C$9, 100%, $E$9)</f>
        <v>9.3609000000000009</v>
      </c>
      <c r="N172" s="17">
        <f>CHOOSE(CONTROL!$C$42, 9.377, 9.377) * CHOOSE(CONTROL!$C$21, $C$9, 100%, $E$9)</f>
        <v>9.3770000000000007</v>
      </c>
      <c r="O172" s="17">
        <f>CHOOSE(CONTROL!$C$42, 9.644, 9.644) * CHOOSE(CONTROL!$C$21, $C$9, 100%, $E$9)</f>
        <v>9.6440000000000001</v>
      </c>
      <c r="P172" s="17">
        <f>CHOOSE(CONTROL!$C$42, 9.3985, 9.3985) * CHOOSE(CONTROL!$C$21, $C$9, 100%, $E$9)</f>
        <v>9.3985000000000003</v>
      </c>
      <c r="Q172" s="17">
        <f>CHOOSE(CONTROL!$C$42, 10.2387, 10.2387) * CHOOSE(CONTROL!$C$21, $C$9, 100%, $E$9)</f>
        <v>10.2387</v>
      </c>
      <c r="R172" s="17">
        <f>CHOOSE(CONTROL!$C$42, 10.8513, 10.8513) * CHOOSE(CONTROL!$C$21, $C$9, 100%, $E$9)</f>
        <v>10.8513</v>
      </c>
      <c r="S172" s="17">
        <f>CHOOSE(CONTROL!$C$42, 9.131, 9.131) * CHOOSE(CONTROL!$C$21, $C$9, 100%, $E$9)</f>
        <v>9.1310000000000002</v>
      </c>
      <c r="T17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72" s="56">
        <f>(1000*CHOOSE(CONTROL!$C$42, 695, 695)*CHOOSE(CONTROL!$C$42, 0.5599, 0.5599)*CHOOSE(CONTROL!$C$42, 30, 30))/1000000</f>
        <v>11.673914999999997</v>
      </c>
      <c r="V172" s="56">
        <f>(1000*CHOOSE(CONTROL!$C$42, 500, 500)*CHOOSE(CONTROL!$C$42, 0.275, 0.275)*CHOOSE(CONTROL!$C$42, 30, 30))/1000000</f>
        <v>4.125</v>
      </c>
      <c r="W172" s="56">
        <f>(1000*CHOOSE(CONTROL!$C$42, 0.1146, 0.1146)*CHOOSE(CONTROL!$C$42, 121.5, 121.5)*CHOOSE(CONTROL!$C$42, 30, 30))/1000000</f>
        <v>0.417717</v>
      </c>
      <c r="X172" s="56">
        <f>(30*0.1790888*145000/1000000)+(30*0.2374*100000/1000000)</f>
        <v>1.4912362799999999</v>
      </c>
      <c r="Y172" s="56"/>
      <c r="Z172" s="17"/>
      <c r="AA172" s="55"/>
      <c r="AB172" s="48">
        <f>(B172*141.293+C172*267.993+D172*115.016+E172*189.698+F172*40+G172*85+H172*0+I172*100+J172*300)/(141.293+267.993+115.016+189.698+0+40+85+100+300)</f>
        <v>9.5968324181598064</v>
      </c>
      <c r="AC172" s="45">
        <f>(M172*'RAP TEMPLATE-GAS AVAILABILITY'!O171+N172*'RAP TEMPLATE-GAS AVAILABILITY'!P171+O172*'RAP TEMPLATE-GAS AVAILABILITY'!Q171+P172*'RAP TEMPLATE-GAS AVAILABILITY'!R171)/('RAP TEMPLATE-GAS AVAILABILITY'!O171+'RAP TEMPLATE-GAS AVAILABILITY'!P171+'RAP TEMPLATE-GAS AVAILABILITY'!Q171+'RAP TEMPLATE-GAS AVAILABILITY'!R171)</f>
        <v>9.4494474820143886</v>
      </c>
    </row>
    <row r="173" spans="1:29" ht="15.75" x14ac:dyDescent="0.25">
      <c r="A173" s="16">
        <v>46143</v>
      </c>
      <c r="B173" s="17">
        <f>CHOOSE(CONTROL!$C$42, 9.6172, 9.6172) * CHOOSE(CONTROL!$C$21, $C$9, 100%, $E$9)</f>
        <v>9.6172000000000004</v>
      </c>
      <c r="C173" s="17">
        <f>CHOOSE(CONTROL!$C$42, 9.6253, 9.6253) * CHOOSE(CONTROL!$C$21, $C$9, 100%, $E$9)</f>
        <v>9.6252999999999993</v>
      </c>
      <c r="D173" s="17">
        <f>CHOOSE(CONTROL!$C$42, 9.8963, 9.8963) * CHOOSE(CONTROL!$C$21, $C$9, 100%, $E$9)</f>
        <v>9.8963000000000001</v>
      </c>
      <c r="E173" s="17">
        <f>CHOOSE(CONTROL!$C$42, 9.9278, 9.9278) * CHOOSE(CONTROL!$C$21, $C$9, 100%, $E$9)</f>
        <v>9.9277999999999995</v>
      </c>
      <c r="F173" s="17">
        <f>CHOOSE(CONTROL!$C$42, 9.6354, 9.6354)*CHOOSE(CONTROL!$C$21, $C$9, 100%, $E$9)</f>
        <v>9.6354000000000006</v>
      </c>
      <c r="G173" s="17">
        <f>CHOOSE(CONTROL!$C$42, 9.652, 9.652)*CHOOSE(CONTROL!$C$21, $C$9, 100%, $E$9)</f>
        <v>9.6519999999999992</v>
      </c>
      <c r="H173" s="17">
        <f>CHOOSE(CONTROL!$C$42, 9.9164, 9.9164) * CHOOSE(CONTROL!$C$21, $C$9, 100%, $E$9)</f>
        <v>9.9163999999999994</v>
      </c>
      <c r="I173" s="17">
        <f>CHOOSE(CONTROL!$C$42, 9.6672, 9.6672)* CHOOSE(CONTROL!$C$21, $C$9, 100%, $E$9)</f>
        <v>9.6671999999999993</v>
      </c>
      <c r="J173" s="17">
        <f>CHOOSE(CONTROL!$C$42, 9.6284, 9.6284)* CHOOSE(CONTROL!$C$21, $C$9, 100%, $E$9)</f>
        <v>9.6283999999999992</v>
      </c>
      <c r="K173" s="52">
        <f>CHOOSE(CONTROL!$C$42, 9.663, 9.663) * CHOOSE(CONTROL!$C$21, $C$9, 100%, $E$9)</f>
        <v>9.6630000000000003</v>
      </c>
      <c r="L173" s="17">
        <f>CHOOSE(CONTROL!$C$42, 10.5034, 10.5034) * CHOOSE(CONTROL!$C$21, $C$9, 100%, $E$9)</f>
        <v>10.503399999999999</v>
      </c>
      <c r="M173" s="17">
        <f>CHOOSE(CONTROL!$C$42, 9.4629, 9.4629) * CHOOSE(CONTROL!$C$21, $C$9, 100%, $E$9)</f>
        <v>9.4628999999999994</v>
      </c>
      <c r="N173" s="17">
        <f>CHOOSE(CONTROL!$C$42, 9.4792, 9.4792) * CHOOSE(CONTROL!$C$21, $C$9, 100%, $E$9)</f>
        <v>9.4792000000000005</v>
      </c>
      <c r="O173" s="17">
        <f>CHOOSE(CONTROL!$C$42, 9.7458, 9.7458) * CHOOSE(CONTROL!$C$21, $C$9, 100%, $E$9)</f>
        <v>9.7457999999999991</v>
      </c>
      <c r="P173" s="17">
        <f>CHOOSE(CONTROL!$C$42, 9.5006, 9.5006) * CHOOSE(CONTROL!$C$21, $C$9, 100%, $E$9)</f>
        <v>9.5006000000000004</v>
      </c>
      <c r="Q173" s="17">
        <f>CHOOSE(CONTROL!$C$42, 10.3405, 10.3405) * CHOOSE(CONTROL!$C$21, $C$9, 100%, $E$9)</f>
        <v>10.3405</v>
      </c>
      <c r="R173" s="17">
        <f>CHOOSE(CONTROL!$C$42, 10.9533, 10.9533) * CHOOSE(CONTROL!$C$21, $C$9, 100%, $E$9)</f>
        <v>10.9533</v>
      </c>
      <c r="S173" s="17">
        <f>CHOOSE(CONTROL!$C$42, 9.2306, 9.2306) * CHOOSE(CONTROL!$C$21, $C$9, 100%, $E$9)</f>
        <v>9.2306000000000008</v>
      </c>
      <c r="T17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73" s="56">
        <f>(1000*CHOOSE(CONTROL!$C$42, 695, 695)*CHOOSE(CONTROL!$C$42, 0.5599, 0.5599)*CHOOSE(CONTROL!$C$42, 31, 31))/1000000</f>
        <v>12.063045499999998</v>
      </c>
      <c r="V173" s="56">
        <f>(1000*CHOOSE(CONTROL!$C$42, 500, 500)*CHOOSE(CONTROL!$C$42, 0.275, 0.275)*CHOOSE(CONTROL!$C$42, 31, 31))/1000000</f>
        <v>4.2625000000000002</v>
      </c>
      <c r="W173" s="56">
        <f>(1000*CHOOSE(CONTROL!$C$42, 0.1146, 0.1146)*CHOOSE(CONTROL!$C$42, 121.5, 121.5)*CHOOSE(CONTROL!$C$42, 31, 31))/1000000</f>
        <v>0.43164089999999994</v>
      </c>
      <c r="X173" s="56">
        <f>(31*0.1790888*145000/1000000)+(31*0.2374*100000/1000000)</f>
        <v>1.5409441560000001</v>
      </c>
      <c r="Y173" s="56"/>
      <c r="Z173" s="17"/>
      <c r="AA173" s="55"/>
      <c r="AB173" s="48">
        <f>(B173*194.205+C173*267.466+D173*133.845+E173*153.484+F173*40+G173*85+H173*0+I173*100+J173*300)/(194.205+267.466+133.845+153.484+0+40+85+100+300)</f>
        <v>9.6950969737048656</v>
      </c>
      <c r="AC173" s="45">
        <f>(M173*'RAP TEMPLATE-GAS AVAILABILITY'!O172+N173*'RAP TEMPLATE-GAS AVAILABILITY'!P172+O173*'RAP TEMPLATE-GAS AVAILABILITY'!Q172+P173*'RAP TEMPLATE-GAS AVAILABILITY'!R172)/('RAP TEMPLATE-GAS AVAILABILITY'!O172+'RAP TEMPLATE-GAS AVAILABILITY'!P172+'RAP TEMPLATE-GAS AVAILABILITY'!Q172+'RAP TEMPLATE-GAS AVAILABILITY'!R172)</f>
        <v>9.5514517985611516</v>
      </c>
    </row>
    <row r="174" spans="1:29" ht="15.75" x14ac:dyDescent="0.25">
      <c r="A174" s="16">
        <v>46174</v>
      </c>
      <c r="B174" s="17">
        <f>CHOOSE(CONTROL!$C$42, 9.9101, 9.9101) * CHOOSE(CONTROL!$C$21, $C$9, 100%, $E$9)</f>
        <v>9.9100999999999999</v>
      </c>
      <c r="C174" s="17">
        <f>CHOOSE(CONTROL!$C$42, 9.9181, 9.9181) * CHOOSE(CONTROL!$C$21, $C$9, 100%, $E$9)</f>
        <v>9.9181000000000008</v>
      </c>
      <c r="D174" s="17">
        <f>CHOOSE(CONTROL!$C$42, 10.1891, 10.1891) * CHOOSE(CONTROL!$C$21, $C$9, 100%, $E$9)</f>
        <v>10.1891</v>
      </c>
      <c r="E174" s="17">
        <f>CHOOSE(CONTROL!$C$42, 10.2206, 10.2206) * CHOOSE(CONTROL!$C$21, $C$9, 100%, $E$9)</f>
        <v>10.220599999999999</v>
      </c>
      <c r="F174" s="17">
        <f>CHOOSE(CONTROL!$C$42, 9.9285, 9.9285)*CHOOSE(CONTROL!$C$21, $C$9, 100%, $E$9)</f>
        <v>9.9284999999999997</v>
      </c>
      <c r="G174" s="17">
        <f>CHOOSE(CONTROL!$C$42, 9.9452, 9.9452)*CHOOSE(CONTROL!$C$21, $C$9, 100%, $E$9)</f>
        <v>9.9451999999999998</v>
      </c>
      <c r="H174" s="17">
        <f>CHOOSE(CONTROL!$C$42, 10.2092, 10.2092) * CHOOSE(CONTROL!$C$21, $C$9, 100%, $E$9)</f>
        <v>10.209199999999999</v>
      </c>
      <c r="I174" s="17">
        <f>CHOOSE(CONTROL!$C$42, 9.961, 9.961)* CHOOSE(CONTROL!$C$21, $C$9, 100%, $E$9)</f>
        <v>9.9610000000000003</v>
      </c>
      <c r="J174" s="17">
        <f>CHOOSE(CONTROL!$C$42, 9.9215, 9.9215)* CHOOSE(CONTROL!$C$21, $C$9, 100%, $E$9)</f>
        <v>9.9215</v>
      </c>
      <c r="K174" s="52">
        <f>CHOOSE(CONTROL!$C$42, 9.9567, 9.9567) * CHOOSE(CONTROL!$C$21, $C$9, 100%, $E$9)</f>
        <v>9.9566999999999997</v>
      </c>
      <c r="L174" s="17">
        <f>CHOOSE(CONTROL!$C$42, 10.7962, 10.7962) * CHOOSE(CONTROL!$C$21, $C$9, 100%, $E$9)</f>
        <v>10.796200000000001</v>
      </c>
      <c r="M174" s="17">
        <f>CHOOSE(CONTROL!$C$42, 9.7507, 9.7507) * CHOOSE(CONTROL!$C$21, $C$9, 100%, $E$9)</f>
        <v>9.7507000000000001</v>
      </c>
      <c r="N174" s="17">
        <f>CHOOSE(CONTROL!$C$42, 9.7672, 9.7672) * CHOOSE(CONTROL!$C$21, $C$9, 100%, $E$9)</f>
        <v>9.7672000000000008</v>
      </c>
      <c r="O174" s="17">
        <f>CHOOSE(CONTROL!$C$42, 10.0333, 10.0333) * CHOOSE(CONTROL!$C$21, $C$9, 100%, $E$9)</f>
        <v>10.033300000000001</v>
      </c>
      <c r="P174" s="17">
        <f>CHOOSE(CONTROL!$C$42, 9.789, 9.789) * CHOOSE(CONTROL!$C$21, $C$9, 100%, $E$9)</f>
        <v>9.7889999999999997</v>
      </c>
      <c r="Q174" s="17">
        <f>CHOOSE(CONTROL!$C$42, 10.628, 10.628) * CHOOSE(CONTROL!$C$21, $C$9, 100%, $E$9)</f>
        <v>10.628</v>
      </c>
      <c r="R174" s="17">
        <f>CHOOSE(CONTROL!$C$42, 11.2416, 11.2416) * CHOOSE(CONTROL!$C$21, $C$9, 100%, $E$9)</f>
        <v>11.2416</v>
      </c>
      <c r="S174" s="17">
        <f>CHOOSE(CONTROL!$C$42, 9.5119, 9.5119) * CHOOSE(CONTROL!$C$21, $C$9, 100%, $E$9)</f>
        <v>9.5119000000000007</v>
      </c>
      <c r="T17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74" s="56">
        <f>(1000*CHOOSE(CONTROL!$C$42, 695, 695)*CHOOSE(CONTROL!$C$42, 0.5599, 0.5599)*CHOOSE(CONTROL!$C$42, 30, 30))/1000000</f>
        <v>11.673914999999997</v>
      </c>
      <c r="V174" s="56">
        <f>(1000*CHOOSE(CONTROL!$C$42, 500, 500)*CHOOSE(CONTROL!$C$42, 0.275, 0.275)*CHOOSE(CONTROL!$C$42, 30, 30))/1000000</f>
        <v>4.125</v>
      </c>
      <c r="W174" s="56">
        <f>(1000*CHOOSE(CONTROL!$C$42, 0.1146, 0.1146)*CHOOSE(CONTROL!$C$42, 121.5, 121.5)*CHOOSE(CONTROL!$C$42, 30, 30))/1000000</f>
        <v>0.417717</v>
      </c>
      <c r="X174" s="56">
        <f>(30*0.1790888*145000/1000000)+(30*0.2374*100000/1000000)</f>
        <v>1.4912362799999999</v>
      </c>
      <c r="Y174" s="56"/>
      <c r="Z174" s="17"/>
      <c r="AA174" s="55"/>
      <c r="AB174" s="48">
        <f>(B174*194.205+C174*267.466+D174*133.845+E174*153.484+F174*40+G174*85+H174*0+I174*100+J174*300)/(194.205+267.466+133.845+153.484+0+40+85+100+300)</f>
        <v>9.9880974607535329</v>
      </c>
      <c r="AC174" s="45">
        <f>(M174*'RAP TEMPLATE-GAS AVAILABILITY'!O173+N174*'RAP TEMPLATE-GAS AVAILABILITY'!P173+O174*'RAP TEMPLATE-GAS AVAILABILITY'!Q173+P174*'RAP TEMPLATE-GAS AVAILABILITY'!R173)/('RAP TEMPLATE-GAS AVAILABILITY'!O173+'RAP TEMPLATE-GAS AVAILABILITY'!P173+'RAP TEMPLATE-GAS AVAILABILITY'!Q173+'RAP TEMPLATE-GAS AVAILABILITY'!R173)</f>
        <v>9.8392999999999997</v>
      </c>
    </row>
    <row r="175" spans="1:29" ht="15.75" x14ac:dyDescent="0.25">
      <c r="A175" s="16">
        <v>46204</v>
      </c>
      <c r="B175" s="17">
        <f>CHOOSE(CONTROL!$C$42, 9.7402, 9.7402) * CHOOSE(CONTROL!$C$21, $C$9, 100%, $E$9)</f>
        <v>9.7401999999999997</v>
      </c>
      <c r="C175" s="17">
        <f>CHOOSE(CONTROL!$C$42, 9.7482, 9.7482) * CHOOSE(CONTROL!$C$21, $C$9, 100%, $E$9)</f>
        <v>9.7482000000000006</v>
      </c>
      <c r="D175" s="17">
        <f>CHOOSE(CONTROL!$C$42, 10.0192, 10.0192) * CHOOSE(CONTROL!$C$21, $C$9, 100%, $E$9)</f>
        <v>10.0192</v>
      </c>
      <c r="E175" s="17">
        <f>CHOOSE(CONTROL!$C$42, 10.0507, 10.0507) * CHOOSE(CONTROL!$C$21, $C$9, 100%, $E$9)</f>
        <v>10.050700000000001</v>
      </c>
      <c r="F175" s="17">
        <f>CHOOSE(CONTROL!$C$42, 9.759, 9.759)*CHOOSE(CONTROL!$C$21, $C$9, 100%, $E$9)</f>
        <v>9.7590000000000003</v>
      </c>
      <c r="G175" s="17">
        <f>CHOOSE(CONTROL!$C$42, 9.7758, 9.7758)*CHOOSE(CONTROL!$C$21, $C$9, 100%, $E$9)</f>
        <v>9.7758000000000003</v>
      </c>
      <c r="H175" s="17">
        <f>CHOOSE(CONTROL!$C$42, 10.0393, 10.0393) * CHOOSE(CONTROL!$C$21, $C$9, 100%, $E$9)</f>
        <v>10.039300000000001</v>
      </c>
      <c r="I175" s="17">
        <f>CHOOSE(CONTROL!$C$42, 9.7905, 9.7905)* CHOOSE(CONTROL!$C$21, $C$9, 100%, $E$9)</f>
        <v>9.7904999999999998</v>
      </c>
      <c r="J175" s="17">
        <f>CHOOSE(CONTROL!$C$42, 9.752, 9.752)* CHOOSE(CONTROL!$C$21, $C$9, 100%, $E$9)</f>
        <v>9.7520000000000007</v>
      </c>
      <c r="K175" s="52">
        <f>CHOOSE(CONTROL!$C$42, 9.7863, 9.7863) * CHOOSE(CONTROL!$C$21, $C$9, 100%, $E$9)</f>
        <v>9.7863000000000007</v>
      </c>
      <c r="L175" s="17">
        <f>CHOOSE(CONTROL!$C$42, 10.6263, 10.6263) * CHOOSE(CONTROL!$C$21, $C$9, 100%, $E$9)</f>
        <v>10.626300000000001</v>
      </c>
      <c r="M175" s="17">
        <f>CHOOSE(CONTROL!$C$42, 9.5843, 9.5843) * CHOOSE(CONTROL!$C$21, $C$9, 100%, $E$9)</f>
        <v>9.5843000000000007</v>
      </c>
      <c r="N175" s="17">
        <f>CHOOSE(CONTROL!$C$42, 9.6008, 9.6008) * CHOOSE(CONTROL!$C$21, $C$9, 100%, $E$9)</f>
        <v>9.6007999999999996</v>
      </c>
      <c r="O175" s="17">
        <f>CHOOSE(CONTROL!$C$42, 9.8665, 9.8665) * CHOOSE(CONTROL!$C$21, $C$9, 100%, $E$9)</f>
        <v>9.8665000000000003</v>
      </c>
      <c r="P175" s="17">
        <f>CHOOSE(CONTROL!$C$42, 9.6217, 9.6217) * CHOOSE(CONTROL!$C$21, $C$9, 100%, $E$9)</f>
        <v>9.6217000000000006</v>
      </c>
      <c r="Q175" s="17">
        <f>CHOOSE(CONTROL!$C$42, 10.4612, 10.4612) * CHOOSE(CONTROL!$C$21, $C$9, 100%, $E$9)</f>
        <v>10.4612</v>
      </c>
      <c r="R175" s="17">
        <f>CHOOSE(CONTROL!$C$42, 11.0743, 11.0743) * CHOOSE(CONTROL!$C$21, $C$9, 100%, $E$9)</f>
        <v>11.074299999999999</v>
      </c>
      <c r="S175" s="17">
        <f>CHOOSE(CONTROL!$C$42, 9.3487, 9.3487) * CHOOSE(CONTROL!$C$21, $C$9, 100%, $E$9)</f>
        <v>9.3486999999999991</v>
      </c>
      <c r="T17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75" s="56">
        <f>(1000*CHOOSE(CONTROL!$C$42, 695, 695)*CHOOSE(CONTROL!$C$42, 0.5599, 0.5599)*CHOOSE(CONTROL!$C$42, 31, 31))/1000000</f>
        <v>12.063045499999998</v>
      </c>
      <c r="V175" s="56">
        <f>(1000*CHOOSE(CONTROL!$C$42, 500, 500)*CHOOSE(CONTROL!$C$42, 0.275, 0.275)*CHOOSE(CONTROL!$C$42, 31, 31))/1000000</f>
        <v>4.2625000000000002</v>
      </c>
      <c r="W175" s="56">
        <f>(1000*CHOOSE(CONTROL!$C$42, 0.1146, 0.1146)*CHOOSE(CONTROL!$C$42, 121.5, 121.5)*CHOOSE(CONTROL!$C$42, 31, 31))/1000000</f>
        <v>0.43164089999999994</v>
      </c>
      <c r="X175" s="56">
        <f>(31*0.1790888*145000/1000000)+(31*0.2374*100000/1000000)</f>
        <v>1.5409441560000001</v>
      </c>
      <c r="Y175" s="56"/>
      <c r="Z175" s="17"/>
      <c r="AA175" s="55"/>
      <c r="AB175" s="48">
        <f>(B175*194.205+C175*267.466+D175*133.845+E175*153.484+F175*40+G175*85+H175*0+I175*100+J175*300)/(194.205+267.466+133.845+153.484+0+40+85+100+300)</f>
        <v>9.8182904748822608</v>
      </c>
      <c r="AC175" s="45">
        <f>(M175*'RAP TEMPLATE-GAS AVAILABILITY'!O174+N175*'RAP TEMPLATE-GAS AVAILABILITY'!P174+O175*'RAP TEMPLATE-GAS AVAILABILITY'!Q174+P175*'RAP TEMPLATE-GAS AVAILABILITY'!R174)/('RAP TEMPLATE-GAS AVAILABILITY'!O174+'RAP TEMPLATE-GAS AVAILABILITY'!P174+'RAP TEMPLATE-GAS AVAILABILITY'!Q174+'RAP TEMPLATE-GAS AVAILABILITY'!R174)</f>
        <v>9.6726582733812947</v>
      </c>
    </row>
    <row r="176" spans="1:29" ht="15.75" x14ac:dyDescent="0.25">
      <c r="A176" s="16">
        <v>46235</v>
      </c>
      <c r="B176" s="17">
        <f>CHOOSE(CONTROL!$C$42, 9.2787, 9.2787) * CHOOSE(CONTROL!$C$21, $C$9, 100%, $E$9)</f>
        <v>9.2787000000000006</v>
      </c>
      <c r="C176" s="17">
        <f>CHOOSE(CONTROL!$C$42, 9.2867, 9.2867) * CHOOSE(CONTROL!$C$21, $C$9, 100%, $E$9)</f>
        <v>9.2866999999999997</v>
      </c>
      <c r="D176" s="17">
        <f>CHOOSE(CONTROL!$C$42, 9.5578, 9.5578) * CHOOSE(CONTROL!$C$21, $C$9, 100%, $E$9)</f>
        <v>9.5578000000000003</v>
      </c>
      <c r="E176" s="17">
        <f>CHOOSE(CONTROL!$C$42, 9.5892, 9.5892) * CHOOSE(CONTROL!$C$21, $C$9, 100%, $E$9)</f>
        <v>9.5891999999999999</v>
      </c>
      <c r="F176" s="17">
        <f>CHOOSE(CONTROL!$C$42, 9.2978, 9.2978)*CHOOSE(CONTROL!$C$21, $C$9, 100%, $E$9)</f>
        <v>9.2978000000000005</v>
      </c>
      <c r="G176" s="17">
        <f>CHOOSE(CONTROL!$C$42, 9.3147, 9.3147)*CHOOSE(CONTROL!$C$21, $C$9, 100%, $E$9)</f>
        <v>9.3147000000000002</v>
      </c>
      <c r="H176" s="17">
        <f>CHOOSE(CONTROL!$C$42, 9.5779, 9.5779) * CHOOSE(CONTROL!$C$21, $C$9, 100%, $E$9)</f>
        <v>9.5778999999999996</v>
      </c>
      <c r="I176" s="17">
        <f>CHOOSE(CONTROL!$C$42, 9.3276, 9.3276)* CHOOSE(CONTROL!$C$21, $C$9, 100%, $E$9)</f>
        <v>9.3276000000000003</v>
      </c>
      <c r="J176" s="17">
        <f>CHOOSE(CONTROL!$C$42, 9.2908, 9.2908)* CHOOSE(CONTROL!$C$21, $C$9, 100%, $E$9)</f>
        <v>9.2908000000000008</v>
      </c>
      <c r="K176" s="52">
        <f>CHOOSE(CONTROL!$C$42, 9.3234, 9.3234) * CHOOSE(CONTROL!$C$21, $C$9, 100%, $E$9)</f>
        <v>9.3233999999999995</v>
      </c>
      <c r="L176" s="17">
        <f>CHOOSE(CONTROL!$C$42, 10.1649, 10.1649) * CHOOSE(CONTROL!$C$21, $C$9, 100%, $E$9)</f>
        <v>10.164899999999999</v>
      </c>
      <c r="M176" s="17">
        <f>CHOOSE(CONTROL!$C$42, 9.1314, 9.1314) * CHOOSE(CONTROL!$C$21, $C$9, 100%, $E$9)</f>
        <v>9.1313999999999993</v>
      </c>
      <c r="N176" s="17">
        <f>CHOOSE(CONTROL!$C$42, 9.148, 9.148) * CHOOSE(CONTROL!$C$21, $C$9, 100%, $E$9)</f>
        <v>9.1479999999999997</v>
      </c>
      <c r="O176" s="17">
        <f>CHOOSE(CONTROL!$C$42, 9.4133, 9.4133) * CHOOSE(CONTROL!$C$21, $C$9, 100%, $E$9)</f>
        <v>9.4132999999999996</v>
      </c>
      <c r="P176" s="17">
        <f>CHOOSE(CONTROL!$C$42, 9.1671, 9.1671) * CHOOSE(CONTROL!$C$21, $C$9, 100%, $E$9)</f>
        <v>9.1670999999999996</v>
      </c>
      <c r="Q176" s="17">
        <f>CHOOSE(CONTROL!$C$42, 10.008, 10.008) * CHOOSE(CONTROL!$C$21, $C$9, 100%, $E$9)</f>
        <v>10.007999999999999</v>
      </c>
      <c r="R176" s="17">
        <f>CHOOSE(CONTROL!$C$42, 10.62, 10.62) * CHOOSE(CONTROL!$C$21, $C$9, 100%, $E$9)</f>
        <v>10.62</v>
      </c>
      <c r="S176" s="17">
        <f>CHOOSE(CONTROL!$C$42, 8.9053, 8.9053) * CHOOSE(CONTROL!$C$21, $C$9, 100%, $E$9)</f>
        <v>8.9053000000000004</v>
      </c>
      <c r="T17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76" s="56">
        <f>(1000*CHOOSE(CONTROL!$C$42, 695, 695)*CHOOSE(CONTROL!$C$42, 0.5599, 0.5599)*CHOOSE(CONTROL!$C$42, 31, 31))/1000000</f>
        <v>12.063045499999998</v>
      </c>
      <c r="V176" s="56">
        <f>(1000*CHOOSE(CONTROL!$C$42, 500, 500)*CHOOSE(CONTROL!$C$42, 0.275, 0.275)*CHOOSE(CONTROL!$C$42, 31, 31))/1000000</f>
        <v>4.2625000000000002</v>
      </c>
      <c r="W176" s="56">
        <f>(1000*CHOOSE(CONTROL!$C$42, 0.1146, 0.1146)*CHOOSE(CONTROL!$C$42, 121.5, 121.5)*CHOOSE(CONTROL!$C$42, 31, 31))/1000000</f>
        <v>0.43164089999999994</v>
      </c>
      <c r="X176" s="56">
        <f>(31*0.1790888*145000/1000000)+(31*0.2374*100000/1000000)</f>
        <v>1.5409441560000001</v>
      </c>
      <c r="Y176" s="56"/>
      <c r="Z176" s="17"/>
      <c r="AA176" s="55"/>
      <c r="AB176" s="48">
        <f>(B176*194.205+C176*267.466+D176*133.845+E176*153.484+F176*40+G176*85+H176*0+I176*100+J176*300)/(194.205+267.466+133.845+153.484+0+40+85+100+300)</f>
        <v>9.3567978410518062</v>
      </c>
      <c r="AC176" s="45">
        <f>(M176*'RAP TEMPLATE-GAS AVAILABILITY'!O175+N176*'RAP TEMPLATE-GAS AVAILABILITY'!P175+O176*'RAP TEMPLATE-GAS AVAILABILITY'!Q175+P176*'RAP TEMPLATE-GAS AVAILABILITY'!R175)/('RAP TEMPLATE-GAS AVAILABILITY'!O175+'RAP TEMPLATE-GAS AVAILABILITY'!P175+'RAP TEMPLATE-GAS AVAILABILITY'!Q175+'RAP TEMPLATE-GAS AVAILABILITY'!R175)</f>
        <v>9.2194525179856104</v>
      </c>
    </row>
    <row r="177" spans="1:29" ht="15.75" x14ac:dyDescent="0.25">
      <c r="A177" s="16">
        <v>46266</v>
      </c>
      <c r="B177" s="17">
        <f>CHOOSE(CONTROL!$C$42, 8.708, 8.708) * CHOOSE(CONTROL!$C$21, $C$9, 100%, $E$9)</f>
        <v>8.7080000000000002</v>
      </c>
      <c r="C177" s="17">
        <f>CHOOSE(CONTROL!$C$42, 8.716, 8.716) * CHOOSE(CONTROL!$C$21, $C$9, 100%, $E$9)</f>
        <v>8.7159999999999993</v>
      </c>
      <c r="D177" s="17">
        <f>CHOOSE(CONTROL!$C$42, 8.9871, 8.9871) * CHOOSE(CONTROL!$C$21, $C$9, 100%, $E$9)</f>
        <v>8.9870999999999999</v>
      </c>
      <c r="E177" s="17">
        <f>CHOOSE(CONTROL!$C$42, 9.0186, 9.0186) * CHOOSE(CONTROL!$C$21, $C$9, 100%, $E$9)</f>
        <v>9.0185999999999993</v>
      </c>
      <c r="F177" s="17">
        <f>CHOOSE(CONTROL!$C$42, 8.7272, 8.7272)*CHOOSE(CONTROL!$C$21, $C$9, 100%, $E$9)</f>
        <v>8.7271999999999998</v>
      </c>
      <c r="G177" s="17">
        <f>CHOOSE(CONTROL!$C$42, 8.7441, 8.7441)*CHOOSE(CONTROL!$C$21, $C$9, 100%, $E$9)</f>
        <v>8.7440999999999995</v>
      </c>
      <c r="H177" s="17">
        <f>CHOOSE(CONTROL!$C$42, 9.0072, 9.0072) * CHOOSE(CONTROL!$C$21, $C$9, 100%, $E$9)</f>
        <v>9.0071999999999992</v>
      </c>
      <c r="I177" s="17">
        <f>CHOOSE(CONTROL!$C$42, 8.7551, 8.7551)* CHOOSE(CONTROL!$C$21, $C$9, 100%, $E$9)</f>
        <v>8.7551000000000005</v>
      </c>
      <c r="J177" s="17">
        <f>CHOOSE(CONTROL!$C$42, 8.7202, 8.7202)* CHOOSE(CONTROL!$C$21, $C$9, 100%, $E$9)</f>
        <v>8.7202000000000002</v>
      </c>
      <c r="K177" s="52">
        <f>CHOOSE(CONTROL!$C$42, 8.7509, 8.7509) * CHOOSE(CONTROL!$C$21, $C$9, 100%, $E$9)</f>
        <v>8.7508999999999997</v>
      </c>
      <c r="L177" s="17">
        <f>CHOOSE(CONTROL!$C$42, 9.5942, 9.5942) * CHOOSE(CONTROL!$C$21, $C$9, 100%, $E$9)</f>
        <v>9.5942000000000007</v>
      </c>
      <c r="M177" s="17">
        <f>CHOOSE(CONTROL!$C$42, 8.571, 8.571) * CHOOSE(CONTROL!$C$21, $C$9, 100%, $E$9)</f>
        <v>8.5709999999999997</v>
      </c>
      <c r="N177" s="17">
        <f>CHOOSE(CONTROL!$C$42, 8.5876, 8.5876) * CHOOSE(CONTROL!$C$21, $C$9, 100%, $E$9)</f>
        <v>8.5876000000000001</v>
      </c>
      <c r="O177" s="17">
        <f>CHOOSE(CONTROL!$C$42, 8.8529, 8.8529) * CHOOSE(CONTROL!$C$21, $C$9, 100%, $E$9)</f>
        <v>8.8529</v>
      </c>
      <c r="P177" s="17">
        <f>CHOOSE(CONTROL!$C$42, 8.605, 8.605) * CHOOSE(CONTROL!$C$21, $C$9, 100%, $E$9)</f>
        <v>8.6050000000000004</v>
      </c>
      <c r="Q177" s="17">
        <f>CHOOSE(CONTROL!$C$42, 9.4476, 9.4476) * CHOOSE(CONTROL!$C$21, $C$9, 100%, $E$9)</f>
        <v>9.4475999999999996</v>
      </c>
      <c r="R177" s="17">
        <f>CHOOSE(CONTROL!$C$42, 10.0582, 10.0582) * CHOOSE(CONTROL!$C$21, $C$9, 100%, $E$9)</f>
        <v>10.058199999999999</v>
      </c>
      <c r="S177" s="17">
        <f>CHOOSE(CONTROL!$C$42, 8.3569, 8.3569) * CHOOSE(CONTROL!$C$21, $C$9, 100%, $E$9)</f>
        <v>8.3568999999999996</v>
      </c>
      <c r="T17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77" s="56">
        <f>(1000*CHOOSE(CONTROL!$C$42, 695, 695)*CHOOSE(CONTROL!$C$42, 0.5599, 0.5599)*CHOOSE(CONTROL!$C$42, 30, 30))/1000000</f>
        <v>11.673914999999997</v>
      </c>
      <c r="V177" s="56">
        <f>(1000*CHOOSE(CONTROL!$C$42, 500, 500)*CHOOSE(CONTROL!$C$42, 0.275, 0.275)*CHOOSE(CONTROL!$C$42, 30, 30))/1000000</f>
        <v>4.125</v>
      </c>
      <c r="W177" s="56">
        <f>(1000*CHOOSE(CONTROL!$C$42, 0.1146, 0.1146)*CHOOSE(CONTROL!$C$42, 121.5, 121.5)*CHOOSE(CONTROL!$C$42, 30, 30))/1000000</f>
        <v>0.417717</v>
      </c>
      <c r="X177" s="56">
        <f>(30*0.1790888*145000/1000000)+(30*0.2374*100000/1000000)</f>
        <v>1.4912362799999999</v>
      </c>
      <c r="Y177" s="56"/>
      <c r="Z177" s="17"/>
      <c r="AA177" s="55"/>
      <c r="AB177" s="48">
        <f>(B177*194.205+C177*267.466+D177*133.845+E177*153.484+F177*40+G177*85+H177*0+I177*100+J177*300)/(194.205+267.466+133.845+153.484+0+40+85+100+300)</f>
        <v>8.7860019606750388</v>
      </c>
      <c r="AC177" s="45">
        <f>(M177*'RAP TEMPLATE-GAS AVAILABILITY'!O176+N177*'RAP TEMPLATE-GAS AVAILABILITY'!P176+O177*'RAP TEMPLATE-GAS AVAILABILITY'!Q176+P177*'RAP TEMPLATE-GAS AVAILABILITY'!R176)/('RAP TEMPLATE-GAS AVAILABILITY'!O176+'RAP TEMPLATE-GAS AVAILABILITY'!P176+'RAP TEMPLATE-GAS AVAILABILITY'!Q176+'RAP TEMPLATE-GAS AVAILABILITY'!R176)</f>
        <v>8.6588079136690652</v>
      </c>
    </row>
    <row r="178" spans="1:29" ht="15.75" x14ac:dyDescent="0.25">
      <c r="A178" s="16">
        <v>46296</v>
      </c>
      <c r="B178" s="17">
        <f>CHOOSE(CONTROL!$C$42, 8.5472, 8.5472) * CHOOSE(CONTROL!$C$21, $C$9, 100%, $E$9)</f>
        <v>8.5472000000000001</v>
      </c>
      <c r="C178" s="17">
        <f>CHOOSE(CONTROL!$C$42, 8.5526, 8.5526) * CHOOSE(CONTROL!$C$21, $C$9, 100%, $E$9)</f>
        <v>8.5526</v>
      </c>
      <c r="D178" s="17">
        <f>CHOOSE(CONTROL!$C$42, 8.8286, 8.8286) * CHOOSE(CONTROL!$C$21, $C$9, 100%, $E$9)</f>
        <v>8.8285999999999998</v>
      </c>
      <c r="E178" s="17">
        <f>CHOOSE(CONTROL!$C$42, 8.8577, 8.8577) * CHOOSE(CONTROL!$C$21, $C$9, 100%, $E$9)</f>
        <v>8.8576999999999995</v>
      </c>
      <c r="F178" s="17">
        <f>CHOOSE(CONTROL!$C$42, 8.5686, 8.5686)*CHOOSE(CONTROL!$C$21, $C$9, 100%, $E$9)</f>
        <v>8.5686</v>
      </c>
      <c r="G178" s="17">
        <f>CHOOSE(CONTROL!$C$42, 8.5854, 8.5854)*CHOOSE(CONTROL!$C$21, $C$9, 100%, $E$9)</f>
        <v>8.5853999999999999</v>
      </c>
      <c r="H178" s="17">
        <f>CHOOSE(CONTROL!$C$42, 8.8482, 8.8482) * CHOOSE(CONTROL!$C$21, $C$9, 100%, $E$9)</f>
        <v>8.8482000000000003</v>
      </c>
      <c r="I178" s="17">
        <f>CHOOSE(CONTROL!$C$42, 8.5956, 8.5956)* CHOOSE(CONTROL!$C$21, $C$9, 100%, $E$9)</f>
        <v>8.5955999999999992</v>
      </c>
      <c r="J178" s="17">
        <f>CHOOSE(CONTROL!$C$42, 8.5616, 8.5616)* CHOOSE(CONTROL!$C$21, $C$9, 100%, $E$9)</f>
        <v>8.5616000000000003</v>
      </c>
      <c r="K178" s="52">
        <f>CHOOSE(CONTROL!$C$42, 8.5914, 8.5914) * CHOOSE(CONTROL!$C$21, $C$9, 100%, $E$9)</f>
        <v>8.5914000000000001</v>
      </c>
      <c r="L178" s="17">
        <f>CHOOSE(CONTROL!$C$42, 9.4352, 9.4352) * CHOOSE(CONTROL!$C$21, $C$9, 100%, $E$9)</f>
        <v>9.4352</v>
      </c>
      <c r="M178" s="17">
        <f>CHOOSE(CONTROL!$C$42, 8.4153, 8.4153) * CHOOSE(CONTROL!$C$21, $C$9, 100%, $E$9)</f>
        <v>8.4153000000000002</v>
      </c>
      <c r="N178" s="17">
        <f>CHOOSE(CONTROL!$C$42, 8.4318, 8.4318) * CHOOSE(CONTROL!$C$21, $C$9, 100%, $E$9)</f>
        <v>8.4318000000000008</v>
      </c>
      <c r="O178" s="17">
        <f>CHOOSE(CONTROL!$C$42, 8.6967, 8.6967) * CHOOSE(CONTROL!$C$21, $C$9, 100%, $E$9)</f>
        <v>8.6966999999999999</v>
      </c>
      <c r="P178" s="17">
        <f>CHOOSE(CONTROL!$C$42, 8.4483, 8.4483) * CHOOSE(CONTROL!$C$21, $C$9, 100%, $E$9)</f>
        <v>8.4482999999999997</v>
      </c>
      <c r="Q178" s="17">
        <f>CHOOSE(CONTROL!$C$42, 9.2914, 9.2914) * CHOOSE(CONTROL!$C$21, $C$9, 100%, $E$9)</f>
        <v>9.2913999999999994</v>
      </c>
      <c r="R178" s="17">
        <f>CHOOSE(CONTROL!$C$42, 9.9016, 9.9016) * CHOOSE(CONTROL!$C$21, $C$9, 100%, $E$9)</f>
        <v>9.9016000000000002</v>
      </c>
      <c r="S178" s="17">
        <f>CHOOSE(CONTROL!$C$42, 8.2041, 8.2041) * CHOOSE(CONTROL!$C$21, $C$9, 100%, $E$9)</f>
        <v>8.2041000000000004</v>
      </c>
      <c r="T17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78" s="56">
        <f>(1000*CHOOSE(CONTROL!$C$42, 695, 695)*CHOOSE(CONTROL!$C$42, 0.5599, 0.5599)*CHOOSE(CONTROL!$C$42, 31, 31))/1000000</f>
        <v>12.063045499999998</v>
      </c>
      <c r="V178" s="56">
        <f>(1000*CHOOSE(CONTROL!$C$42, 500, 500)*CHOOSE(CONTROL!$C$42, 0.275, 0.275)*CHOOSE(CONTROL!$C$42, 31, 31))/1000000</f>
        <v>4.2625000000000002</v>
      </c>
      <c r="W178" s="56">
        <f>(1000*CHOOSE(CONTROL!$C$42, 0.1146, 0.1146)*CHOOSE(CONTROL!$C$42, 121.5, 121.5)*CHOOSE(CONTROL!$C$42, 31, 31))/1000000</f>
        <v>0.43164089999999994</v>
      </c>
      <c r="X178" s="56">
        <f>(31*0.1790888*145000/1000000)+(31*0.2374*100000/1000000)</f>
        <v>1.5409441560000001</v>
      </c>
      <c r="Y178" s="56"/>
      <c r="Z178" s="17"/>
      <c r="AA178" s="55"/>
      <c r="AB178" s="48">
        <f>(B178*131.881+C178*277.167+D178*79.08+E178*225.872+F178*40+G178*85+H178*0+I178*100+J178*300)/(131.881+277.167+79.08+225.872+0+40+85+100+300)</f>
        <v>8.6336778610169489</v>
      </c>
      <c r="AC178" s="45">
        <f>(M178*'RAP TEMPLATE-GAS AVAILABILITY'!O177+N178*'RAP TEMPLATE-GAS AVAILABILITY'!P177+O178*'RAP TEMPLATE-GAS AVAILABILITY'!Q177+P178*'RAP TEMPLATE-GAS AVAILABILITY'!R177)/('RAP TEMPLATE-GAS AVAILABILITY'!O177+'RAP TEMPLATE-GAS AVAILABILITY'!P177+'RAP TEMPLATE-GAS AVAILABILITY'!Q177+'RAP TEMPLATE-GAS AVAILABILITY'!R177)</f>
        <v>8.5028007194244601</v>
      </c>
    </row>
    <row r="179" spans="1:29" ht="15.75" x14ac:dyDescent="0.25">
      <c r="A179" s="16">
        <v>46327</v>
      </c>
      <c r="B179" s="17">
        <f>CHOOSE(CONTROL!$C$42, 8.7898, 8.7898) * CHOOSE(CONTROL!$C$21, $C$9, 100%, $E$9)</f>
        <v>8.7897999999999996</v>
      </c>
      <c r="C179" s="17">
        <f>CHOOSE(CONTROL!$C$42, 8.7948, 8.7948) * CHOOSE(CONTROL!$C$21, $C$9, 100%, $E$9)</f>
        <v>8.7948000000000004</v>
      </c>
      <c r="D179" s="17">
        <f>CHOOSE(CONTROL!$C$42, 8.8899, 8.8899) * CHOOSE(CONTROL!$C$21, $C$9, 100%, $E$9)</f>
        <v>8.8899000000000008</v>
      </c>
      <c r="E179" s="17">
        <f>CHOOSE(CONTROL!$C$42, 8.924, 8.924) * CHOOSE(CONTROL!$C$21, $C$9, 100%, $E$9)</f>
        <v>8.9239999999999995</v>
      </c>
      <c r="F179" s="17">
        <f>CHOOSE(CONTROL!$C$42, 8.8137, 8.8137)*CHOOSE(CONTROL!$C$21, $C$9, 100%, $E$9)</f>
        <v>8.8137000000000008</v>
      </c>
      <c r="G179" s="17">
        <f>CHOOSE(CONTROL!$C$42, 8.8307, 8.8307)*CHOOSE(CONTROL!$C$21, $C$9, 100%, $E$9)</f>
        <v>8.8307000000000002</v>
      </c>
      <c r="H179" s="17">
        <f>CHOOSE(CONTROL!$C$42, 8.9132, 8.9132) * CHOOSE(CONTROL!$C$21, $C$9, 100%, $E$9)</f>
        <v>8.9131999999999998</v>
      </c>
      <c r="I179" s="17">
        <f>CHOOSE(CONTROL!$C$42, 8.8373, 8.8373)* CHOOSE(CONTROL!$C$21, $C$9, 100%, $E$9)</f>
        <v>8.8373000000000008</v>
      </c>
      <c r="J179" s="17">
        <f>CHOOSE(CONTROL!$C$42, 8.8067, 8.8067)* CHOOSE(CONTROL!$C$21, $C$9, 100%, $E$9)</f>
        <v>8.8066999999999993</v>
      </c>
      <c r="K179" s="52">
        <f>CHOOSE(CONTROL!$C$42, 8.833, 8.833) * CHOOSE(CONTROL!$C$21, $C$9, 100%, $E$9)</f>
        <v>8.8330000000000002</v>
      </c>
      <c r="L179" s="17">
        <f>CHOOSE(CONTROL!$C$42, 9.5002, 9.5002) * CHOOSE(CONTROL!$C$21, $C$9, 100%, $E$9)</f>
        <v>9.5001999999999995</v>
      </c>
      <c r="M179" s="17">
        <f>CHOOSE(CONTROL!$C$42, 8.656, 8.656) * CHOOSE(CONTROL!$C$21, $C$9, 100%, $E$9)</f>
        <v>8.6560000000000006</v>
      </c>
      <c r="N179" s="17">
        <f>CHOOSE(CONTROL!$C$42, 8.6727, 8.6727) * CHOOSE(CONTROL!$C$21, $C$9, 100%, $E$9)</f>
        <v>8.6727000000000007</v>
      </c>
      <c r="O179" s="17">
        <f>CHOOSE(CONTROL!$C$42, 8.7605, 8.7605) * CHOOSE(CONTROL!$C$21, $C$9, 100%, $E$9)</f>
        <v>8.7605000000000004</v>
      </c>
      <c r="P179" s="17">
        <f>CHOOSE(CONTROL!$C$42, 8.6856, 8.6856) * CHOOSE(CONTROL!$C$21, $C$9, 100%, $E$9)</f>
        <v>8.6856000000000009</v>
      </c>
      <c r="Q179" s="17">
        <f>CHOOSE(CONTROL!$C$42, 9.3552, 9.3552) * CHOOSE(CONTROL!$C$21, $C$9, 100%, $E$9)</f>
        <v>9.3552</v>
      </c>
      <c r="R179" s="17">
        <f>CHOOSE(CONTROL!$C$42, 9.9656, 9.9656) * CHOOSE(CONTROL!$C$21, $C$9, 100%, $E$9)</f>
        <v>9.9656000000000002</v>
      </c>
      <c r="S179" s="17">
        <f>CHOOSE(CONTROL!$C$42, 8.4376, 8.4376) * CHOOSE(CONTROL!$C$21, $C$9, 100%, $E$9)</f>
        <v>8.4375999999999998</v>
      </c>
      <c r="T17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79" s="56">
        <f>(1000*CHOOSE(CONTROL!$C$42, 695, 695)*CHOOSE(CONTROL!$C$42, 0.5599, 0.5599)*CHOOSE(CONTROL!$C$42, 30, 30))/1000000</f>
        <v>11.673914999999997</v>
      </c>
      <c r="V179" s="56">
        <f>(1000*CHOOSE(CONTROL!$C$42, 500, 500)*CHOOSE(CONTROL!$C$42, 0.275, 0.275)*CHOOSE(CONTROL!$C$42, 30, 30))/1000000</f>
        <v>4.125</v>
      </c>
      <c r="W179" s="56">
        <f>(1000*CHOOSE(CONTROL!$C$42, 0.1146, 0.1146)*CHOOSE(CONTROL!$C$42, 121.5, 121.5)*CHOOSE(CONTROL!$C$42, 30, 30))/1000000</f>
        <v>0.417717</v>
      </c>
      <c r="X179" s="56">
        <f>(30*0.2374*100000/1000000)</f>
        <v>0.71220000000000006</v>
      </c>
      <c r="Y179" s="56"/>
      <c r="Z179" s="17"/>
      <c r="AA179" s="55"/>
      <c r="AB179" s="48">
        <f>(B179*122.58+C179*297.941+D179*89.177+E179*140.302+F179*40+G179*60+H179*0+I179*100+J179*300)/(122.58+297.941+89.177+140.302+0+40+60+100+300)</f>
        <v>8.8267346531304334</v>
      </c>
      <c r="AC179" s="45">
        <f>(M179*'RAP TEMPLATE-GAS AVAILABILITY'!O178+N179*'RAP TEMPLATE-GAS AVAILABILITY'!P178+O179*'RAP TEMPLATE-GAS AVAILABILITY'!Q178+P179*'RAP TEMPLATE-GAS AVAILABILITY'!R178)/('RAP TEMPLATE-GAS AVAILABILITY'!O178+'RAP TEMPLATE-GAS AVAILABILITY'!P178+'RAP TEMPLATE-GAS AVAILABILITY'!Q178+'RAP TEMPLATE-GAS AVAILABILITY'!R178)</f>
        <v>8.7085834532374111</v>
      </c>
    </row>
    <row r="180" spans="1:29" ht="15.75" x14ac:dyDescent="0.25">
      <c r="A180" s="16">
        <v>46357</v>
      </c>
      <c r="B180" s="17">
        <f>CHOOSE(CONTROL!$C$42, 9.4077, 9.4077) * CHOOSE(CONTROL!$C$21, $C$9, 100%, $E$9)</f>
        <v>9.4077000000000002</v>
      </c>
      <c r="C180" s="17">
        <f>CHOOSE(CONTROL!$C$42, 9.4128, 9.4128) * CHOOSE(CONTROL!$C$21, $C$9, 100%, $E$9)</f>
        <v>9.4128000000000007</v>
      </c>
      <c r="D180" s="17">
        <f>CHOOSE(CONTROL!$C$42, 9.5078, 9.5078) * CHOOSE(CONTROL!$C$21, $C$9, 100%, $E$9)</f>
        <v>9.5077999999999996</v>
      </c>
      <c r="E180" s="17">
        <f>CHOOSE(CONTROL!$C$42, 9.5419, 9.5419) * CHOOSE(CONTROL!$C$21, $C$9, 100%, $E$9)</f>
        <v>9.5419</v>
      </c>
      <c r="F180" s="17">
        <f>CHOOSE(CONTROL!$C$42, 9.434, 9.434)*CHOOSE(CONTROL!$C$21, $C$9, 100%, $E$9)</f>
        <v>9.4339999999999993</v>
      </c>
      <c r="G180" s="17">
        <f>CHOOSE(CONTROL!$C$42, 9.4517, 9.4517)*CHOOSE(CONTROL!$C$21, $C$9, 100%, $E$9)</f>
        <v>9.4517000000000007</v>
      </c>
      <c r="H180" s="17">
        <f>CHOOSE(CONTROL!$C$42, 9.5311, 9.5311) * CHOOSE(CONTROL!$C$21, $C$9, 100%, $E$9)</f>
        <v>9.5311000000000003</v>
      </c>
      <c r="I180" s="17">
        <f>CHOOSE(CONTROL!$C$42, 9.4571, 9.4571)* CHOOSE(CONTROL!$C$21, $C$9, 100%, $E$9)</f>
        <v>9.4571000000000005</v>
      </c>
      <c r="J180" s="17">
        <f>CHOOSE(CONTROL!$C$42, 9.427, 9.427)* CHOOSE(CONTROL!$C$21, $C$9, 100%, $E$9)</f>
        <v>9.4269999999999996</v>
      </c>
      <c r="K180" s="52">
        <f>CHOOSE(CONTROL!$C$42, 9.4529, 9.4529) * CHOOSE(CONTROL!$C$21, $C$9, 100%, $E$9)</f>
        <v>9.4528999999999996</v>
      </c>
      <c r="L180" s="17">
        <f>CHOOSE(CONTROL!$C$42, 10.1181, 10.1181) * CHOOSE(CONTROL!$C$21, $C$9, 100%, $E$9)</f>
        <v>10.1181</v>
      </c>
      <c r="M180" s="17">
        <f>CHOOSE(CONTROL!$C$42, 9.2651, 9.2651) * CHOOSE(CONTROL!$C$21, $C$9, 100%, $E$9)</f>
        <v>9.2651000000000003</v>
      </c>
      <c r="N180" s="17">
        <f>CHOOSE(CONTROL!$C$42, 9.2825, 9.2825) * CHOOSE(CONTROL!$C$21, $C$9, 100%, $E$9)</f>
        <v>9.2825000000000006</v>
      </c>
      <c r="O180" s="17">
        <f>CHOOSE(CONTROL!$C$42, 9.3674, 9.3674) * CHOOSE(CONTROL!$C$21, $C$9, 100%, $E$9)</f>
        <v>9.3673999999999999</v>
      </c>
      <c r="P180" s="17">
        <f>CHOOSE(CONTROL!$C$42, 9.2943, 9.2943) * CHOOSE(CONTROL!$C$21, $C$9, 100%, $E$9)</f>
        <v>9.2942999999999998</v>
      </c>
      <c r="Q180" s="17">
        <f>CHOOSE(CONTROL!$C$42, 9.9621, 9.9621) * CHOOSE(CONTROL!$C$21, $C$9, 100%, $E$9)</f>
        <v>9.9620999999999995</v>
      </c>
      <c r="R180" s="17">
        <f>CHOOSE(CONTROL!$C$42, 10.574, 10.574) * CHOOSE(CONTROL!$C$21, $C$9, 100%, $E$9)</f>
        <v>10.574</v>
      </c>
      <c r="S180" s="17">
        <f>CHOOSE(CONTROL!$C$42, 9.0313, 9.0313) * CHOOSE(CONTROL!$C$21, $C$9, 100%, $E$9)</f>
        <v>9.0312999999999999</v>
      </c>
      <c r="T18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80" s="56">
        <f>(1000*CHOOSE(CONTROL!$C$42, 695, 695)*CHOOSE(CONTROL!$C$42, 0.5599, 0.5599)*CHOOSE(CONTROL!$C$42, 31, 31))/1000000</f>
        <v>12.063045499999998</v>
      </c>
      <c r="V180" s="56">
        <f>(1000*CHOOSE(CONTROL!$C$42, 500, 500)*CHOOSE(CONTROL!$C$42, 0.275, 0.275)*CHOOSE(CONTROL!$C$42, 31, 31))/1000000</f>
        <v>4.2625000000000002</v>
      </c>
      <c r="W180" s="56">
        <f>(1000*CHOOSE(CONTROL!$C$42, 0.1146, 0.1146)*CHOOSE(CONTROL!$C$42, 121.5, 121.5)*CHOOSE(CONTROL!$C$42, 31, 31))/1000000</f>
        <v>0.43164089999999994</v>
      </c>
      <c r="X180" s="56">
        <f>(31*0.2374*100000/1000000)</f>
        <v>0.73594000000000004</v>
      </c>
      <c r="Y180" s="56"/>
      <c r="Z180" s="17"/>
      <c r="AA180" s="55"/>
      <c r="AB180" s="48">
        <f>(B180*122.58+C180*297.941+D180*89.177+E180*140.302+F180*40+G180*60+H180*0+I180*100+J180*300)/(122.58+297.941+89.177+140.302+0+40+60+100+300)</f>
        <v>9.4456970827826083</v>
      </c>
      <c r="AC180" s="45">
        <f>(M180*'RAP TEMPLATE-GAS AVAILABILITY'!O179+N180*'RAP TEMPLATE-GAS AVAILABILITY'!P179+O180*'RAP TEMPLATE-GAS AVAILABILITY'!Q179+P180*'RAP TEMPLATE-GAS AVAILABILITY'!R179)/('RAP TEMPLATE-GAS AVAILABILITY'!O179+'RAP TEMPLATE-GAS AVAILABILITY'!P179+'RAP TEMPLATE-GAS AVAILABILITY'!Q179+'RAP TEMPLATE-GAS AVAILABILITY'!R179)</f>
        <v>9.3166690647482024</v>
      </c>
    </row>
    <row r="181" spans="1:29" ht="15.75" x14ac:dyDescent="0.25">
      <c r="A181" s="16">
        <v>46388</v>
      </c>
      <c r="B181" s="17">
        <f>CHOOSE(CONTROL!$C$42, 9.9157, 9.9157) * CHOOSE(CONTROL!$C$21, $C$9, 100%, $E$9)</f>
        <v>9.9156999999999993</v>
      </c>
      <c r="C181" s="17">
        <f>CHOOSE(CONTROL!$C$42, 9.9208, 9.9208) * CHOOSE(CONTROL!$C$21, $C$9, 100%, $E$9)</f>
        <v>9.9207999999999998</v>
      </c>
      <c r="D181" s="17">
        <f>CHOOSE(CONTROL!$C$42, 10.0392, 10.0392) * CHOOSE(CONTROL!$C$21, $C$9, 100%, $E$9)</f>
        <v>10.039199999999999</v>
      </c>
      <c r="E181" s="17">
        <f>CHOOSE(CONTROL!$C$42, 10.0733, 10.0733) * CHOOSE(CONTROL!$C$21, $C$9, 100%, $E$9)</f>
        <v>10.0733</v>
      </c>
      <c r="F181" s="17">
        <f>CHOOSE(CONTROL!$C$42, 9.9361, 9.9361)*CHOOSE(CONTROL!$C$21, $C$9, 100%, $E$9)</f>
        <v>9.9360999999999997</v>
      </c>
      <c r="G181" s="17">
        <f>CHOOSE(CONTROL!$C$42, 9.9529, 9.9529)*CHOOSE(CONTROL!$C$21, $C$9, 100%, $E$9)</f>
        <v>9.9528999999999996</v>
      </c>
      <c r="H181" s="17">
        <f>CHOOSE(CONTROL!$C$42, 10.0625, 10.0625) * CHOOSE(CONTROL!$C$21, $C$9, 100%, $E$9)</f>
        <v>10.0625</v>
      </c>
      <c r="I181" s="17">
        <f>CHOOSE(CONTROL!$C$42, 9.9704, 9.9704)* CHOOSE(CONTROL!$C$21, $C$9, 100%, $E$9)</f>
        <v>9.9703999999999997</v>
      </c>
      <c r="J181" s="17">
        <f>CHOOSE(CONTROL!$C$42, 9.9291, 9.9291)* CHOOSE(CONTROL!$C$21, $C$9, 100%, $E$9)</f>
        <v>9.9291</v>
      </c>
      <c r="K181" s="52">
        <f>CHOOSE(CONTROL!$C$42, 9.9661, 9.9661) * CHOOSE(CONTROL!$C$21, $C$9, 100%, $E$9)</f>
        <v>9.9661000000000008</v>
      </c>
      <c r="L181" s="17">
        <f>CHOOSE(CONTROL!$C$42, 10.6495, 10.6495) * CHOOSE(CONTROL!$C$21, $C$9, 100%, $E$9)</f>
        <v>10.6495</v>
      </c>
      <c r="M181" s="17">
        <f>CHOOSE(CONTROL!$C$42, 9.7582, 9.7582) * CHOOSE(CONTROL!$C$21, $C$9, 100%, $E$9)</f>
        <v>9.7582000000000004</v>
      </c>
      <c r="N181" s="17">
        <f>CHOOSE(CONTROL!$C$42, 9.7747, 9.7747) * CHOOSE(CONTROL!$C$21, $C$9, 100%, $E$9)</f>
        <v>9.7746999999999993</v>
      </c>
      <c r="O181" s="17">
        <f>CHOOSE(CONTROL!$C$42, 9.8892, 9.8892) * CHOOSE(CONTROL!$C$21, $C$9, 100%, $E$9)</f>
        <v>9.8892000000000007</v>
      </c>
      <c r="P181" s="17">
        <f>CHOOSE(CONTROL!$C$42, 9.7983, 9.7983) * CHOOSE(CONTROL!$C$21, $C$9, 100%, $E$9)</f>
        <v>9.7982999999999993</v>
      </c>
      <c r="Q181" s="17">
        <f>CHOOSE(CONTROL!$C$42, 10.4839, 10.4839) * CHOOSE(CONTROL!$C$21, $C$9, 100%, $E$9)</f>
        <v>10.4839</v>
      </c>
      <c r="R181" s="17">
        <f>CHOOSE(CONTROL!$C$42, 11.0971, 11.0971) * CHOOSE(CONTROL!$C$21, $C$9, 100%, $E$9)</f>
        <v>11.097099999999999</v>
      </c>
      <c r="S181" s="17">
        <f>CHOOSE(CONTROL!$C$42, 9.5195, 9.5195) * CHOOSE(CONTROL!$C$21, $C$9, 100%, $E$9)</f>
        <v>9.5195000000000007</v>
      </c>
      <c r="T18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81" s="56">
        <f>(1000*CHOOSE(CONTROL!$C$42, 695, 695)*CHOOSE(CONTROL!$C$42, 0.5599, 0.5599)*CHOOSE(CONTROL!$C$42, 31, 31))/1000000</f>
        <v>12.063045499999998</v>
      </c>
      <c r="V181" s="56">
        <f>(1000*CHOOSE(CONTROL!$C$42, 500, 500)*CHOOSE(CONTROL!$C$42, 0.275, 0.275)*CHOOSE(CONTROL!$C$42, 31, 31))/1000000</f>
        <v>4.2625000000000002</v>
      </c>
      <c r="W181" s="56">
        <f>(1000*CHOOSE(CONTROL!$C$42, 0.1146, 0.1146)*CHOOSE(CONTROL!$C$42, 121.5, 121.5)*CHOOSE(CONTROL!$C$42, 31, 31))/1000000</f>
        <v>0.43164089999999994</v>
      </c>
      <c r="X181" s="56">
        <f>(31*0.2374*100000/1000000)</f>
        <v>0.73594000000000004</v>
      </c>
      <c r="Y181" s="56"/>
      <c r="Z181" s="17"/>
      <c r="AA181" s="55"/>
      <c r="AB181" s="48">
        <f>(B181*122.58+C181*297.941+D181*89.177+E181*140.302+F181*40+G181*60+H181*0+I181*100+J181*300)/(122.58+297.941+89.177+140.302+0+40+60+100+300)</f>
        <v>9.9567282206956502</v>
      </c>
      <c r="AC181" s="45">
        <f>(M181*'RAP TEMPLATE-GAS AVAILABILITY'!O180+N181*'RAP TEMPLATE-GAS AVAILABILITY'!P180+O181*'RAP TEMPLATE-GAS AVAILABILITY'!Q180+P181*'RAP TEMPLATE-GAS AVAILABILITY'!R180)/('RAP TEMPLATE-GAS AVAILABILITY'!O180+'RAP TEMPLATE-GAS AVAILABILITY'!P180+'RAP TEMPLATE-GAS AVAILABILITY'!Q180+'RAP TEMPLATE-GAS AVAILABILITY'!R180)</f>
        <v>9.824293525179856</v>
      </c>
    </row>
    <row r="182" spans="1:29" ht="15.75" x14ac:dyDescent="0.25">
      <c r="A182" s="16">
        <v>46419</v>
      </c>
      <c r="B182" s="17">
        <f>CHOOSE(CONTROL!$C$42, 10.1128, 10.1128) * CHOOSE(CONTROL!$C$21, $C$9, 100%, $E$9)</f>
        <v>10.1128</v>
      </c>
      <c r="C182" s="17">
        <f>CHOOSE(CONTROL!$C$42, 10.1179, 10.1179) * CHOOSE(CONTROL!$C$21, $C$9, 100%, $E$9)</f>
        <v>10.117900000000001</v>
      </c>
      <c r="D182" s="17">
        <f>CHOOSE(CONTROL!$C$42, 10.2363, 10.2363) * CHOOSE(CONTROL!$C$21, $C$9, 100%, $E$9)</f>
        <v>10.2363</v>
      </c>
      <c r="E182" s="17">
        <f>CHOOSE(CONTROL!$C$42, 10.2704, 10.2704) * CHOOSE(CONTROL!$C$21, $C$9, 100%, $E$9)</f>
        <v>10.2704</v>
      </c>
      <c r="F182" s="17">
        <f>CHOOSE(CONTROL!$C$42, 10.1332, 10.1332)*CHOOSE(CONTROL!$C$21, $C$9, 100%, $E$9)</f>
        <v>10.1332</v>
      </c>
      <c r="G182" s="17">
        <f>CHOOSE(CONTROL!$C$42, 10.15, 10.15)*CHOOSE(CONTROL!$C$21, $C$9, 100%, $E$9)</f>
        <v>10.15</v>
      </c>
      <c r="H182" s="17">
        <f>CHOOSE(CONTROL!$C$42, 10.2596, 10.2596) * CHOOSE(CONTROL!$C$21, $C$9, 100%, $E$9)</f>
        <v>10.259600000000001</v>
      </c>
      <c r="I182" s="17">
        <f>CHOOSE(CONTROL!$C$42, 10.1681, 10.1681)* CHOOSE(CONTROL!$C$21, $C$9, 100%, $E$9)</f>
        <v>10.168100000000001</v>
      </c>
      <c r="J182" s="17">
        <f>CHOOSE(CONTROL!$C$42, 10.1262, 10.1262)* CHOOSE(CONTROL!$C$21, $C$9, 100%, $E$9)</f>
        <v>10.126200000000001</v>
      </c>
      <c r="K182" s="52">
        <f>CHOOSE(CONTROL!$C$42, 10.1639, 10.1639) * CHOOSE(CONTROL!$C$21, $C$9, 100%, $E$9)</f>
        <v>10.1639</v>
      </c>
      <c r="L182" s="17">
        <f>CHOOSE(CONTROL!$C$42, 10.8466, 10.8466) * CHOOSE(CONTROL!$C$21, $C$9, 100%, $E$9)</f>
        <v>10.8466</v>
      </c>
      <c r="M182" s="17">
        <f>CHOOSE(CONTROL!$C$42, 9.9517, 9.9517) * CHOOSE(CONTROL!$C$21, $C$9, 100%, $E$9)</f>
        <v>9.9517000000000007</v>
      </c>
      <c r="N182" s="17">
        <f>CHOOSE(CONTROL!$C$42, 9.9683, 9.9683) * CHOOSE(CONTROL!$C$21, $C$9, 100%, $E$9)</f>
        <v>9.9682999999999993</v>
      </c>
      <c r="O182" s="17">
        <f>CHOOSE(CONTROL!$C$42, 10.0828, 10.0828) * CHOOSE(CONTROL!$C$21, $C$9, 100%, $E$9)</f>
        <v>10.082800000000001</v>
      </c>
      <c r="P182" s="17">
        <f>CHOOSE(CONTROL!$C$42, 9.9924, 9.9924) * CHOOSE(CONTROL!$C$21, $C$9, 100%, $E$9)</f>
        <v>9.9923999999999999</v>
      </c>
      <c r="Q182" s="17">
        <f>CHOOSE(CONTROL!$C$42, 10.6775, 10.6775) * CHOOSE(CONTROL!$C$21, $C$9, 100%, $E$9)</f>
        <v>10.6775</v>
      </c>
      <c r="R182" s="17">
        <f>CHOOSE(CONTROL!$C$42, 11.2912, 11.2912) * CHOOSE(CONTROL!$C$21, $C$9, 100%, $E$9)</f>
        <v>11.2912</v>
      </c>
      <c r="S182" s="17">
        <f>CHOOSE(CONTROL!$C$42, 9.7089, 9.7089) * CHOOSE(CONTROL!$C$21, $C$9, 100%, $E$9)</f>
        <v>9.7088999999999999</v>
      </c>
      <c r="T18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82" s="56">
        <f>(1000*CHOOSE(CONTROL!$C$42, 695, 695)*CHOOSE(CONTROL!$C$42, 0.5599, 0.5599)*CHOOSE(CONTROL!$C$42, 28, 28))/1000000</f>
        <v>10.895653999999999</v>
      </c>
      <c r="V182" s="56">
        <f>(1000*CHOOSE(CONTROL!$C$42, 500, 500)*CHOOSE(CONTROL!$C$42, 0.275, 0.275)*CHOOSE(CONTROL!$C$42, 28, 28))/1000000</f>
        <v>3.85</v>
      </c>
      <c r="W182" s="56">
        <f>(1000*CHOOSE(CONTROL!$C$42, 0.1146, 0.1146)*CHOOSE(CONTROL!$C$42, 121.5, 121.5)*CHOOSE(CONTROL!$C$42, 28, 28))/1000000</f>
        <v>0.38986920000000003</v>
      </c>
      <c r="X182" s="56">
        <f>(28*0.2374*100000/1000000)</f>
        <v>0.66471999999999998</v>
      </c>
      <c r="Y182" s="56"/>
      <c r="Z182" s="17"/>
      <c r="AA182" s="55"/>
      <c r="AB182" s="48">
        <f>(B182*122.58+C182*297.941+D182*89.177+E182*140.302+F182*40+G182*60+H182*0+I182*100+J182*300)/(122.58+297.941+89.177+140.302+0+40+60+100+300)</f>
        <v>10.153880394608697</v>
      </c>
      <c r="AC182" s="45">
        <f>(M182*'RAP TEMPLATE-GAS AVAILABILITY'!O181+N182*'RAP TEMPLATE-GAS AVAILABILITY'!P181+O182*'RAP TEMPLATE-GAS AVAILABILITY'!Q181+P182*'RAP TEMPLATE-GAS AVAILABILITY'!R181)/('RAP TEMPLATE-GAS AVAILABILITY'!O181+'RAP TEMPLATE-GAS AVAILABILITY'!P181+'RAP TEMPLATE-GAS AVAILABILITY'!Q181+'RAP TEMPLATE-GAS AVAILABILITY'!R181)</f>
        <v>10.017930935251799</v>
      </c>
    </row>
    <row r="183" spans="1:29" ht="15.75" x14ac:dyDescent="0.25">
      <c r="A183" s="16">
        <v>46447</v>
      </c>
      <c r="B183" s="17">
        <f>CHOOSE(CONTROL!$C$42, 9.8462, 9.8462) * CHOOSE(CONTROL!$C$21, $C$9, 100%, $E$9)</f>
        <v>9.8461999999999996</v>
      </c>
      <c r="C183" s="17">
        <f>CHOOSE(CONTROL!$C$42, 9.8513, 9.8513) * CHOOSE(CONTROL!$C$21, $C$9, 100%, $E$9)</f>
        <v>9.8513000000000002</v>
      </c>
      <c r="D183" s="17">
        <f>CHOOSE(CONTROL!$C$42, 9.9697, 9.9697) * CHOOSE(CONTROL!$C$21, $C$9, 100%, $E$9)</f>
        <v>9.9696999999999996</v>
      </c>
      <c r="E183" s="17">
        <f>CHOOSE(CONTROL!$C$42, 10.0038, 10.0038) * CHOOSE(CONTROL!$C$21, $C$9, 100%, $E$9)</f>
        <v>10.0038</v>
      </c>
      <c r="F183" s="17">
        <f>CHOOSE(CONTROL!$C$42, 9.8659, 9.8659)*CHOOSE(CONTROL!$C$21, $C$9, 100%, $E$9)</f>
        <v>9.8658999999999999</v>
      </c>
      <c r="G183" s="17">
        <f>CHOOSE(CONTROL!$C$42, 9.8825, 9.8825)*CHOOSE(CONTROL!$C$21, $C$9, 100%, $E$9)</f>
        <v>9.8825000000000003</v>
      </c>
      <c r="H183" s="17">
        <f>CHOOSE(CONTROL!$C$42, 9.993, 9.993) * CHOOSE(CONTROL!$C$21, $C$9, 100%, $E$9)</f>
        <v>9.9930000000000003</v>
      </c>
      <c r="I183" s="17">
        <f>CHOOSE(CONTROL!$C$42, 9.9006, 9.9006)* CHOOSE(CONTROL!$C$21, $C$9, 100%, $E$9)</f>
        <v>9.9006000000000007</v>
      </c>
      <c r="J183" s="17">
        <f>CHOOSE(CONTROL!$C$42, 9.8589, 9.8589)* CHOOSE(CONTROL!$C$21, $C$9, 100%, $E$9)</f>
        <v>9.8589000000000002</v>
      </c>
      <c r="K183" s="52">
        <f>CHOOSE(CONTROL!$C$42, 9.8964, 9.8964) * CHOOSE(CONTROL!$C$21, $C$9, 100%, $E$9)</f>
        <v>9.8963999999999999</v>
      </c>
      <c r="L183" s="17">
        <f>CHOOSE(CONTROL!$C$42, 10.58, 10.58) * CHOOSE(CONTROL!$C$21, $C$9, 100%, $E$9)</f>
        <v>10.58</v>
      </c>
      <c r="M183" s="17">
        <f>CHOOSE(CONTROL!$C$42, 9.6893, 9.6893) * CHOOSE(CONTROL!$C$21, $C$9, 100%, $E$9)</f>
        <v>9.6892999999999994</v>
      </c>
      <c r="N183" s="17">
        <f>CHOOSE(CONTROL!$C$42, 9.7056, 9.7056) * CHOOSE(CONTROL!$C$21, $C$9, 100%, $E$9)</f>
        <v>9.7056000000000004</v>
      </c>
      <c r="O183" s="17">
        <f>CHOOSE(CONTROL!$C$42, 9.821, 9.821) * CHOOSE(CONTROL!$C$21, $C$9, 100%, $E$9)</f>
        <v>9.8209999999999997</v>
      </c>
      <c r="P183" s="17">
        <f>CHOOSE(CONTROL!$C$42, 9.7298, 9.7298) * CHOOSE(CONTROL!$C$21, $C$9, 100%, $E$9)</f>
        <v>9.7297999999999991</v>
      </c>
      <c r="Q183" s="17">
        <f>CHOOSE(CONTROL!$C$42, 10.4157, 10.4157) * CHOOSE(CONTROL!$C$21, $C$9, 100%, $E$9)</f>
        <v>10.415699999999999</v>
      </c>
      <c r="R183" s="17">
        <f>CHOOSE(CONTROL!$C$42, 11.0287, 11.0287) * CHOOSE(CONTROL!$C$21, $C$9, 100%, $E$9)</f>
        <v>11.028700000000001</v>
      </c>
      <c r="S183" s="17">
        <f>CHOOSE(CONTROL!$C$42, 9.4527, 9.4527) * CHOOSE(CONTROL!$C$21, $C$9, 100%, $E$9)</f>
        <v>9.4527000000000001</v>
      </c>
      <c r="T18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83" s="56">
        <f>(1000*CHOOSE(CONTROL!$C$42, 695, 695)*CHOOSE(CONTROL!$C$42, 0.5599, 0.5599)*CHOOSE(CONTROL!$C$42, 31, 31))/1000000</f>
        <v>12.063045499999998</v>
      </c>
      <c r="V183" s="56">
        <f>(1000*CHOOSE(CONTROL!$C$42, 500, 500)*CHOOSE(CONTROL!$C$42, 0.275, 0.275)*CHOOSE(CONTROL!$C$42, 31, 31))/1000000</f>
        <v>4.2625000000000002</v>
      </c>
      <c r="W183" s="56">
        <f>(1000*CHOOSE(CONTROL!$C$42, 0.1146, 0.1146)*CHOOSE(CONTROL!$C$42, 121.5, 121.5)*CHOOSE(CONTROL!$C$42, 31, 31))/1000000</f>
        <v>0.43164089999999994</v>
      </c>
      <c r="X183" s="56">
        <f>(31*0.2374*100000/1000000)</f>
        <v>0.73594000000000004</v>
      </c>
      <c r="Y183" s="56"/>
      <c r="Z183" s="17"/>
      <c r="AA183" s="55"/>
      <c r="AB183" s="48">
        <f>(B183*122.58+C183*297.941+D183*89.177+E183*140.302+F183*40+G183*60+H183*0+I183*100+J183*300)/(122.58+297.941+89.177+140.302+0+40+60+100+300)</f>
        <v>9.8869482206956523</v>
      </c>
      <c r="AC183" s="45">
        <f>(M183*'RAP TEMPLATE-GAS AVAILABILITY'!O182+N183*'RAP TEMPLATE-GAS AVAILABILITY'!P182+O183*'RAP TEMPLATE-GAS AVAILABILITY'!Q182+P183*'RAP TEMPLATE-GAS AVAILABILITY'!R182)/('RAP TEMPLATE-GAS AVAILABILITY'!O182+'RAP TEMPLATE-GAS AVAILABILITY'!P182+'RAP TEMPLATE-GAS AVAILABILITY'!Q182+'RAP TEMPLATE-GAS AVAILABILITY'!R182)</f>
        <v>9.7557568345323737</v>
      </c>
    </row>
    <row r="184" spans="1:29" ht="15.75" x14ac:dyDescent="0.25">
      <c r="A184" s="16">
        <v>46478</v>
      </c>
      <c r="B184" s="17">
        <f>CHOOSE(CONTROL!$C$42, 9.838, 9.838) * CHOOSE(CONTROL!$C$21, $C$9, 100%, $E$9)</f>
        <v>9.8379999999999992</v>
      </c>
      <c r="C184" s="17">
        <f>CHOOSE(CONTROL!$C$42, 9.8424, 9.8424) * CHOOSE(CONTROL!$C$21, $C$9, 100%, $E$9)</f>
        <v>9.8423999999999996</v>
      </c>
      <c r="D184" s="17">
        <f>CHOOSE(CONTROL!$C$42, 10.1166, 10.1166) * CHOOSE(CONTROL!$C$21, $C$9, 100%, $E$9)</f>
        <v>10.1166</v>
      </c>
      <c r="E184" s="17">
        <f>CHOOSE(CONTROL!$C$42, 10.1487, 10.1487) * CHOOSE(CONTROL!$C$21, $C$9, 100%, $E$9)</f>
        <v>10.1487</v>
      </c>
      <c r="F184" s="17">
        <f>CHOOSE(CONTROL!$C$42, 9.8573, 9.8573)*CHOOSE(CONTROL!$C$21, $C$9, 100%, $E$9)</f>
        <v>9.8573000000000004</v>
      </c>
      <c r="G184" s="17">
        <f>CHOOSE(CONTROL!$C$42, 9.8736, 9.8736)*CHOOSE(CONTROL!$C$21, $C$9, 100%, $E$9)</f>
        <v>9.8735999999999997</v>
      </c>
      <c r="H184" s="17">
        <f>CHOOSE(CONTROL!$C$42, 10.1385, 10.1385) * CHOOSE(CONTROL!$C$21, $C$9, 100%, $E$9)</f>
        <v>10.138500000000001</v>
      </c>
      <c r="I184" s="17">
        <f>CHOOSE(CONTROL!$C$42, 9.89, 9.89)* CHOOSE(CONTROL!$C$21, $C$9, 100%, $E$9)</f>
        <v>9.89</v>
      </c>
      <c r="J184" s="17">
        <f>CHOOSE(CONTROL!$C$42, 9.8503, 9.8503)* CHOOSE(CONTROL!$C$21, $C$9, 100%, $E$9)</f>
        <v>9.8503000000000007</v>
      </c>
      <c r="K184" s="52">
        <f>CHOOSE(CONTROL!$C$42, 9.8858, 9.8858) * CHOOSE(CONTROL!$C$21, $C$9, 100%, $E$9)</f>
        <v>9.8857999999999997</v>
      </c>
      <c r="L184" s="17">
        <f>CHOOSE(CONTROL!$C$42, 10.7255, 10.7255) * CHOOSE(CONTROL!$C$21, $C$9, 100%, $E$9)</f>
        <v>10.7255</v>
      </c>
      <c r="M184" s="17">
        <f>CHOOSE(CONTROL!$C$42, 9.6808, 9.6808) * CHOOSE(CONTROL!$C$21, $C$9, 100%, $E$9)</f>
        <v>9.6807999999999996</v>
      </c>
      <c r="N184" s="17">
        <f>CHOOSE(CONTROL!$C$42, 9.6968, 9.6968) * CHOOSE(CONTROL!$C$21, $C$9, 100%, $E$9)</f>
        <v>9.6967999999999996</v>
      </c>
      <c r="O184" s="17">
        <f>CHOOSE(CONTROL!$C$42, 9.9639, 9.9639) * CHOOSE(CONTROL!$C$21, $C$9, 100%, $E$9)</f>
        <v>9.9639000000000006</v>
      </c>
      <c r="P184" s="17">
        <f>CHOOSE(CONTROL!$C$42, 9.7194, 9.7194) * CHOOSE(CONTROL!$C$21, $C$9, 100%, $E$9)</f>
        <v>9.7194000000000003</v>
      </c>
      <c r="Q184" s="17">
        <f>CHOOSE(CONTROL!$C$42, 10.5586, 10.5586) * CHOOSE(CONTROL!$C$21, $C$9, 100%, $E$9)</f>
        <v>10.5586</v>
      </c>
      <c r="R184" s="17">
        <f>CHOOSE(CONTROL!$C$42, 11.172, 11.172) * CHOOSE(CONTROL!$C$21, $C$9, 100%, $E$9)</f>
        <v>11.172000000000001</v>
      </c>
      <c r="S184" s="17">
        <f>CHOOSE(CONTROL!$C$42, 9.444, 9.444) * CHOOSE(CONTROL!$C$21, $C$9, 100%, $E$9)</f>
        <v>9.4440000000000008</v>
      </c>
      <c r="T18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84" s="56">
        <f>(1000*CHOOSE(CONTROL!$C$42, 695, 695)*CHOOSE(CONTROL!$C$42, 0.5599, 0.5599)*CHOOSE(CONTROL!$C$42, 30, 30))/1000000</f>
        <v>11.673914999999997</v>
      </c>
      <c r="V184" s="56">
        <f>(1000*CHOOSE(CONTROL!$C$42, 500, 500)*CHOOSE(CONTROL!$C$42, 0.275, 0.275)*CHOOSE(CONTROL!$C$42, 30, 30))/1000000</f>
        <v>4.125</v>
      </c>
      <c r="W184" s="56">
        <f>(1000*CHOOSE(CONTROL!$C$42, 0.1146, 0.1146)*CHOOSE(CONTROL!$C$42, 121.5, 121.5)*CHOOSE(CONTROL!$C$42, 30, 30))/1000000</f>
        <v>0.417717</v>
      </c>
      <c r="X184" s="56">
        <f>(30*0.1790888*145000/1000000)+(30*0.2374*100000/1000000)</f>
        <v>1.4912362799999999</v>
      </c>
      <c r="Y184" s="56"/>
      <c r="Z184" s="17"/>
      <c r="AA184" s="55"/>
      <c r="AB184" s="48">
        <f>(B184*141.293+C184*267.993+D184*115.016+E184*189.698+F184*40+G184*85+H184*0+I184*100+J184*300)/(141.293+267.993+115.016+189.698+0+40+85+100+300)</f>
        <v>9.9226245322033897</v>
      </c>
      <c r="AC184" s="45">
        <f>(M184*'RAP TEMPLATE-GAS AVAILABILITY'!O183+N184*'RAP TEMPLATE-GAS AVAILABILITY'!P183+O184*'RAP TEMPLATE-GAS AVAILABILITY'!Q183+P184*'RAP TEMPLATE-GAS AVAILABILITY'!R183)/('RAP TEMPLATE-GAS AVAILABILITY'!O183+'RAP TEMPLATE-GAS AVAILABILITY'!P183+'RAP TEMPLATE-GAS AVAILABILITY'!Q183+'RAP TEMPLATE-GAS AVAILABILITY'!R183)</f>
        <v>9.7694683453237428</v>
      </c>
    </row>
    <row r="185" spans="1:29" ht="15.75" x14ac:dyDescent="0.25">
      <c r="A185" s="16">
        <v>46508</v>
      </c>
      <c r="B185" s="17">
        <f>CHOOSE(CONTROL!$C$42, 9.9465, 9.9465) * CHOOSE(CONTROL!$C$21, $C$9, 100%, $E$9)</f>
        <v>9.9465000000000003</v>
      </c>
      <c r="C185" s="17">
        <f>CHOOSE(CONTROL!$C$42, 9.9545, 9.9545) * CHOOSE(CONTROL!$C$21, $C$9, 100%, $E$9)</f>
        <v>9.9544999999999995</v>
      </c>
      <c r="D185" s="17">
        <f>CHOOSE(CONTROL!$C$42, 10.2256, 10.2256) * CHOOSE(CONTROL!$C$21, $C$9, 100%, $E$9)</f>
        <v>10.2256</v>
      </c>
      <c r="E185" s="17">
        <f>CHOOSE(CONTROL!$C$42, 10.2571, 10.2571) * CHOOSE(CONTROL!$C$21, $C$9, 100%, $E$9)</f>
        <v>10.257099999999999</v>
      </c>
      <c r="F185" s="17">
        <f>CHOOSE(CONTROL!$C$42, 9.9647, 9.9647)*CHOOSE(CONTROL!$C$21, $C$9, 100%, $E$9)</f>
        <v>9.9647000000000006</v>
      </c>
      <c r="G185" s="17">
        <f>CHOOSE(CONTROL!$C$42, 9.9813, 9.9813)*CHOOSE(CONTROL!$C$21, $C$9, 100%, $E$9)</f>
        <v>9.9812999999999992</v>
      </c>
      <c r="H185" s="17">
        <f>CHOOSE(CONTROL!$C$42, 10.2457, 10.2457) * CHOOSE(CONTROL!$C$21, $C$9, 100%, $E$9)</f>
        <v>10.245699999999999</v>
      </c>
      <c r="I185" s="17">
        <f>CHOOSE(CONTROL!$C$42, 9.9975, 9.9975)* CHOOSE(CONTROL!$C$21, $C$9, 100%, $E$9)</f>
        <v>9.9975000000000005</v>
      </c>
      <c r="J185" s="17">
        <f>CHOOSE(CONTROL!$C$42, 9.9577, 9.9577)* CHOOSE(CONTROL!$C$21, $C$9, 100%, $E$9)</f>
        <v>9.9577000000000009</v>
      </c>
      <c r="K185" s="52">
        <f>CHOOSE(CONTROL!$C$42, 9.9933, 9.9933) * CHOOSE(CONTROL!$C$21, $C$9, 100%, $E$9)</f>
        <v>9.9932999999999996</v>
      </c>
      <c r="L185" s="17">
        <f>CHOOSE(CONTROL!$C$42, 10.8327, 10.8327) * CHOOSE(CONTROL!$C$21, $C$9, 100%, $E$9)</f>
        <v>10.832700000000001</v>
      </c>
      <c r="M185" s="17">
        <f>CHOOSE(CONTROL!$C$42, 9.7863, 9.7863) * CHOOSE(CONTROL!$C$21, $C$9, 100%, $E$9)</f>
        <v>9.7863000000000007</v>
      </c>
      <c r="N185" s="17">
        <f>CHOOSE(CONTROL!$C$42, 9.8026, 9.8026) * CHOOSE(CONTROL!$C$21, $C$9, 100%, $E$9)</f>
        <v>9.8026</v>
      </c>
      <c r="O185" s="17">
        <f>CHOOSE(CONTROL!$C$42, 10.0691, 10.0691) * CHOOSE(CONTROL!$C$21, $C$9, 100%, $E$9)</f>
        <v>10.069100000000001</v>
      </c>
      <c r="P185" s="17">
        <f>CHOOSE(CONTROL!$C$42, 9.8249, 9.8249) * CHOOSE(CONTROL!$C$21, $C$9, 100%, $E$9)</f>
        <v>9.8248999999999995</v>
      </c>
      <c r="Q185" s="17">
        <f>CHOOSE(CONTROL!$C$42, 10.6638, 10.6638) * CHOOSE(CONTROL!$C$21, $C$9, 100%, $E$9)</f>
        <v>10.6638</v>
      </c>
      <c r="R185" s="17">
        <f>CHOOSE(CONTROL!$C$42, 11.2775, 11.2775) * CHOOSE(CONTROL!$C$21, $C$9, 100%, $E$9)</f>
        <v>11.2775</v>
      </c>
      <c r="S185" s="17">
        <f>CHOOSE(CONTROL!$C$42, 9.547, 9.547) * CHOOSE(CONTROL!$C$21, $C$9, 100%, $E$9)</f>
        <v>9.5470000000000006</v>
      </c>
      <c r="T18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85" s="56">
        <f>(1000*CHOOSE(CONTROL!$C$42, 695, 695)*CHOOSE(CONTROL!$C$42, 0.5599, 0.5599)*CHOOSE(CONTROL!$C$42, 31, 31))/1000000</f>
        <v>12.063045499999998</v>
      </c>
      <c r="V185" s="56">
        <f>(1000*CHOOSE(CONTROL!$C$42, 500, 500)*CHOOSE(CONTROL!$C$42, 0.275, 0.275)*CHOOSE(CONTROL!$C$42, 31, 31))/1000000</f>
        <v>4.2625000000000002</v>
      </c>
      <c r="W185" s="56">
        <f>(1000*CHOOSE(CONTROL!$C$42, 0.1146, 0.1146)*CHOOSE(CONTROL!$C$42, 121.5, 121.5)*CHOOSE(CONTROL!$C$42, 31, 31))/1000000</f>
        <v>0.43164089999999994</v>
      </c>
      <c r="X185" s="56">
        <f>(31*0.1790888*145000/1000000)+(31*0.2374*100000/1000000)</f>
        <v>1.5409441560000001</v>
      </c>
      <c r="Y185" s="56"/>
      <c r="Z185" s="17"/>
      <c r="AA185" s="55"/>
      <c r="AB185" s="48">
        <f>(B185*194.205+C185*267.466+D185*133.845+E185*153.484+F185*40+G185*85+H185*0+I185*100+J185*300)/(194.205+267.466+133.845+153.484+0+40+85+100+300)</f>
        <v>10.02445447244898</v>
      </c>
      <c r="AC185" s="45">
        <f>(M185*'RAP TEMPLATE-GAS AVAILABILITY'!O184+N185*'RAP TEMPLATE-GAS AVAILABILITY'!P184+O185*'RAP TEMPLATE-GAS AVAILABILITY'!Q184+P185*'RAP TEMPLATE-GAS AVAILABILITY'!R184)/('RAP TEMPLATE-GAS AVAILABILITY'!O184+'RAP TEMPLATE-GAS AVAILABILITY'!P184+'RAP TEMPLATE-GAS AVAILABILITY'!Q184+'RAP TEMPLATE-GAS AVAILABILITY'!R184)</f>
        <v>9.8749532374100717</v>
      </c>
    </row>
    <row r="186" spans="1:29" ht="15.75" x14ac:dyDescent="0.25">
      <c r="A186" s="16">
        <v>46539</v>
      </c>
      <c r="B186" s="17">
        <f>CHOOSE(CONTROL!$C$42, 10.2494, 10.2494) * CHOOSE(CONTROL!$C$21, $C$9, 100%, $E$9)</f>
        <v>10.2494</v>
      </c>
      <c r="C186" s="17">
        <f>CHOOSE(CONTROL!$C$42, 10.2574, 10.2574) * CHOOSE(CONTROL!$C$21, $C$9, 100%, $E$9)</f>
        <v>10.257400000000001</v>
      </c>
      <c r="D186" s="17">
        <f>CHOOSE(CONTROL!$C$42, 10.5284, 10.5284) * CHOOSE(CONTROL!$C$21, $C$9, 100%, $E$9)</f>
        <v>10.5284</v>
      </c>
      <c r="E186" s="17">
        <f>CHOOSE(CONTROL!$C$42, 10.5599, 10.5599) * CHOOSE(CONTROL!$C$21, $C$9, 100%, $E$9)</f>
        <v>10.559900000000001</v>
      </c>
      <c r="F186" s="17">
        <f>CHOOSE(CONTROL!$C$42, 10.2678, 10.2678)*CHOOSE(CONTROL!$C$21, $C$9, 100%, $E$9)</f>
        <v>10.267799999999999</v>
      </c>
      <c r="G186" s="17">
        <f>CHOOSE(CONTROL!$C$42, 10.2845, 10.2845)*CHOOSE(CONTROL!$C$21, $C$9, 100%, $E$9)</f>
        <v>10.2845</v>
      </c>
      <c r="H186" s="17">
        <f>CHOOSE(CONTROL!$C$42, 10.5485, 10.5485) * CHOOSE(CONTROL!$C$21, $C$9, 100%, $E$9)</f>
        <v>10.548500000000001</v>
      </c>
      <c r="I186" s="17">
        <f>CHOOSE(CONTROL!$C$42, 10.3013, 10.3013)* CHOOSE(CONTROL!$C$21, $C$9, 100%, $E$9)</f>
        <v>10.301299999999999</v>
      </c>
      <c r="J186" s="17">
        <f>CHOOSE(CONTROL!$C$42, 10.2608, 10.2608)* CHOOSE(CONTROL!$C$21, $C$9, 100%, $E$9)</f>
        <v>10.2608</v>
      </c>
      <c r="K186" s="52">
        <f>CHOOSE(CONTROL!$C$42, 10.2971, 10.2971) * CHOOSE(CONTROL!$C$21, $C$9, 100%, $E$9)</f>
        <v>10.2971</v>
      </c>
      <c r="L186" s="17">
        <f>CHOOSE(CONTROL!$C$42, 11.1355, 11.1355) * CHOOSE(CONTROL!$C$21, $C$9, 100%, $E$9)</f>
        <v>11.1355</v>
      </c>
      <c r="M186" s="17">
        <f>CHOOSE(CONTROL!$C$42, 10.0839, 10.0839) * CHOOSE(CONTROL!$C$21, $C$9, 100%, $E$9)</f>
        <v>10.0839</v>
      </c>
      <c r="N186" s="17">
        <f>CHOOSE(CONTROL!$C$42, 10.1004, 10.1004) * CHOOSE(CONTROL!$C$21, $C$9, 100%, $E$9)</f>
        <v>10.1004</v>
      </c>
      <c r="O186" s="17">
        <f>CHOOSE(CONTROL!$C$42, 10.3665, 10.3665) * CHOOSE(CONTROL!$C$21, $C$9, 100%, $E$9)</f>
        <v>10.3665</v>
      </c>
      <c r="P186" s="17">
        <f>CHOOSE(CONTROL!$C$42, 10.1232, 10.1232) * CHOOSE(CONTROL!$C$21, $C$9, 100%, $E$9)</f>
        <v>10.123200000000001</v>
      </c>
      <c r="Q186" s="17">
        <f>CHOOSE(CONTROL!$C$42, 10.9612, 10.9612) * CHOOSE(CONTROL!$C$21, $C$9, 100%, $E$9)</f>
        <v>10.9612</v>
      </c>
      <c r="R186" s="17">
        <f>CHOOSE(CONTROL!$C$42, 11.5756, 11.5756) * CHOOSE(CONTROL!$C$21, $C$9, 100%, $E$9)</f>
        <v>11.5756</v>
      </c>
      <c r="S186" s="17">
        <f>CHOOSE(CONTROL!$C$42, 9.838, 9.838) * CHOOSE(CONTROL!$C$21, $C$9, 100%, $E$9)</f>
        <v>9.8379999999999992</v>
      </c>
      <c r="T18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86" s="56">
        <f>(1000*CHOOSE(CONTROL!$C$42, 695, 695)*CHOOSE(CONTROL!$C$42, 0.5599, 0.5599)*CHOOSE(CONTROL!$C$42, 30, 30))/1000000</f>
        <v>11.673914999999997</v>
      </c>
      <c r="V186" s="56">
        <f>(1000*CHOOSE(CONTROL!$C$42, 500, 500)*CHOOSE(CONTROL!$C$42, 0.275, 0.275)*CHOOSE(CONTROL!$C$42, 30, 30))/1000000</f>
        <v>4.125</v>
      </c>
      <c r="W186" s="56">
        <f>(1000*CHOOSE(CONTROL!$C$42, 0.1146, 0.1146)*CHOOSE(CONTROL!$C$42, 121.5, 121.5)*CHOOSE(CONTROL!$C$42, 30, 30))/1000000</f>
        <v>0.417717</v>
      </c>
      <c r="X186" s="56">
        <f>(30*0.1790888*145000/1000000)+(30*0.2374*100000/1000000)</f>
        <v>1.4912362799999999</v>
      </c>
      <c r="Y186" s="56"/>
      <c r="Z186" s="17"/>
      <c r="AA186" s="55"/>
      <c r="AB186" s="48">
        <f>(B186*194.205+C186*267.466+D186*133.845+E186*153.484+F186*40+G186*85+H186*0+I186*100+J186*300)/(194.205+267.466+133.845+153.484+0+40+85+100+300)</f>
        <v>10.327475953689168</v>
      </c>
      <c r="AC186" s="45">
        <f>(M186*'RAP TEMPLATE-GAS AVAILABILITY'!O185+N186*'RAP TEMPLATE-GAS AVAILABILITY'!P185+O186*'RAP TEMPLATE-GAS AVAILABILITY'!Q185+P186*'RAP TEMPLATE-GAS AVAILABILITY'!R185)/('RAP TEMPLATE-GAS AVAILABILITY'!O185+'RAP TEMPLATE-GAS AVAILABILITY'!P185+'RAP TEMPLATE-GAS AVAILABILITY'!Q185+'RAP TEMPLATE-GAS AVAILABILITY'!R185)</f>
        <v>10.172643884892086</v>
      </c>
    </row>
    <row r="187" spans="1:29" ht="15.75" x14ac:dyDescent="0.25">
      <c r="A187" s="16">
        <v>46569</v>
      </c>
      <c r="B187" s="17">
        <f>CHOOSE(CONTROL!$C$42, 10.0736, 10.0736) * CHOOSE(CONTROL!$C$21, $C$9, 100%, $E$9)</f>
        <v>10.073600000000001</v>
      </c>
      <c r="C187" s="17">
        <f>CHOOSE(CONTROL!$C$42, 10.0817, 10.0817) * CHOOSE(CONTROL!$C$21, $C$9, 100%, $E$9)</f>
        <v>10.0817</v>
      </c>
      <c r="D187" s="17">
        <f>CHOOSE(CONTROL!$C$42, 10.3527, 10.3527) * CHOOSE(CONTROL!$C$21, $C$9, 100%, $E$9)</f>
        <v>10.3527</v>
      </c>
      <c r="E187" s="17">
        <f>CHOOSE(CONTROL!$C$42, 10.3842, 10.3842) * CHOOSE(CONTROL!$C$21, $C$9, 100%, $E$9)</f>
        <v>10.3842</v>
      </c>
      <c r="F187" s="17">
        <f>CHOOSE(CONTROL!$C$42, 10.0925, 10.0925)*CHOOSE(CONTROL!$C$21, $C$9, 100%, $E$9)</f>
        <v>10.092499999999999</v>
      </c>
      <c r="G187" s="17">
        <f>CHOOSE(CONTROL!$C$42, 10.1093, 10.1093)*CHOOSE(CONTROL!$C$21, $C$9, 100%, $E$9)</f>
        <v>10.109299999999999</v>
      </c>
      <c r="H187" s="17">
        <f>CHOOSE(CONTROL!$C$42, 10.3728, 10.3728) * CHOOSE(CONTROL!$C$21, $C$9, 100%, $E$9)</f>
        <v>10.3728</v>
      </c>
      <c r="I187" s="17">
        <f>CHOOSE(CONTROL!$C$42, 10.1251, 10.1251)* CHOOSE(CONTROL!$C$21, $C$9, 100%, $E$9)</f>
        <v>10.1251</v>
      </c>
      <c r="J187" s="17">
        <f>CHOOSE(CONTROL!$C$42, 10.0855, 10.0855)* CHOOSE(CONTROL!$C$21, $C$9, 100%, $E$9)</f>
        <v>10.0855</v>
      </c>
      <c r="K187" s="52">
        <f>CHOOSE(CONTROL!$C$42, 10.1208, 10.1208) * CHOOSE(CONTROL!$C$21, $C$9, 100%, $E$9)</f>
        <v>10.120799999999999</v>
      </c>
      <c r="L187" s="17">
        <f>CHOOSE(CONTROL!$C$42, 10.9598, 10.9598) * CHOOSE(CONTROL!$C$21, $C$9, 100%, $E$9)</f>
        <v>10.9598</v>
      </c>
      <c r="M187" s="17">
        <f>CHOOSE(CONTROL!$C$42, 9.9118, 9.9118) * CHOOSE(CONTROL!$C$21, $C$9, 100%, $E$9)</f>
        <v>9.9117999999999995</v>
      </c>
      <c r="N187" s="17">
        <f>CHOOSE(CONTROL!$C$42, 9.9283, 9.9283) * CHOOSE(CONTROL!$C$21, $C$9, 100%, $E$9)</f>
        <v>9.9283000000000001</v>
      </c>
      <c r="O187" s="17">
        <f>CHOOSE(CONTROL!$C$42, 10.1939, 10.1939) * CHOOSE(CONTROL!$C$21, $C$9, 100%, $E$9)</f>
        <v>10.193899999999999</v>
      </c>
      <c r="P187" s="17">
        <f>CHOOSE(CONTROL!$C$42, 9.9501, 9.9501) * CHOOSE(CONTROL!$C$21, $C$9, 100%, $E$9)</f>
        <v>9.9501000000000008</v>
      </c>
      <c r="Q187" s="17">
        <f>CHOOSE(CONTROL!$C$42, 10.7886, 10.7886) * CHOOSE(CONTROL!$C$21, $C$9, 100%, $E$9)</f>
        <v>10.788600000000001</v>
      </c>
      <c r="R187" s="17">
        <f>CHOOSE(CONTROL!$C$42, 11.4026, 11.4026) * CHOOSE(CONTROL!$C$21, $C$9, 100%, $E$9)</f>
        <v>11.4026</v>
      </c>
      <c r="S187" s="17">
        <f>CHOOSE(CONTROL!$C$42, 9.6691, 9.6691) * CHOOSE(CONTROL!$C$21, $C$9, 100%, $E$9)</f>
        <v>9.6691000000000003</v>
      </c>
      <c r="T18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87" s="56">
        <f>(1000*CHOOSE(CONTROL!$C$42, 695, 695)*CHOOSE(CONTROL!$C$42, 0.5599, 0.5599)*CHOOSE(CONTROL!$C$42, 31, 31))/1000000</f>
        <v>12.063045499999998</v>
      </c>
      <c r="V187" s="56">
        <f>(1000*CHOOSE(CONTROL!$C$42, 500, 500)*CHOOSE(CONTROL!$C$42, 0.275, 0.275)*CHOOSE(CONTROL!$C$42, 31, 31))/1000000</f>
        <v>4.2625000000000002</v>
      </c>
      <c r="W187" s="56">
        <f>(1000*CHOOSE(CONTROL!$C$42, 0.1146, 0.1146)*CHOOSE(CONTROL!$C$42, 121.5, 121.5)*CHOOSE(CONTROL!$C$42, 31, 31))/1000000</f>
        <v>0.43164089999999994</v>
      </c>
      <c r="X187" s="56">
        <f>(31*0.1790888*145000/1000000)+(31*0.2374*100000/1000000)</f>
        <v>1.5409441560000001</v>
      </c>
      <c r="Y187" s="56"/>
      <c r="Z187" s="17"/>
      <c r="AA187" s="55"/>
      <c r="AB187" s="48">
        <f>(B187*194.205+C187*267.466+D187*133.845+E187*153.484+F187*40+G187*85+H187*0+I187*100+J187*300)/(194.205+267.466+133.845+153.484+0+40+85+100+300)</f>
        <v>10.151861573390894</v>
      </c>
      <c r="AC187" s="45">
        <f>(M187*'RAP TEMPLATE-GAS AVAILABILITY'!O186+N187*'RAP TEMPLATE-GAS AVAILABILITY'!P186+O187*'RAP TEMPLATE-GAS AVAILABILITY'!Q186+P187*'RAP TEMPLATE-GAS AVAILABILITY'!R186)/('RAP TEMPLATE-GAS AVAILABILITY'!O186+'RAP TEMPLATE-GAS AVAILABILITY'!P186+'RAP TEMPLATE-GAS AVAILABILITY'!Q186+'RAP TEMPLATE-GAS AVAILABILITY'!R186)</f>
        <v>10.000259712230216</v>
      </c>
    </row>
    <row r="188" spans="1:29" ht="15.75" x14ac:dyDescent="0.25">
      <c r="A188" s="16">
        <v>46600</v>
      </c>
      <c r="B188" s="17">
        <f>CHOOSE(CONTROL!$C$42, 9.5963, 9.5963) * CHOOSE(CONTROL!$C$21, $C$9, 100%, $E$9)</f>
        <v>9.5962999999999994</v>
      </c>
      <c r="C188" s="17">
        <f>CHOOSE(CONTROL!$C$42, 9.6044, 9.6044) * CHOOSE(CONTROL!$C$21, $C$9, 100%, $E$9)</f>
        <v>9.6044</v>
      </c>
      <c r="D188" s="17">
        <f>CHOOSE(CONTROL!$C$42, 9.8754, 9.8754) * CHOOSE(CONTROL!$C$21, $C$9, 100%, $E$9)</f>
        <v>9.8754000000000008</v>
      </c>
      <c r="E188" s="17">
        <f>CHOOSE(CONTROL!$C$42, 9.9069, 9.9069) * CHOOSE(CONTROL!$C$21, $C$9, 100%, $E$9)</f>
        <v>9.9069000000000003</v>
      </c>
      <c r="F188" s="17">
        <f>CHOOSE(CONTROL!$C$42, 9.6155, 9.6155)*CHOOSE(CONTROL!$C$21, $C$9, 100%, $E$9)</f>
        <v>9.6155000000000008</v>
      </c>
      <c r="G188" s="17">
        <f>CHOOSE(CONTROL!$C$42, 9.6324, 9.6324)*CHOOSE(CONTROL!$C$21, $C$9, 100%, $E$9)</f>
        <v>9.6324000000000005</v>
      </c>
      <c r="H188" s="17">
        <f>CHOOSE(CONTROL!$C$42, 9.8955, 9.8955) * CHOOSE(CONTROL!$C$21, $C$9, 100%, $E$9)</f>
        <v>9.8955000000000002</v>
      </c>
      <c r="I188" s="17">
        <f>CHOOSE(CONTROL!$C$42, 9.6463, 9.6463)* CHOOSE(CONTROL!$C$21, $C$9, 100%, $E$9)</f>
        <v>9.6463000000000001</v>
      </c>
      <c r="J188" s="17">
        <f>CHOOSE(CONTROL!$C$42, 9.6085, 9.6085)* CHOOSE(CONTROL!$C$21, $C$9, 100%, $E$9)</f>
        <v>9.6084999999999994</v>
      </c>
      <c r="K188" s="52">
        <f>CHOOSE(CONTROL!$C$42, 9.642, 9.642) * CHOOSE(CONTROL!$C$21, $C$9, 100%, $E$9)</f>
        <v>9.6419999999999995</v>
      </c>
      <c r="L188" s="17">
        <f>CHOOSE(CONTROL!$C$42, 10.4825, 10.4825) * CHOOSE(CONTROL!$C$21, $C$9, 100%, $E$9)</f>
        <v>10.4825</v>
      </c>
      <c r="M188" s="17">
        <f>CHOOSE(CONTROL!$C$42, 9.4433, 9.4433) * CHOOSE(CONTROL!$C$21, $C$9, 100%, $E$9)</f>
        <v>9.4433000000000007</v>
      </c>
      <c r="N188" s="17">
        <f>CHOOSE(CONTROL!$C$42, 9.4599, 9.4599) * CHOOSE(CONTROL!$C$21, $C$9, 100%, $E$9)</f>
        <v>9.4598999999999993</v>
      </c>
      <c r="O188" s="17">
        <f>CHOOSE(CONTROL!$C$42, 9.7252, 9.7252) * CHOOSE(CONTROL!$C$21, $C$9, 100%, $E$9)</f>
        <v>9.7251999999999992</v>
      </c>
      <c r="P188" s="17">
        <f>CHOOSE(CONTROL!$C$42, 9.48, 9.48) * CHOOSE(CONTROL!$C$21, $C$9, 100%, $E$9)</f>
        <v>9.48</v>
      </c>
      <c r="Q188" s="17">
        <f>CHOOSE(CONTROL!$C$42, 10.3199, 10.3199) * CHOOSE(CONTROL!$C$21, $C$9, 100%, $E$9)</f>
        <v>10.319900000000001</v>
      </c>
      <c r="R188" s="17">
        <f>CHOOSE(CONTROL!$C$42, 10.9327, 10.9327) * CHOOSE(CONTROL!$C$21, $C$9, 100%, $E$9)</f>
        <v>10.932700000000001</v>
      </c>
      <c r="S188" s="17">
        <f>CHOOSE(CONTROL!$C$42, 9.2105, 9.2105) * CHOOSE(CONTROL!$C$21, $C$9, 100%, $E$9)</f>
        <v>9.2104999999999997</v>
      </c>
      <c r="T18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88" s="56">
        <f>(1000*CHOOSE(CONTROL!$C$42, 695, 695)*CHOOSE(CONTROL!$C$42, 0.5599, 0.5599)*CHOOSE(CONTROL!$C$42, 31, 31))/1000000</f>
        <v>12.063045499999998</v>
      </c>
      <c r="V188" s="56">
        <f>(1000*CHOOSE(CONTROL!$C$42, 500, 500)*CHOOSE(CONTROL!$C$42, 0.275, 0.275)*CHOOSE(CONTROL!$C$42, 31, 31))/1000000</f>
        <v>4.2625000000000002</v>
      </c>
      <c r="W188" s="56">
        <f>(1000*CHOOSE(CONTROL!$C$42, 0.1146, 0.1146)*CHOOSE(CONTROL!$C$42, 121.5, 121.5)*CHOOSE(CONTROL!$C$42, 31, 31))/1000000</f>
        <v>0.43164089999999994</v>
      </c>
      <c r="X188" s="56">
        <f>(31*0.1790888*145000/1000000)+(31*0.2374*100000/1000000)</f>
        <v>1.5409441560000001</v>
      </c>
      <c r="Y188" s="56"/>
      <c r="Z188" s="17"/>
      <c r="AA188" s="55"/>
      <c r="AB188" s="48">
        <f>(B188*194.205+C188*267.466+D188*133.845+E188*153.484+F188*40+G188*85+H188*0+I188*100+J188*300)/(194.205+267.466+133.845+153.484+0+40+85+100+300)</f>
        <v>9.6745505843799044</v>
      </c>
      <c r="AC188" s="45">
        <f>(M188*'RAP TEMPLATE-GAS AVAILABILITY'!O187+N188*'RAP TEMPLATE-GAS AVAILABILITY'!P187+O188*'RAP TEMPLATE-GAS AVAILABILITY'!Q187+P188*'RAP TEMPLATE-GAS AVAILABILITY'!R187)/('RAP TEMPLATE-GAS AVAILABILITY'!O187+'RAP TEMPLATE-GAS AVAILABILITY'!P187+'RAP TEMPLATE-GAS AVAILABILITY'!Q187+'RAP TEMPLATE-GAS AVAILABILITY'!R187)</f>
        <v>9.5314964028776963</v>
      </c>
    </row>
    <row r="189" spans="1:29" ht="15.75" x14ac:dyDescent="0.25">
      <c r="A189" s="16">
        <v>46631</v>
      </c>
      <c r="B189" s="17">
        <f>CHOOSE(CONTROL!$C$42, 9.0061, 9.0061) * CHOOSE(CONTROL!$C$21, $C$9, 100%, $E$9)</f>
        <v>9.0061</v>
      </c>
      <c r="C189" s="17">
        <f>CHOOSE(CONTROL!$C$42, 9.0141, 9.0141) * CHOOSE(CONTROL!$C$21, $C$9, 100%, $E$9)</f>
        <v>9.0140999999999991</v>
      </c>
      <c r="D189" s="17">
        <f>CHOOSE(CONTROL!$C$42, 9.2852, 9.2852) * CHOOSE(CONTROL!$C$21, $C$9, 100%, $E$9)</f>
        <v>9.2851999999999997</v>
      </c>
      <c r="E189" s="17">
        <f>CHOOSE(CONTROL!$C$42, 9.3167, 9.3167) * CHOOSE(CONTROL!$C$21, $C$9, 100%, $E$9)</f>
        <v>9.3167000000000009</v>
      </c>
      <c r="F189" s="17">
        <f>CHOOSE(CONTROL!$C$42, 9.0253, 9.0253)*CHOOSE(CONTROL!$C$21, $C$9, 100%, $E$9)</f>
        <v>9.0252999999999997</v>
      </c>
      <c r="G189" s="17">
        <f>CHOOSE(CONTROL!$C$42, 9.0422, 9.0422)*CHOOSE(CONTROL!$C$21, $C$9, 100%, $E$9)</f>
        <v>9.0421999999999993</v>
      </c>
      <c r="H189" s="17">
        <f>CHOOSE(CONTROL!$C$42, 9.3053, 9.3053) * CHOOSE(CONTROL!$C$21, $C$9, 100%, $E$9)</f>
        <v>9.3053000000000008</v>
      </c>
      <c r="I189" s="17">
        <f>CHOOSE(CONTROL!$C$42, 9.0542, 9.0542)* CHOOSE(CONTROL!$C$21, $C$9, 100%, $E$9)</f>
        <v>9.0541999999999998</v>
      </c>
      <c r="J189" s="17">
        <f>CHOOSE(CONTROL!$C$42, 9.0183, 9.0183)* CHOOSE(CONTROL!$C$21, $C$9, 100%, $E$9)</f>
        <v>9.0183</v>
      </c>
      <c r="K189" s="52">
        <f>CHOOSE(CONTROL!$C$42, 9.05, 9.05) * CHOOSE(CONTROL!$C$21, $C$9, 100%, $E$9)</f>
        <v>9.0500000000000007</v>
      </c>
      <c r="L189" s="17">
        <f>CHOOSE(CONTROL!$C$42, 9.8923, 9.8923) * CHOOSE(CONTROL!$C$21, $C$9, 100%, $E$9)</f>
        <v>9.8923000000000005</v>
      </c>
      <c r="M189" s="17">
        <f>CHOOSE(CONTROL!$C$42, 8.8638, 8.8638) * CHOOSE(CONTROL!$C$21, $C$9, 100%, $E$9)</f>
        <v>8.8637999999999995</v>
      </c>
      <c r="N189" s="17">
        <f>CHOOSE(CONTROL!$C$42, 8.8804, 8.8804) * CHOOSE(CONTROL!$C$21, $C$9, 100%, $E$9)</f>
        <v>8.8803999999999998</v>
      </c>
      <c r="O189" s="17">
        <f>CHOOSE(CONTROL!$C$42, 9.1456, 9.1456) * CHOOSE(CONTROL!$C$21, $C$9, 100%, $E$9)</f>
        <v>9.1456</v>
      </c>
      <c r="P189" s="17">
        <f>CHOOSE(CONTROL!$C$42, 8.8986, 8.8986) * CHOOSE(CONTROL!$C$21, $C$9, 100%, $E$9)</f>
        <v>8.8986000000000001</v>
      </c>
      <c r="Q189" s="17">
        <f>CHOOSE(CONTROL!$C$42, 9.7403, 9.7403) * CHOOSE(CONTROL!$C$21, $C$9, 100%, $E$9)</f>
        <v>9.7402999999999995</v>
      </c>
      <c r="R189" s="17">
        <f>CHOOSE(CONTROL!$C$42, 10.3517, 10.3517) * CHOOSE(CONTROL!$C$21, $C$9, 100%, $E$9)</f>
        <v>10.351699999999999</v>
      </c>
      <c r="S189" s="17">
        <f>CHOOSE(CONTROL!$C$42, 8.6433, 8.6433) * CHOOSE(CONTROL!$C$21, $C$9, 100%, $E$9)</f>
        <v>8.6433</v>
      </c>
      <c r="T18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89" s="56">
        <f>(1000*CHOOSE(CONTROL!$C$42, 695, 695)*CHOOSE(CONTROL!$C$42, 0.5599, 0.5599)*CHOOSE(CONTROL!$C$42, 30, 30))/1000000</f>
        <v>11.673914999999997</v>
      </c>
      <c r="V189" s="56">
        <f>(1000*CHOOSE(CONTROL!$C$42, 500, 500)*CHOOSE(CONTROL!$C$42, 0.275, 0.275)*CHOOSE(CONTROL!$C$42, 30, 30))/1000000</f>
        <v>4.125</v>
      </c>
      <c r="W189" s="56">
        <f>(1000*CHOOSE(CONTROL!$C$42, 0.1146, 0.1146)*CHOOSE(CONTROL!$C$42, 121.5, 121.5)*CHOOSE(CONTROL!$C$42, 30, 30))/1000000</f>
        <v>0.417717</v>
      </c>
      <c r="X189" s="56">
        <f>(30*0.1790888*145000/1000000)+(30*0.2374*100000/1000000)</f>
        <v>1.4912362799999999</v>
      </c>
      <c r="Y189" s="56"/>
      <c r="Z189" s="17"/>
      <c r="AA189" s="55"/>
      <c r="AB189" s="48">
        <f>(B189*194.205+C189*267.466+D189*133.845+E189*153.484+F189*40+G189*85+H189*0+I189*100+J189*300)/(194.205+267.466+133.845+153.484+0+40+85+100+300)</f>
        <v>9.0841804536106761</v>
      </c>
      <c r="AC189" s="45">
        <f>(M189*'RAP TEMPLATE-GAS AVAILABILITY'!O188+N189*'RAP TEMPLATE-GAS AVAILABILITY'!P188+O189*'RAP TEMPLATE-GAS AVAILABILITY'!Q188+P189*'RAP TEMPLATE-GAS AVAILABILITY'!R188)/('RAP TEMPLATE-GAS AVAILABILITY'!O188+'RAP TEMPLATE-GAS AVAILABILITY'!P188+'RAP TEMPLATE-GAS AVAILABILITY'!Q188+'RAP TEMPLATE-GAS AVAILABILITY'!R188)</f>
        <v>8.9516949640287766</v>
      </c>
    </row>
    <row r="190" spans="1:29" ht="15.75" x14ac:dyDescent="0.25">
      <c r="A190" s="16">
        <v>46661</v>
      </c>
      <c r="B190" s="17">
        <f>CHOOSE(CONTROL!$C$42, 8.8399, 8.8399) * CHOOSE(CONTROL!$C$21, $C$9, 100%, $E$9)</f>
        <v>8.8399000000000001</v>
      </c>
      <c r="C190" s="17">
        <f>CHOOSE(CONTROL!$C$42, 8.8452, 8.8452) * CHOOSE(CONTROL!$C$21, $C$9, 100%, $E$9)</f>
        <v>8.8452000000000002</v>
      </c>
      <c r="D190" s="17">
        <f>CHOOSE(CONTROL!$C$42, 9.1212, 9.1212) * CHOOSE(CONTROL!$C$21, $C$9, 100%, $E$9)</f>
        <v>9.1212</v>
      </c>
      <c r="E190" s="17">
        <f>CHOOSE(CONTROL!$C$42, 9.1504, 9.1504) * CHOOSE(CONTROL!$C$21, $C$9, 100%, $E$9)</f>
        <v>9.1503999999999994</v>
      </c>
      <c r="F190" s="17">
        <f>CHOOSE(CONTROL!$C$42, 8.8613, 8.8613)*CHOOSE(CONTROL!$C$21, $C$9, 100%, $E$9)</f>
        <v>8.8613</v>
      </c>
      <c r="G190" s="17">
        <f>CHOOSE(CONTROL!$C$42, 8.8781, 8.8781)*CHOOSE(CONTROL!$C$21, $C$9, 100%, $E$9)</f>
        <v>8.8780999999999999</v>
      </c>
      <c r="H190" s="17">
        <f>CHOOSE(CONTROL!$C$42, 9.1408, 9.1408) * CHOOSE(CONTROL!$C$21, $C$9, 100%, $E$9)</f>
        <v>9.1408000000000005</v>
      </c>
      <c r="I190" s="17">
        <f>CHOOSE(CONTROL!$C$42, 8.8892, 8.8892)* CHOOSE(CONTROL!$C$21, $C$9, 100%, $E$9)</f>
        <v>8.8892000000000007</v>
      </c>
      <c r="J190" s="17">
        <f>CHOOSE(CONTROL!$C$42, 8.8543, 8.8543)* CHOOSE(CONTROL!$C$21, $C$9, 100%, $E$9)</f>
        <v>8.8543000000000003</v>
      </c>
      <c r="K190" s="52">
        <f>CHOOSE(CONTROL!$C$42, 8.885, 8.885) * CHOOSE(CONTROL!$C$21, $C$9, 100%, $E$9)</f>
        <v>8.8849999999999998</v>
      </c>
      <c r="L190" s="17">
        <f>CHOOSE(CONTROL!$C$42, 9.7278, 9.7278) * CHOOSE(CONTROL!$C$21, $C$9, 100%, $E$9)</f>
        <v>9.7278000000000002</v>
      </c>
      <c r="M190" s="17">
        <f>CHOOSE(CONTROL!$C$42, 8.7027, 8.7027) * CHOOSE(CONTROL!$C$21, $C$9, 100%, $E$9)</f>
        <v>8.7027000000000001</v>
      </c>
      <c r="N190" s="17">
        <f>CHOOSE(CONTROL!$C$42, 8.7192, 8.7192) * CHOOSE(CONTROL!$C$21, $C$9, 100%, $E$9)</f>
        <v>8.7192000000000007</v>
      </c>
      <c r="O190" s="17">
        <f>CHOOSE(CONTROL!$C$42, 8.9841, 8.9841) * CHOOSE(CONTROL!$C$21, $C$9, 100%, $E$9)</f>
        <v>8.9840999999999998</v>
      </c>
      <c r="P190" s="17">
        <f>CHOOSE(CONTROL!$C$42, 8.7366, 8.7366) * CHOOSE(CONTROL!$C$21, $C$9, 100%, $E$9)</f>
        <v>8.7365999999999993</v>
      </c>
      <c r="Q190" s="17">
        <f>CHOOSE(CONTROL!$C$42, 9.5788, 9.5788) * CHOOSE(CONTROL!$C$21, $C$9, 100%, $E$9)</f>
        <v>9.5787999999999993</v>
      </c>
      <c r="R190" s="17">
        <f>CHOOSE(CONTROL!$C$42, 10.1898, 10.1898) * CHOOSE(CONTROL!$C$21, $C$9, 100%, $E$9)</f>
        <v>10.1898</v>
      </c>
      <c r="S190" s="17">
        <f>CHOOSE(CONTROL!$C$42, 8.4853, 8.4853) * CHOOSE(CONTROL!$C$21, $C$9, 100%, $E$9)</f>
        <v>8.4853000000000005</v>
      </c>
      <c r="T19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90" s="56">
        <f>(1000*CHOOSE(CONTROL!$C$42, 695, 695)*CHOOSE(CONTROL!$C$42, 0.5599, 0.5599)*CHOOSE(CONTROL!$C$42, 31, 31))/1000000</f>
        <v>12.063045499999998</v>
      </c>
      <c r="V190" s="56">
        <f>(1000*CHOOSE(CONTROL!$C$42, 500, 500)*CHOOSE(CONTROL!$C$42, 0.275, 0.275)*CHOOSE(CONTROL!$C$42, 31, 31))/1000000</f>
        <v>4.2625000000000002</v>
      </c>
      <c r="W190" s="56">
        <f>(1000*CHOOSE(CONTROL!$C$42, 0.1146, 0.1146)*CHOOSE(CONTROL!$C$42, 121.5, 121.5)*CHOOSE(CONTROL!$C$42, 31, 31))/1000000</f>
        <v>0.43164089999999994</v>
      </c>
      <c r="X190" s="56">
        <f>(31*0.1790888*145000/1000000)+(31*0.2374*100000/1000000)</f>
        <v>1.5409441560000001</v>
      </c>
      <c r="Y190" s="56"/>
      <c r="Z190" s="17"/>
      <c r="AA190" s="55"/>
      <c r="AB190" s="48">
        <f>(B190*131.881+C190*277.167+D190*79.08+E190*225.872+F190*40+G190*85+H190*0+I190*100+J190*300)/(131.881+277.167+79.08+225.872+0+40+85+100+300)</f>
        <v>8.926421747457626</v>
      </c>
      <c r="AC190" s="45">
        <f>(M190*'RAP TEMPLATE-GAS AVAILABILITY'!O189+N190*'RAP TEMPLATE-GAS AVAILABILITY'!P189+O190*'RAP TEMPLATE-GAS AVAILABILITY'!Q189+P190*'RAP TEMPLATE-GAS AVAILABILITY'!R189)/('RAP TEMPLATE-GAS AVAILABILITY'!O189+'RAP TEMPLATE-GAS AVAILABILITY'!P189+'RAP TEMPLATE-GAS AVAILABILITY'!Q189+'RAP TEMPLATE-GAS AVAILABILITY'!R189)</f>
        <v>8.7903302158273391</v>
      </c>
    </row>
    <row r="191" spans="1:29" ht="15.75" x14ac:dyDescent="0.25">
      <c r="A191" s="16">
        <v>46692</v>
      </c>
      <c r="B191" s="17">
        <f>CHOOSE(CONTROL!$C$42, 9.0908, 9.0908) * CHOOSE(CONTROL!$C$21, $C$9, 100%, $E$9)</f>
        <v>9.0907999999999998</v>
      </c>
      <c r="C191" s="17">
        <f>CHOOSE(CONTROL!$C$42, 9.0958, 9.0958) * CHOOSE(CONTROL!$C$21, $C$9, 100%, $E$9)</f>
        <v>9.0958000000000006</v>
      </c>
      <c r="D191" s="17">
        <f>CHOOSE(CONTROL!$C$42, 9.1909, 9.1909) * CHOOSE(CONTROL!$C$21, $C$9, 100%, $E$9)</f>
        <v>9.1908999999999992</v>
      </c>
      <c r="E191" s="17">
        <f>CHOOSE(CONTROL!$C$42, 9.225, 9.225) * CHOOSE(CONTROL!$C$21, $C$9, 100%, $E$9)</f>
        <v>9.2249999999999996</v>
      </c>
      <c r="F191" s="17">
        <f>CHOOSE(CONTROL!$C$42, 9.1147, 9.1147)*CHOOSE(CONTROL!$C$21, $C$9, 100%, $E$9)</f>
        <v>9.1146999999999991</v>
      </c>
      <c r="G191" s="17">
        <f>CHOOSE(CONTROL!$C$42, 9.1317, 9.1317)*CHOOSE(CONTROL!$C$21, $C$9, 100%, $E$9)</f>
        <v>9.1317000000000004</v>
      </c>
      <c r="H191" s="17">
        <f>CHOOSE(CONTROL!$C$42, 9.2142, 9.2142) * CHOOSE(CONTROL!$C$21, $C$9, 100%, $E$9)</f>
        <v>9.2141999999999999</v>
      </c>
      <c r="I191" s="17">
        <f>CHOOSE(CONTROL!$C$42, 9.1392, 9.1392)* CHOOSE(CONTROL!$C$21, $C$9, 100%, $E$9)</f>
        <v>9.1392000000000007</v>
      </c>
      <c r="J191" s="17">
        <f>CHOOSE(CONTROL!$C$42, 9.1077, 9.1077)* CHOOSE(CONTROL!$C$21, $C$9, 100%, $E$9)</f>
        <v>9.1076999999999995</v>
      </c>
      <c r="K191" s="52">
        <f>CHOOSE(CONTROL!$C$42, 9.135, 9.135) * CHOOSE(CONTROL!$C$21, $C$9, 100%, $E$9)</f>
        <v>9.1349999999999998</v>
      </c>
      <c r="L191" s="17">
        <f>CHOOSE(CONTROL!$C$42, 9.8012, 9.8012) * CHOOSE(CONTROL!$C$21, $C$9, 100%, $E$9)</f>
        <v>9.8011999999999997</v>
      </c>
      <c r="M191" s="17">
        <f>CHOOSE(CONTROL!$C$42, 8.9515, 8.9515) * CHOOSE(CONTROL!$C$21, $C$9, 100%, $E$9)</f>
        <v>8.9514999999999993</v>
      </c>
      <c r="N191" s="17">
        <f>CHOOSE(CONTROL!$C$42, 8.9683, 8.9683) * CHOOSE(CONTROL!$C$21, $C$9, 100%, $E$9)</f>
        <v>8.9682999999999993</v>
      </c>
      <c r="O191" s="17">
        <f>CHOOSE(CONTROL!$C$42, 9.0561, 9.0561) * CHOOSE(CONTROL!$C$21, $C$9, 100%, $E$9)</f>
        <v>9.0561000000000007</v>
      </c>
      <c r="P191" s="17">
        <f>CHOOSE(CONTROL!$C$42, 8.9821, 8.9821) * CHOOSE(CONTROL!$C$21, $C$9, 100%, $E$9)</f>
        <v>8.9821000000000009</v>
      </c>
      <c r="Q191" s="17">
        <f>CHOOSE(CONTROL!$C$42, 9.6508, 9.6508) * CHOOSE(CONTROL!$C$21, $C$9, 100%, $E$9)</f>
        <v>9.6508000000000003</v>
      </c>
      <c r="R191" s="17">
        <f>CHOOSE(CONTROL!$C$42, 10.2619, 10.2619) * CHOOSE(CONTROL!$C$21, $C$9, 100%, $E$9)</f>
        <v>10.261900000000001</v>
      </c>
      <c r="S191" s="17">
        <f>CHOOSE(CONTROL!$C$42, 8.7268, 8.7268) * CHOOSE(CONTROL!$C$21, $C$9, 100%, $E$9)</f>
        <v>8.7268000000000008</v>
      </c>
      <c r="T19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91" s="56">
        <f>(1000*CHOOSE(CONTROL!$C$42, 695, 695)*CHOOSE(CONTROL!$C$42, 0.5599, 0.5599)*CHOOSE(CONTROL!$C$42, 30, 30))/1000000</f>
        <v>11.673914999999997</v>
      </c>
      <c r="V191" s="56">
        <f>(1000*CHOOSE(CONTROL!$C$42, 500, 500)*CHOOSE(CONTROL!$C$42, 0.275, 0.275)*CHOOSE(CONTROL!$C$42, 30, 30))/1000000</f>
        <v>4.125</v>
      </c>
      <c r="W191" s="56">
        <f>(1000*CHOOSE(CONTROL!$C$42, 0.1146, 0.1146)*CHOOSE(CONTROL!$C$42, 121.5, 121.5)*CHOOSE(CONTROL!$C$42, 30, 30))/1000000</f>
        <v>0.417717</v>
      </c>
      <c r="X191" s="56">
        <f>(30*0.2374*100000/1000000)</f>
        <v>0.71220000000000006</v>
      </c>
      <c r="Y191" s="56"/>
      <c r="Z191" s="17"/>
      <c r="AA191" s="55"/>
      <c r="AB191" s="48">
        <f>(B191*122.58+C191*297.941+D191*89.177+E191*140.302+F191*40+G191*60+H191*0+I191*100+J191*300)/(122.58+297.941+89.177+140.302+0+40+60+100+300)</f>
        <v>9.1278129139999997</v>
      </c>
      <c r="AC191" s="45">
        <f>(M191*'RAP TEMPLATE-GAS AVAILABILITY'!O190+N191*'RAP TEMPLATE-GAS AVAILABILITY'!P190+O191*'RAP TEMPLATE-GAS AVAILABILITY'!Q190+P191*'RAP TEMPLATE-GAS AVAILABILITY'!R190)/('RAP TEMPLATE-GAS AVAILABILITY'!O190+'RAP TEMPLATE-GAS AVAILABILITY'!P190+'RAP TEMPLATE-GAS AVAILABILITY'!Q190+'RAP TEMPLATE-GAS AVAILABILITY'!R190)</f>
        <v>9.0042784172661872</v>
      </c>
    </row>
    <row r="192" spans="1:29" ht="15.75" x14ac:dyDescent="0.25">
      <c r="A192" s="16">
        <v>46722</v>
      </c>
      <c r="B192" s="17">
        <f>CHOOSE(CONTROL!$C$42, 9.7299, 9.7299) * CHOOSE(CONTROL!$C$21, $C$9, 100%, $E$9)</f>
        <v>9.7299000000000007</v>
      </c>
      <c r="C192" s="17">
        <f>CHOOSE(CONTROL!$C$42, 9.7349, 9.7349) * CHOOSE(CONTROL!$C$21, $C$9, 100%, $E$9)</f>
        <v>9.7348999999999997</v>
      </c>
      <c r="D192" s="17">
        <f>CHOOSE(CONTROL!$C$42, 9.83, 9.83) * CHOOSE(CONTROL!$C$21, $C$9, 100%, $E$9)</f>
        <v>9.83</v>
      </c>
      <c r="E192" s="17">
        <f>CHOOSE(CONTROL!$C$42, 9.8641, 9.8641) * CHOOSE(CONTROL!$C$21, $C$9, 100%, $E$9)</f>
        <v>9.8641000000000005</v>
      </c>
      <c r="F192" s="17">
        <f>CHOOSE(CONTROL!$C$42, 9.7561, 9.7561)*CHOOSE(CONTROL!$C$21, $C$9, 100%, $E$9)</f>
        <v>9.7561</v>
      </c>
      <c r="G192" s="17">
        <f>CHOOSE(CONTROL!$C$42, 9.7738, 9.7738)*CHOOSE(CONTROL!$C$21, $C$9, 100%, $E$9)</f>
        <v>9.7737999999999996</v>
      </c>
      <c r="H192" s="17">
        <f>CHOOSE(CONTROL!$C$42, 9.8533, 9.8533) * CHOOSE(CONTROL!$C$21, $C$9, 100%, $E$9)</f>
        <v>9.8533000000000008</v>
      </c>
      <c r="I192" s="17">
        <f>CHOOSE(CONTROL!$C$42, 9.7803, 9.7803)* CHOOSE(CONTROL!$C$21, $C$9, 100%, $E$9)</f>
        <v>9.7803000000000004</v>
      </c>
      <c r="J192" s="17">
        <f>CHOOSE(CONTROL!$C$42, 9.7491, 9.7491)* CHOOSE(CONTROL!$C$21, $C$9, 100%, $E$9)</f>
        <v>9.7491000000000003</v>
      </c>
      <c r="K192" s="52">
        <f>CHOOSE(CONTROL!$C$42, 9.7761, 9.7761) * CHOOSE(CONTROL!$C$21, $C$9, 100%, $E$9)</f>
        <v>9.7760999999999996</v>
      </c>
      <c r="L192" s="17">
        <f>CHOOSE(CONTROL!$C$42, 10.4403, 10.4403) * CHOOSE(CONTROL!$C$21, $C$9, 100%, $E$9)</f>
        <v>10.440300000000001</v>
      </c>
      <c r="M192" s="17">
        <f>CHOOSE(CONTROL!$C$42, 9.5815, 9.5815) * CHOOSE(CONTROL!$C$21, $C$9, 100%, $E$9)</f>
        <v>9.5815000000000001</v>
      </c>
      <c r="N192" s="17">
        <f>CHOOSE(CONTROL!$C$42, 9.5988, 9.5988) * CHOOSE(CONTROL!$C$21, $C$9, 100%, $E$9)</f>
        <v>9.5988000000000007</v>
      </c>
      <c r="O192" s="17">
        <f>CHOOSE(CONTROL!$C$42, 9.6837, 9.6837) * CHOOSE(CONTROL!$C$21, $C$9, 100%, $E$9)</f>
        <v>9.6837</v>
      </c>
      <c r="P192" s="17">
        <f>CHOOSE(CONTROL!$C$42, 9.6116, 9.6116) * CHOOSE(CONTROL!$C$21, $C$9, 100%, $E$9)</f>
        <v>9.6115999999999993</v>
      </c>
      <c r="Q192" s="17">
        <f>CHOOSE(CONTROL!$C$42, 10.2784, 10.2784) * CHOOSE(CONTROL!$C$21, $C$9, 100%, $E$9)</f>
        <v>10.2784</v>
      </c>
      <c r="R192" s="17">
        <f>CHOOSE(CONTROL!$C$42, 10.8911, 10.8911) * CHOOSE(CONTROL!$C$21, $C$9, 100%, $E$9)</f>
        <v>10.8911</v>
      </c>
      <c r="S192" s="17">
        <f>CHOOSE(CONTROL!$C$42, 9.3409, 9.3409) * CHOOSE(CONTROL!$C$21, $C$9, 100%, $E$9)</f>
        <v>9.3408999999999995</v>
      </c>
      <c r="T19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92" s="56">
        <f>(1000*CHOOSE(CONTROL!$C$42, 695, 695)*CHOOSE(CONTROL!$C$42, 0.5599, 0.5599)*CHOOSE(CONTROL!$C$42, 31, 31))/1000000</f>
        <v>12.063045499999998</v>
      </c>
      <c r="V192" s="56">
        <f>(1000*CHOOSE(CONTROL!$C$42, 500, 500)*CHOOSE(CONTROL!$C$42, 0.275, 0.275)*CHOOSE(CONTROL!$C$42, 31, 31))/1000000</f>
        <v>4.2625000000000002</v>
      </c>
      <c r="W192" s="56">
        <f>(1000*CHOOSE(CONTROL!$C$42, 0.1146, 0.1146)*CHOOSE(CONTROL!$C$42, 121.5, 121.5)*CHOOSE(CONTROL!$C$42, 31, 31))/1000000</f>
        <v>0.43164089999999994</v>
      </c>
      <c r="X192" s="56">
        <f>(31*0.2374*100000/1000000)</f>
        <v>0.73594000000000004</v>
      </c>
      <c r="Y192" s="56"/>
      <c r="Z192" s="17"/>
      <c r="AA192" s="55"/>
      <c r="AB192" s="48">
        <f>(B192*122.58+C192*297.941+D192*89.177+E192*140.302+F192*40+G192*60+H192*0+I192*100+J192*300)/(122.58+297.941+89.177+140.302+0+40+60+100+300)</f>
        <v>9.7679233487826078</v>
      </c>
      <c r="AC192" s="45">
        <f>(M192*'RAP TEMPLATE-GAS AVAILABILITY'!O191+N192*'RAP TEMPLATE-GAS AVAILABILITY'!P191+O192*'RAP TEMPLATE-GAS AVAILABILITY'!Q191+P192*'RAP TEMPLATE-GAS AVAILABILITY'!R191)/('RAP TEMPLATE-GAS AVAILABILITY'!O191+'RAP TEMPLATE-GAS AVAILABILITY'!P191+'RAP TEMPLATE-GAS AVAILABILITY'!Q191+'RAP TEMPLATE-GAS AVAILABILITY'!R191)</f>
        <v>9.6331474820143885</v>
      </c>
    </row>
    <row r="193" spans="1:29" ht="15.75" x14ac:dyDescent="0.25">
      <c r="A193" s="16">
        <v>46753</v>
      </c>
      <c r="B193" s="17">
        <f>CHOOSE(CONTROL!$C$42, 10.2462, 10.2462) * CHOOSE(CONTROL!$C$21, $C$9, 100%, $E$9)</f>
        <v>10.2462</v>
      </c>
      <c r="C193" s="17">
        <f>CHOOSE(CONTROL!$C$42, 10.2512, 10.2512) * CHOOSE(CONTROL!$C$21, $C$9, 100%, $E$9)</f>
        <v>10.251200000000001</v>
      </c>
      <c r="D193" s="17">
        <f>CHOOSE(CONTROL!$C$42, 10.3697, 10.3697) * CHOOSE(CONTROL!$C$21, $C$9, 100%, $E$9)</f>
        <v>10.3697</v>
      </c>
      <c r="E193" s="17">
        <f>CHOOSE(CONTROL!$C$42, 10.4038, 10.4038) * CHOOSE(CONTROL!$C$21, $C$9, 100%, $E$9)</f>
        <v>10.4038</v>
      </c>
      <c r="F193" s="17">
        <f>CHOOSE(CONTROL!$C$42, 10.2666, 10.2666)*CHOOSE(CONTROL!$C$21, $C$9, 100%, $E$9)</f>
        <v>10.2666</v>
      </c>
      <c r="G193" s="17">
        <f>CHOOSE(CONTROL!$C$42, 10.2834, 10.2834)*CHOOSE(CONTROL!$C$21, $C$9, 100%, $E$9)</f>
        <v>10.2834</v>
      </c>
      <c r="H193" s="17">
        <f>CHOOSE(CONTROL!$C$42, 10.393, 10.393) * CHOOSE(CONTROL!$C$21, $C$9, 100%, $E$9)</f>
        <v>10.393000000000001</v>
      </c>
      <c r="I193" s="17">
        <f>CHOOSE(CONTROL!$C$42, 10.3019, 10.3019)* CHOOSE(CONTROL!$C$21, $C$9, 100%, $E$9)</f>
        <v>10.3019</v>
      </c>
      <c r="J193" s="17">
        <f>CHOOSE(CONTROL!$C$42, 10.2596, 10.2596)* CHOOSE(CONTROL!$C$21, $C$9, 100%, $E$9)</f>
        <v>10.259600000000001</v>
      </c>
      <c r="K193" s="52">
        <f>CHOOSE(CONTROL!$C$42, 10.2977, 10.2977) * CHOOSE(CONTROL!$C$21, $C$9, 100%, $E$9)</f>
        <v>10.297700000000001</v>
      </c>
      <c r="L193" s="17">
        <f>CHOOSE(CONTROL!$C$42, 10.98, 10.98) * CHOOSE(CONTROL!$C$21, $C$9, 100%, $E$9)</f>
        <v>10.98</v>
      </c>
      <c r="M193" s="17">
        <f>CHOOSE(CONTROL!$C$42, 10.0827, 10.0827) * CHOOSE(CONTROL!$C$21, $C$9, 100%, $E$9)</f>
        <v>10.082700000000001</v>
      </c>
      <c r="N193" s="17">
        <f>CHOOSE(CONTROL!$C$42, 10.0993, 10.0993) * CHOOSE(CONTROL!$C$21, $C$9, 100%, $E$9)</f>
        <v>10.099299999999999</v>
      </c>
      <c r="O193" s="17">
        <f>CHOOSE(CONTROL!$C$42, 10.2137, 10.2137) * CHOOSE(CONTROL!$C$21, $C$9, 100%, $E$9)</f>
        <v>10.213699999999999</v>
      </c>
      <c r="P193" s="17">
        <f>CHOOSE(CONTROL!$C$42, 10.1238, 10.1238) * CHOOSE(CONTROL!$C$21, $C$9, 100%, $E$9)</f>
        <v>10.123799999999999</v>
      </c>
      <c r="Q193" s="17">
        <f>CHOOSE(CONTROL!$C$42, 10.8084, 10.8084) * CHOOSE(CONTROL!$C$21, $C$9, 100%, $E$9)</f>
        <v>10.808400000000001</v>
      </c>
      <c r="R193" s="17">
        <f>CHOOSE(CONTROL!$C$42, 11.4225, 11.4225) * CHOOSE(CONTROL!$C$21, $C$9, 100%, $E$9)</f>
        <v>11.422499999999999</v>
      </c>
      <c r="S193" s="17">
        <f>CHOOSE(CONTROL!$C$42, 9.837, 9.837) * CHOOSE(CONTROL!$C$21, $C$9, 100%, $E$9)</f>
        <v>9.8369999999999997</v>
      </c>
      <c r="T19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93" s="56">
        <f>(1000*CHOOSE(CONTROL!$C$42, 695, 695)*CHOOSE(CONTROL!$C$42, 0.5599, 0.5599)*CHOOSE(CONTROL!$C$42, 31, 31))/1000000</f>
        <v>12.063045499999998</v>
      </c>
      <c r="V193" s="56">
        <f>(1000*CHOOSE(CONTROL!$C$42, 500, 500)*CHOOSE(CONTROL!$C$42, 0.275, 0.275)*CHOOSE(CONTROL!$C$42, 31, 31))/1000000</f>
        <v>4.2625000000000002</v>
      </c>
      <c r="W193" s="56">
        <f>(1000*CHOOSE(CONTROL!$C$42, 0.1146, 0.1146)*CHOOSE(CONTROL!$C$42, 121.5, 121.5)*CHOOSE(CONTROL!$C$42, 31, 31))/1000000</f>
        <v>0.43164089999999994</v>
      </c>
      <c r="X193" s="56">
        <f>(31*0.2374*100000/1000000)</f>
        <v>0.73594000000000004</v>
      </c>
      <c r="Y193" s="56"/>
      <c r="Z193" s="17"/>
      <c r="AA193" s="55"/>
      <c r="AB193" s="48">
        <f>(B193*122.58+C193*297.941+D193*89.177+E193*140.302+F193*40+G193*60+H193*0+I193*100+J193*300)/(122.58+297.941+89.177+140.302+0+40+60+100+300)</f>
        <v>10.287289269304349</v>
      </c>
      <c r="AC193" s="45">
        <f>(M193*'RAP TEMPLATE-GAS AVAILABILITY'!O192+N193*'RAP TEMPLATE-GAS AVAILABILITY'!P192+O193*'RAP TEMPLATE-GAS AVAILABILITY'!Q192+P193*'RAP TEMPLATE-GAS AVAILABILITY'!R192)/('RAP TEMPLATE-GAS AVAILABILITY'!O192+'RAP TEMPLATE-GAS AVAILABILITY'!P192+'RAP TEMPLATE-GAS AVAILABILITY'!Q192+'RAP TEMPLATE-GAS AVAILABILITY'!R192)</f>
        <v>10.148943165467626</v>
      </c>
    </row>
    <row r="194" spans="1:29" ht="15.75" x14ac:dyDescent="0.25">
      <c r="A194" s="16">
        <v>46784</v>
      </c>
      <c r="B194" s="17">
        <f>CHOOSE(CONTROL!$C$42, 10.4499, 10.4499) * CHOOSE(CONTROL!$C$21, $C$9, 100%, $E$9)</f>
        <v>10.4499</v>
      </c>
      <c r="C194" s="17">
        <f>CHOOSE(CONTROL!$C$42, 10.4549, 10.4549) * CHOOSE(CONTROL!$C$21, $C$9, 100%, $E$9)</f>
        <v>10.4549</v>
      </c>
      <c r="D194" s="17">
        <f>CHOOSE(CONTROL!$C$42, 10.5734, 10.5734) * CHOOSE(CONTROL!$C$21, $C$9, 100%, $E$9)</f>
        <v>10.573399999999999</v>
      </c>
      <c r="E194" s="17">
        <f>CHOOSE(CONTROL!$C$42, 10.6075, 10.6075) * CHOOSE(CONTROL!$C$21, $C$9, 100%, $E$9)</f>
        <v>10.6075</v>
      </c>
      <c r="F194" s="17">
        <f>CHOOSE(CONTROL!$C$42, 10.4702, 10.4702)*CHOOSE(CONTROL!$C$21, $C$9, 100%, $E$9)</f>
        <v>10.4702</v>
      </c>
      <c r="G194" s="17">
        <f>CHOOSE(CONTROL!$C$42, 10.4871, 10.4871)*CHOOSE(CONTROL!$C$21, $C$9, 100%, $E$9)</f>
        <v>10.4871</v>
      </c>
      <c r="H194" s="17">
        <f>CHOOSE(CONTROL!$C$42, 10.5967, 10.5967) * CHOOSE(CONTROL!$C$21, $C$9, 100%, $E$9)</f>
        <v>10.5967</v>
      </c>
      <c r="I194" s="17">
        <f>CHOOSE(CONTROL!$C$42, 10.5062, 10.5062)* CHOOSE(CONTROL!$C$21, $C$9, 100%, $E$9)</f>
        <v>10.5062</v>
      </c>
      <c r="J194" s="17">
        <f>CHOOSE(CONTROL!$C$42, 10.4632, 10.4632)* CHOOSE(CONTROL!$C$21, $C$9, 100%, $E$9)</f>
        <v>10.463200000000001</v>
      </c>
      <c r="K194" s="52">
        <f>CHOOSE(CONTROL!$C$42, 10.502, 10.502) * CHOOSE(CONTROL!$C$21, $C$9, 100%, $E$9)</f>
        <v>10.502000000000001</v>
      </c>
      <c r="L194" s="17">
        <f>CHOOSE(CONTROL!$C$42, 11.1837, 11.1837) * CHOOSE(CONTROL!$C$21, $C$9, 100%, $E$9)</f>
        <v>11.1837</v>
      </c>
      <c r="M194" s="17">
        <f>CHOOSE(CONTROL!$C$42, 10.2827, 10.2827) * CHOOSE(CONTROL!$C$21, $C$9, 100%, $E$9)</f>
        <v>10.2827</v>
      </c>
      <c r="N194" s="17">
        <f>CHOOSE(CONTROL!$C$42, 10.2992, 10.2992) * CHOOSE(CONTROL!$C$21, $C$9, 100%, $E$9)</f>
        <v>10.299200000000001</v>
      </c>
      <c r="O194" s="17">
        <f>CHOOSE(CONTROL!$C$42, 10.4138, 10.4138) * CHOOSE(CONTROL!$C$21, $C$9, 100%, $E$9)</f>
        <v>10.4138</v>
      </c>
      <c r="P194" s="17">
        <f>CHOOSE(CONTROL!$C$42, 10.3244, 10.3244) * CHOOSE(CONTROL!$C$21, $C$9, 100%, $E$9)</f>
        <v>10.324400000000001</v>
      </c>
      <c r="Q194" s="17">
        <f>CHOOSE(CONTROL!$C$42, 11.0085, 11.0085) * CHOOSE(CONTROL!$C$21, $C$9, 100%, $E$9)</f>
        <v>11.0085</v>
      </c>
      <c r="R194" s="17">
        <f>CHOOSE(CONTROL!$C$42, 11.623, 11.623) * CHOOSE(CONTROL!$C$21, $C$9, 100%, $E$9)</f>
        <v>11.622999999999999</v>
      </c>
      <c r="S194" s="17">
        <f>CHOOSE(CONTROL!$C$42, 10.0327, 10.0327) * CHOOSE(CONTROL!$C$21, $C$9, 100%, $E$9)</f>
        <v>10.0327</v>
      </c>
      <c r="T194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194" s="56">
        <f>(1000*CHOOSE(CONTROL!$C$42, 695, 695)*CHOOSE(CONTROL!$C$42, 0.5599, 0.5599)*CHOOSE(CONTROL!$C$42, 29, 29))/1000000</f>
        <v>11.284784499999999</v>
      </c>
      <c r="V194" s="56">
        <f>(1000*CHOOSE(CONTROL!$C$42, 500, 500)*CHOOSE(CONTROL!$C$42, 0.275, 0.275)*CHOOSE(CONTROL!$C$42, 29, 29))/1000000</f>
        <v>3.9874999999999998</v>
      </c>
      <c r="W194" s="56">
        <f>(1000*CHOOSE(CONTROL!$C$42, 0.1146, 0.1146)*CHOOSE(CONTROL!$C$42, 121.5, 121.5)*CHOOSE(CONTROL!$C$42, 29, 29))/1000000</f>
        <v>0.40379309999999996</v>
      </c>
      <c r="X194" s="56">
        <f>(29*0.2374*100000/1000000)</f>
        <v>0.68845999999999996</v>
      </c>
      <c r="Y194" s="56"/>
      <c r="Z194" s="17"/>
      <c r="AA194" s="55"/>
      <c r="AB194" s="48">
        <f>(B194*122.58+C194*297.941+D194*89.177+E194*140.302+F194*40+G194*60+H194*0+I194*100+J194*300)/(122.58+297.941+89.177+140.302+0+40+60+100+300)</f>
        <v>10.491011878</v>
      </c>
      <c r="AC194" s="45">
        <f>(M194*'RAP TEMPLATE-GAS AVAILABILITY'!O193+N194*'RAP TEMPLATE-GAS AVAILABILITY'!P193+O194*'RAP TEMPLATE-GAS AVAILABILITY'!Q193+P194*'RAP TEMPLATE-GAS AVAILABILITY'!R193)/('RAP TEMPLATE-GAS AVAILABILITY'!O193+'RAP TEMPLATE-GAS AVAILABILITY'!P193+'RAP TEMPLATE-GAS AVAILABILITY'!Q193+'RAP TEMPLATE-GAS AVAILABILITY'!R193)</f>
        <v>10.349069064748203</v>
      </c>
    </row>
    <row r="195" spans="1:29" ht="15.75" x14ac:dyDescent="0.25">
      <c r="A195" s="16">
        <v>46813</v>
      </c>
      <c r="B195" s="17">
        <f>CHOOSE(CONTROL!$C$42, 10.1744, 10.1744) * CHOOSE(CONTROL!$C$21, $C$9, 100%, $E$9)</f>
        <v>10.1744</v>
      </c>
      <c r="C195" s="17">
        <f>CHOOSE(CONTROL!$C$42, 10.1794, 10.1794) * CHOOSE(CONTROL!$C$21, $C$9, 100%, $E$9)</f>
        <v>10.179399999999999</v>
      </c>
      <c r="D195" s="17">
        <f>CHOOSE(CONTROL!$C$42, 10.2979, 10.2979) * CHOOSE(CONTROL!$C$21, $C$9, 100%, $E$9)</f>
        <v>10.2979</v>
      </c>
      <c r="E195" s="17">
        <f>CHOOSE(CONTROL!$C$42, 10.332, 10.332) * CHOOSE(CONTROL!$C$21, $C$9, 100%, $E$9)</f>
        <v>10.332000000000001</v>
      </c>
      <c r="F195" s="17">
        <f>CHOOSE(CONTROL!$C$42, 10.1941, 10.1941)*CHOOSE(CONTROL!$C$21, $C$9, 100%, $E$9)</f>
        <v>10.194100000000001</v>
      </c>
      <c r="G195" s="17">
        <f>CHOOSE(CONTROL!$C$42, 10.2107, 10.2107)*CHOOSE(CONTROL!$C$21, $C$9, 100%, $E$9)</f>
        <v>10.210699999999999</v>
      </c>
      <c r="H195" s="17">
        <f>CHOOSE(CONTROL!$C$42, 10.3212, 10.3212) * CHOOSE(CONTROL!$C$21, $C$9, 100%, $E$9)</f>
        <v>10.321199999999999</v>
      </c>
      <c r="I195" s="17">
        <f>CHOOSE(CONTROL!$C$42, 10.2298, 10.2298)* CHOOSE(CONTROL!$C$21, $C$9, 100%, $E$9)</f>
        <v>10.229799999999999</v>
      </c>
      <c r="J195" s="17">
        <f>CHOOSE(CONTROL!$C$42, 10.1871, 10.1871)* CHOOSE(CONTROL!$C$21, $C$9, 100%, $E$9)</f>
        <v>10.187099999999999</v>
      </c>
      <c r="K195" s="52">
        <f>CHOOSE(CONTROL!$C$42, 10.2256, 10.2256) * CHOOSE(CONTROL!$C$21, $C$9, 100%, $E$9)</f>
        <v>10.2256</v>
      </c>
      <c r="L195" s="17">
        <f>CHOOSE(CONTROL!$C$42, 10.9082, 10.9082) * CHOOSE(CONTROL!$C$21, $C$9, 100%, $E$9)</f>
        <v>10.908200000000001</v>
      </c>
      <c r="M195" s="17">
        <f>CHOOSE(CONTROL!$C$42, 10.0115, 10.0115) * CHOOSE(CONTROL!$C$21, $C$9, 100%, $E$9)</f>
        <v>10.0115</v>
      </c>
      <c r="N195" s="17">
        <f>CHOOSE(CONTROL!$C$42, 10.0279, 10.0279) * CHOOSE(CONTROL!$C$21, $C$9, 100%, $E$9)</f>
        <v>10.027900000000001</v>
      </c>
      <c r="O195" s="17">
        <f>CHOOSE(CONTROL!$C$42, 10.1432, 10.1432) * CHOOSE(CONTROL!$C$21, $C$9, 100%, $E$9)</f>
        <v>10.1432</v>
      </c>
      <c r="P195" s="17">
        <f>CHOOSE(CONTROL!$C$42, 10.053, 10.053) * CHOOSE(CONTROL!$C$21, $C$9, 100%, $E$9)</f>
        <v>10.053000000000001</v>
      </c>
      <c r="Q195" s="17">
        <f>CHOOSE(CONTROL!$C$42, 10.7379, 10.7379) * CHOOSE(CONTROL!$C$21, $C$9, 100%, $E$9)</f>
        <v>10.7379</v>
      </c>
      <c r="R195" s="17">
        <f>CHOOSE(CONTROL!$C$42, 11.3518, 11.3518) * CHOOSE(CONTROL!$C$21, $C$9, 100%, $E$9)</f>
        <v>11.351800000000001</v>
      </c>
      <c r="S195" s="17">
        <f>CHOOSE(CONTROL!$C$42, 9.768, 9.768) * CHOOSE(CONTROL!$C$21, $C$9, 100%, $E$9)</f>
        <v>9.7680000000000007</v>
      </c>
      <c r="T19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95" s="56">
        <f>(1000*CHOOSE(CONTROL!$C$42, 695, 695)*CHOOSE(CONTROL!$C$42, 0.5599, 0.5599)*CHOOSE(CONTROL!$C$42, 31, 31))/1000000</f>
        <v>12.063045499999998</v>
      </c>
      <c r="V195" s="56">
        <f>(1000*CHOOSE(CONTROL!$C$42, 500, 500)*CHOOSE(CONTROL!$C$42, 0.275, 0.275)*CHOOSE(CONTROL!$C$42, 31, 31))/1000000</f>
        <v>4.2625000000000002</v>
      </c>
      <c r="W195" s="56">
        <f>(1000*CHOOSE(CONTROL!$C$42, 0.1146, 0.1146)*CHOOSE(CONTROL!$C$42, 121.5, 121.5)*CHOOSE(CONTROL!$C$42, 31, 31))/1000000</f>
        <v>0.43164089999999994</v>
      </c>
      <c r="X195" s="56">
        <f>(31*0.2374*100000/1000000)</f>
        <v>0.73594000000000004</v>
      </c>
      <c r="Y195" s="56"/>
      <c r="Z195" s="17"/>
      <c r="AA195" s="55"/>
      <c r="AB195" s="48">
        <f>(B195*122.58+C195*297.941+D195*89.177+E195*140.302+F195*40+G195*60+H195*0+I195*100+J195*300)/(122.58+297.941+89.177+140.302+0+40+60+100+300)</f>
        <v>10.215209269304346</v>
      </c>
      <c r="AC195" s="45">
        <f>(M195*'RAP TEMPLATE-GAS AVAILABILITY'!O194+N195*'RAP TEMPLATE-GAS AVAILABILITY'!P194+O195*'RAP TEMPLATE-GAS AVAILABILITY'!Q194+P195*'RAP TEMPLATE-GAS AVAILABILITY'!R194)/('RAP TEMPLATE-GAS AVAILABILITY'!O194+'RAP TEMPLATE-GAS AVAILABILITY'!P194+'RAP TEMPLATE-GAS AVAILABILITY'!Q194+'RAP TEMPLATE-GAS AVAILABILITY'!R194)</f>
        <v>10.078106474820144</v>
      </c>
    </row>
    <row r="196" spans="1:29" ht="15.75" x14ac:dyDescent="0.25">
      <c r="A196" s="16">
        <v>46844</v>
      </c>
      <c r="B196" s="17">
        <f>CHOOSE(CONTROL!$C$42, 10.1658, 10.1658) * CHOOSE(CONTROL!$C$21, $C$9, 100%, $E$9)</f>
        <v>10.165800000000001</v>
      </c>
      <c r="C196" s="17">
        <f>CHOOSE(CONTROL!$C$42, 10.1703, 10.1703) * CHOOSE(CONTROL!$C$21, $C$9, 100%, $E$9)</f>
        <v>10.170299999999999</v>
      </c>
      <c r="D196" s="17">
        <f>CHOOSE(CONTROL!$C$42, 10.4445, 10.4445) * CHOOSE(CONTROL!$C$21, $C$9, 100%, $E$9)</f>
        <v>10.4445</v>
      </c>
      <c r="E196" s="17">
        <f>CHOOSE(CONTROL!$C$42, 10.4766, 10.4766) * CHOOSE(CONTROL!$C$21, $C$9, 100%, $E$9)</f>
        <v>10.476599999999999</v>
      </c>
      <c r="F196" s="17">
        <f>CHOOSE(CONTROL!$C$42, 10.1851, 10.1851)*CHOOSE(CONTROL!$C$21, $C$9, 100%, $E$9)</f>
        <v>10.1851</v>
      </c>
      <c r="G196" s="17">
        <f>CHOOSE(CONTROL!$C$42, 10.2014, 10.2014)*CHOOSE(CONTROL!$C$21, $C$9, 100%, $E$9)</f>
        <v>10.2014</v>
      </c>
      <c r="H196" s="17">
        <f>CHOOSE(CONTROL!$C$42, 10.4664, 10.4664) * CHOOSE(CONTROL!$C$21, $C$9, 100%, $E$9)</f>
        <v>10.4664</v>
      </c>
      <c r="I196" s="17">
        <f>CHOOSE(CONTROL!$C$42, 10.2189, 10.2189)* CHOOSE(CONTROL!$C$21, $C$9, 100%, $E$9)</f>
        <v>10.2189</v>
      </c>
      <c r="J196" s="17">
        <f>CHOOSE(CONTROL!$C$42, 10.1781, 10.1781)* CHOOSE(CONTROL!$C$21, $C$9, 100%, $E$9)</f>
        <v>10.178100000000001</v>
      </c>
      <c r="K196" s="52">
        <f>CHOOSE(CONTROL!$C$42, 10.2147, 10.2147) * CHOOSE(CONTROL!$C$21, $C$9, 100%, $E$9)</f>
        <v>10.214700000000001</v>
      </c>
      <c r="L196" s="17">
        <f>CHOOSE(CONTROL!$C$42, 11.0534, 11.0534) * CHOOSE(CONTROL!$C$21, $C$9, 100%, $E$9)</f>
        <v>11.0534</v>
      </c>
      <c r="M196" s="17">
        <f>CHOOSE(CONTROL!$C$42, 10.0027, 10.0027) * CHOOSE(CONTROL!$C$21, $C$9, 100%, $E$9)</f>
        <v>10.002700000000001</v>
      </c>
      <c r="N196" s="17">
        <f>CHOOSE(CONTROL!$C$42, 10.0188, 10.0188) * CHOOSE(CONTROL!$C$21, $C$9, 100%, $E$9)</f>
        <v>10.018800000000001</v>
      </c>
      <c r="O196" s="17">
        <f>CHOOSE(CONTROL!$C$42, 10.2858, 10.2858) * CHOOSE(CONTROL!$C$21, $C$9, 100%, $E$9)</f>
        <v>10.2858</v>
      </c>
      <c r="P196" s="17">
        <f>CHOOSE(CONTROL!$C$42, 10.0423, 10.0423) * CHOOSE(CONTROL!$C$21, $C$9, 100%, $E$9)</f>
        <v>10.042299999999999</v>
      </c>
      <c r="Q196" s="17">
        <f>CHOOSE(CONTROL!$C$42, 10.8805, 10.8805) * CHOOSE(CONTROL!$C$21, $C$9, 100%, $E$9)</f>
        <v>10.8805</v>
      </c>
      <c r="R196" s="17">
        <f>CHOOSE(CONTROL!$C$42, 11.4947, 11.4947) * CHOOSE(CONTROL!$C$21, $C$9, 100%, $E$9)</f>
        <v>11.4947</v>
      </c>
      <c r="S196" s="17">
        <f>CHOOSE(CONTROL!$C$42, 9.759, 9.759) * CHOOSE(CONTROL!$C$21, $C$9, 100%, $E$9)</f>
        <v>9.7590000000000003</v>
      </c>
      <c r="T19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96" s="56">
        <f>(1000*CHOOSE(CONTROL!$C$42, 695, 695)*CHOOSE(CONTROL!$C$42, 0.5599, 0.5599)*CHOOSE(CONTROL!$C$42, 30, 30))/1000000</f>
        <v>11.673914999999997</v>
      </c>
      <c r="V196" s="56">
        <f>(1000*CHOOSE(CONTROL!$C$42, 500, 500)*CHOOSE(CONTROL!$C$42, 0.275, 0.275)*CHOOSE(CONTROL!$C$42, 30, 30))/1000000</f>
        <v>4.125</v>
      </c>
      <c r="W196" s="56">
        <f>(1000*CHOOSE(CONTROL!$C$42, 0.1146, 0.1146)*CHOOSE(CONTROL!$C$42, 121.5, 121.5)*CHOOSE(CONTROL!$C$42, 30, 30))/1000000</f>
        <v>0.417717</v>
      </c>
      <c r="X196" s="56">
        <f>(30*0.1790888*145000/1000000)+(30*0.2374*100000/1000000)</f>
        <v>1.4912362799999999</v>
      </c>
      <c r="Y196" s="56"/>
      <c r="Z196" s="17"/>
      <c r="AA196" s="55"/>
      <c r="AB196" s="48">
        <f>(B196*141.293+C196*267.993+D196*115.016+E196*189.698+F196*40+G196*85+H196*0+I196*100+J196*300)/(141.293+267.993+115.016+189.698+0+40+85+100+300)</f>
        <v>10.250559536803873</v>
      </c>
      <c r="AC196" s="45">
        <f>(M196*'RAP TEMPLATE-GAS AVAILABILITY'!O195+N196*'RAP TEMPLATE-GAS AVAILABILITY'!P195+O196*'RAP TEMPLATE-GAS AVAILABILITY'!Q195+P196*'RAP TEMPLATE-GAS AVAILABILITY'!R195)/('RAP TEMPLATE-GAS AVAILABILITY'!O195+'RAP TEMPLATE-GAS AVAILABILITY'!P195+'RAP TEMPLATE-GAS AVAILABILITY'!Q195+'RAP TEMPLATE-GAS AVAILABILITY'!R195)</f>
        <v>10.091535251798559</v>
      </c>
    </row>
    <row r="197" spans="1:29" ht="15.75" x14ac:dyDescent="0.25">
      <c r="A197" s="16">
        <v>46874</v>
      </c>
      <c r="B197" s="17">
        <f>CHOOSE(CONTROL!$C$42, 10.2779, 10.2779) * CHOOSE(CONTROL!$C$21, $C$9, 100%, $E$9)</f>
        <v>10.277900000000001</v>
      </c>
      <c r="C197" s="17">
        <f>CHOOSE(CONTROL!$C$42, 10.286, 10.286) * CHOOSE(CONTROL!$C$21, $C$9, 100%, $E$9)</f>
        <v>10.286</v>
      </c>
      <c r="D197" s="17">
        <f>CHOOSE(CONTROL!$C$42, 10.557, 10.557) * CHOOSE(CONTROL!$C$21, $C$9, 100%, $E$9)</f>
        <v>10.557</v>
      </c>
      <c r="E197" s="17">
        <f>CHOOSE(CONTROL!$C$42, 10.5885, 10.5885) * CHOOSE(CONTROL!$C$21, $C$9, 100%, $E$9)</f>
        <v>10.5885</v>
      </c>
      <c r="F197" s="17">
        <f>CHOOSE(CONTROL!$C$42, 10.2961, 10.2961)*CHOOSE(CONTROL!$C$21, $C$9, 100%, $E$9)</f>
        <v>10.296099999999999</v>
      </c>
      <c r="G197" s="17">
        <f>CHOOSE(CONTROL!$C$42, 10.3127, 10.3127)*CHOOSE(CONTROL!$C$21, $C$9, 100%, $E$9)</f>
        <v>10.3127</v>
      </c>
      <c r="H197" s="17">
        <f>CHOOSE(CONTROL!$C$42, 10.5771, 10.5771) * CHOOSE(CONTROL!$C$21, $C$9, 100%, $E$9)</f>
        <v>10.5771</v>
      </c>
      <c r="I197" s="17">
        <f>CHOOSE(CONTROL!$C$42, 10.33, 10.33)* CHOOSE(CONTROL!$C$21, $C$9, 100%, $E$9)</f>
        <v>10.33</v>
      </c>
      <c r="J197" s="17">
        <f>CHOOSE(CONTROL!$C$42, 10.2891, 10.2891)* CHOOSE(CONTROL!$C$21, $C$9, 100%, $E$9)</f>
        <v>10.289099999999999</v>
      </c>
      <c r="K197" s="52">
        <f>CHOOSE(CONTROL!$C$42, 10.3258, 10.3258) * CHOOSE(CONTROL!$C$21, $C$9, 100%, $E$9)</f>
        <v>10.325799999999999</v>
      </c>
      <c r="L197" s="17">
        <f>CHOOSE(CONTROL!$C$42, 11.1641, 11.1641) * CHOOSE(CONTROL!$C$21, $C$9, 100%, $E$9)</f>
        <v>11.164099999999999</v>
      </c>
      <c r="M197" s="17">
        <f>CHOOSE(CONTROL!$C$42, 10.1117, 10.1117) * CHOOSE(CONTROL!$C$21, $C$9, 100%, $E$9)</f>
        <v>10.111700000000001</v>
      </c>
      <c r="N197" s="17">
        <f>CHOOSE(CONTROL!$C$42, 10.128, 10.128) * CHOOSE(CONTROL!$C$21, $C$9, 100%, $E$9)</f>
        <v>10.128</v>
      </c>
      <c r="O197" s="17">
        <f>CHOOSE(CONTROL!$C$42, 10.3946, 10.3946) * CHOOSE(CONTROL!$C$21, $C$9, 100%, $E$9)</f>
        <v>10.394600000000001</v>
      </c>
      <c r="P197" s="17">
        <f>CHOOSE(CONTROL!$C$42, 10.1514, 10.1514) * CHOOSE(CONTROL!$C$21, $C$9, 100%, $E$9)</f>
        <v>10.151400000000001</v>
      </c>
      <c r="Q197" s="17">
        <f>CHOOSE(CONTROL!$C$42, 10.9893, 10.9893) * CHOOSE(CONTROL!$C$21, $C$9, 100%, $E$9)</f>
        <v>10.9893</v>
      </c>
      <c r="R197" s="17">
        <f>CHOOSE(CONTROL!$C$42, 11.6037, 11.6037) * CHOOSE(CONTROL!$C$21, $C$9, 100%, $E$9)</f>
        <v>11.6037</v>
      </c>
      <c r="S197" s="17">
        <f>CHOOSE(CONTROL!$C$42, 9.8654, 9.8654) * CHOOSE(CONTROL!$C$21, $C$9, 100%, $E$9)</f>
        <v>9.8653999999999993</v>
      </c>
      <c r="T19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97" s="56">
        <f>(1000*CHOOSE(CONTROL!$C$42, 695, 695)*CHOOSE(CONTROL!$C$42, 0.5599, 0.5599)*CHOOSE(CONTROL!$C$42, 31, 31))/1000000</f>
        <v>12.063045499999998</v>
      </c>
      <c r="V197" s="56">
        <f>(1000*CHOOSE(CONTROL!$C$42, 500, 500)*CHOOSE(CONTROL!$C$42, 0.275, 0.275)*CHOOSE(CONTROL!$C$42, 31, 31))/1000000</f>
        <v>4.2625000000000002</v>
      </c>
      <c r="W197" s="56">
        <f>(1000*CHOOSE(CONTROL!$C$42, 0.1146, 0.1146)*CHOOSE(CONTROL!$C$42, 121.5, 121.5)*CHOOSE(CONTROL!$C$42, 31, 31))/1000000</f>
        <v>0.43164089999999994</v>
      </c>
      <c r="X197" s="56">
        <f>(31*0.1790888*145000/1000000)+(31*0.2374*100000/1000000)</f>
        <v>1.5409441560000001</v>
      </c>
      <c r="Y197" s="56"/>
      <c r="Z197" s="17"/>
      <c r="AA197" s="55"/>
      <c r="AB197" s="48">
        <f>(B197*194.205+C197*267.466+D197*133.845+E197*153.484+F197*40+G197*85+H197*0+I197*100+J197*300)/(194.205+267.466+133.845+153.484+0+40+85+100+300)</f>
        <v>10.355961808869701</v>
      </c>
      <c r="AC197" s="45">
        <f>(M197*'RAP TEMPLATE-GAS AVAILABILITY'!O196+N197*'RAP TEMPLATE-GAS AVAILABILITY'!P196+O197*'RAP TEMPLATE-GAS AVAILABILITY'!Q196+P197*'RAP TEMPLATE-GAS AVAILABILITY'!R196)/('RAP TEMPLATE-GAS AVAILABILITY'!O196+'RAP TEMPLATE-GAS AVAILABILITY'!P196+'RAP TEMPLATE-GAS AVAILABILITY'!Q196+'RAP TEMPLATE-GAS AVAILABILITY'!R196)</f>
        <v>10.200539568345325</v>
      </c>
    </row>
    <row r="198" spans="1:29" ht="15.75" x14ac:dyDescent="0.25">
      <c r="A198" s="16">
        <v>46905</v>
      </c>
      <c r="B198" s="17">
        <f>CHOOSE(CONTROL!$C$42, 10.5909, 10.5909) * CHOOSE(CONTROL!$C$21, $C$9, 100%, $E$9)</f>
        <v>10.5909</v>
      </c>
      <c r="C198" s="17">
        <f>CHOOSE(CONTROL!$C$42, 10.5989, 10.5989) * CHOOSE(CONTROL!$C$21, $C$9, 100%, $E$9)</f>
        <v>10.5989</v>
      </c>
      <c r="D198" s="17">
        <f>CHOOSE(CONTROL!$C$42, 10.87, 10.87) * CHOOSE(CONTROL!$C$21, $C$9, 100%, $E$9)</f>
        <v>10.87</v>
      </c>
      <c r="E198" s="17">
        <f>CHOOSE(CONTROL!$C$42, 10.9014, 10.9014) * CHOOSE(CONTROL!$C$21, $C$9, 100%, $E$9)</f>
        <v>10.901400000000001</v>
      </c>
      <c r="F198" s="17">
        <f>CHOOSE(CONTROL!$C$42, 10.6093, 10.6093)*CHOOSE(CONTROL!$C$21, $C$9, 100%, $E$9)</f>
        <v>10.609299999999999</v>
      </c>
      <c r="G198" s="17">
        <f>CHOOSE(CONTROL!$C$42, 10.626, 10.626)*CHOOSE(CONTROL!$C$21, $C$9, 100%, $E$9)</f>
        <v>10.625999999999999</v>
      </c>
      <c r="H198" s="17">
        <f>CHOOSE(CONTROL!$C$42, 10.8901, 10.8901) * CHOOSE(CONTROL!$C$21, $C$9, 100%, $E$9)</f>
        <v>10.8901</v>
      </c>
      <c r="I198" s="17">
        <f>CHOOSE(CONTROL!$C$42, 10.6439, 10.6439)* CHOOSE(CONTROL!$C$21, $C$9, 100%, $E$9)</f>
        <v>10.6439</v>
      </c>
      <c r="J198" s="17">
        <f>CHOOSE(CONTROL!$C$42, 10.6023, 10.6023)* CHOOSE(CONTROL!$C$21, $C$9, 100%, $E$9)</f>
        <v>10.6023</v>
      </c>
      <c r="K198" s="52">
        <f>CHOOSE(CONTROL!$C$42, 10.6397, 10.6397) * CHOOSE(CONTROL!$C$21, $C$9, 100%, $E$9)</f>
        <v>10.639699999999999</v>
      </c>
      <c r="L198" s="17">
        <f>CHOOSE(CONTROL!$C$42, 11.4771, 11.4771) * CHOOSE(CONTROL!$C$21, $C$9, 100%, $E$9)</f>
        <v>11.4771</v>
      </c>
      <c r="M198" s="17">
        <f>CHOOSE(CONTROL!$C$42, 10.4193, 10.4193) * CHOOSE(CONTROL!$C$21, $C$9, 100%, $E$9)</f>
        <v>10.4193</v>
      </c>
      <c r="N198" s="17">
        <f>CHOOSE(CONTROL!$C$42, 10.4357, 10.4357) * CHOOSE(CONTROL!$C$21, $C$9, 100%, $E$9)</f>
        <v>10.435700000000001</v>
      </c>
      <c r="O198" s="17">
        <f>CHOOSE(CONTROL!$C$42, 10.7019, 10.7019) * CHOOSE(CONTROL!$C$21, $C$9, 100%, $E$9)</f>
        <v>10.7019</v>
      </c>
      <c r="P198" s="17">
        <f>CHOOSE(CONTROL!$C$42, 10.4596, 10.4596) * CHOOSE(CONTROL!$C$21, $C$9, 100%, $E$9)</f>
        <v>10.4596</v>
      </c>
      <c r="Q198" s="17">
        <f>CHOOSE(CONTROL!$C$42, 11.2966, 11.2966) * CHOOSE(CONTROL!$C$21, $C$9, 100%, $E$9)</f>
        <v>11.2966</v>
      </c>
      <c r="R198" s="17">
        <f>CHOOSE(CONTROL!$C$42, 11.9118, 11.9118) * CHOOSE(CONTROL!$C$21, $C$9, 100%, $E$9)</f>
        <v>11.911799999999999</v>
      </c>
      <c r="S198" s="17">
        <f>CHOOSE(CONTROL!$C$42, 10.1661, 10.1661) * CHOOSE(CONTROL!$C$21, $C$9, 100%, $E$9)</f>
        <v>10.1661</v>
      </c>
      <c r="T19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98" s="56">
        <f>(1000*CHOOSE(CONTROL!$C$42, 695, 695)*CHOOSE(CONTROL!$C$42, 0.5599, 0.5599)*CHOOSE(CONTROL!$C$42, 30, 30))/1000000</f>
        <v>11.673914999999997</v>
      </c>
      <c r="V198" s="56">
        <f>(1000*CHOOSE(CONTROL!$C$42, 500, 500)*CHOOSE(CONTROL!$C$42, 0.275, 0.275)*CHOOSE(CONTROL!$C$42, 30, 30))/1000000</f>
        <v>4.125</v>
      </c>
      <c r="W198" s="56">
        <f>(1000*CHOOSE(CONTROL!$C$42, 0.1146, 0.1146)*CHOOSE(CONTROL!$C$42, 121.5, 121.5)*CHOOSE(CONTROL!$C$42, 30, 30))/1000000</f>
        <v>0.417717</v>
      </c>
      <c r="X198" s="56">
        <f>(30*0.1790888*145000/1000000)+(30*0.2374*100000/1000000)</f>
        <v>1.4912362799999999</v>
      </c>
      <c r="Y198" s="56"/>
      <c r="Z198" s="17"/>
      <c r="AA198" s="55"/>
      <c r="AB198" s="48">
        <f>(B198*194.205+C198*267.466+D198*133.845+E198*153.484+F198*40+G198*85+H198*0+I198*100+J198*300)/(194.205+267.466+133.845+153.484+0+40+85+100+300)</f>
        <v>10.669072801805338</v>
      </c>
      <c r="AC198" s="45">
        <f>(M198*'RAP TEMPLATE-GAS AVAILABILITY'!O197+N198*'RAP TEMPLATE-GAS AVAILABILITY'!P197+O198*'RAP TEMPLATE-GAS AVAILABILITY'!Q197+P198*'RAP TEMPLATE-GAS AVAILABILITY'!R197)/('RAP TEMPLATE-GAS AVAILABILITY'!O197+'RAP TEMPLATE-GAS AVAILABILITY'!P197+'RAP TEMPLATE-GAS AVAILABILITY'!Q197+'RAP TEMPLATE-GAS AVAILABILITY'!R197)</f>
        <v>10.508164748201439</v>
      </c>
    </row>
    <row r="199" spans="1:29" ht="15.75" x14ac:dyDescent="0.25">
      <c r="A199" s="16">
        <v>46935</v>
      </c>
      <c r="B199" s="17">
        <f>CHOOSE(CONTROL!$C$42, 10.4093, 10.4093) * CHOOSE(CONTROL!$C$21, $C$9, 100%, $E$9)</f>
        <v>10.4093</v>
      </c>
      <c r="C199" s="17">
        <f>CHOOSE(CONTROL!$C$42, 10.4173, 10.4173) * CHOOSE(CONTROL!$C$21, $C$9, 100%, $E$9)</f>
        <v>10.417299999999999</v>
      </c>
      <c r="D199" s="17">
        <f>CHOOSE(CONTROL!$C$42, 10.6884, 10.6884) * CHOOSE(CONTROL!$C$21, $C$9, 100%, $E$9)</f>
        <v>10.6884</v>
      </c>
      <c r="E199" s="17">
        <f>CHOOSE(CONTROL!$C$42, 10.7199, 10.7199) * CHOOSE(CONTROL!$C$21, $C$9, 100%, $E$9)</f>
        <v>10.719900000000001</v>
      </c>
      <c r="F199" s="17">
        <f>CHOOSE(CONTROL!$C$42, 10.4282, 10.4282)*CHOOSE(CONTROL!$C$21, $C$9, 100%, $E$9)</f>
        <v>10.4282</v>
      </c>
      <c r="G199" s="17">
        <f>CHOOSE(CONTROL!$C$42, 10.445, 10.445)*CHOOSE(CONTROL!$C$21, $C$9, 100%, $E$9)</f>
        <v>10.445</v>
      </c>
      <c r="H199" s="17">
        <f>CHOOSE(CONTROL!$C$42, 10.7085, 10.7085) * CHOOSE(CONTROL!$C$21, $C$9, 100%, $E$9)</f>
        <v>10.708500000000001</v>
      </c>
      <c r="I199" s="17">
        <f>CHOOSE(CONTROL!$C$42, 10.4618, 10.4618)* CHOOSE(CONTROL!$C$21, $C$9, 100%, $E$9)</f>
        <v>10.4618</v>
      </c>
      <c r="J199" s="17">
        <f>CHOOSE(CONTROL!$C$42, 10.4212, 10.4212)* CHOOSE(CONTROL!$C$21, $C$9, 100%, $E$9)</f>
        <v>10.421200000000001</v>
      </c>
      <c r="K199" s="52">
        <f>CHOOSE(CONTROL!$C$42, 10.4575, 10.4575) * CHOOSE(CONTROL!$C$21, $C$9, 100%, $E$9)</f>
        <v>10.4575</v>
      </c>
      <c r="L199" s="17">
        <f>CHOOSE(CONTROL!$C$42, 11.2955, 11.2955) * CHOOSE(CONTROL!$C$21, $C$9, 100%, $E$9)</f>
        <v>11.295500000000001</v>
      </c>
      <c r="M199" s="17">
        <f>CHOOSE(CONTROL!$C$42, 10.2414, 10.2414) * CHOOSE(CONTROL!$C$21, $C$9, 100%, $E$9)</f>
        <v>10.241400000000001</v>
      </c>
      <c r="N199" s="17">
        <f>CHOOSE(CONTROL!$C$42, 10.2579, 10.2579) * CHOOSE(CONTROL!$C$21, $C$9, 100%, $E$9)</f>
        <v>10.257899999999999</v>
      </c>
      <c r="O199" s="17">
        <f>CHOOSE(CONTROL!$C$42, 10.5236, 10.5236) * CHOOSE(CONTROL!$C$21, $C$9, 100%, $E$9)</f>
        <v>10.5236</v>
      </c>
      <c r="P199" s="17">
        <f>CHOOSE(CONTROL!$C$42, 10.2808, 10.2808) * CHOOSE(CONTROL!$C$21, $C$9, 100%, $E$9)</f>
        <v>10.280799999999999</v>
      </c>
      <c r="Q199" s="17">
        <f>CHOOSE(CONTROL!$C$42, 11.1183, 11.1183) * CHOOSE(CONTROL!$C$21, $C$9, 100%, $E$9)</f>
        <v>11.1183</v>
      </c>
      <c r="R199" s="17">
        <f>CHOOSE(CONTROL!$C$42, 11.7331, 11.7331) * CHOOSE(CONTROL!$C$21, $C$9, 100%, $E$9)</f>
        <v>11.7331</v>
      </c>
      <c r="S199" s="17">
        <f>CHOOSE(CONTROL!$C$42, 9.9917, 9.9917) * CHOOSE(CONTROL!$C$21, $C$9, 100%, $E$9)</f>
        <v>9.9916999999999998</v>
      </c>
      <c r="T19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99" s="56">
        <f>(1000*CHOOSE(CONTROL!$C$42, 695, 695)*CHOOSE(CONTROL!$C$42, 0.5599, 0.5599)*CHOOSE(CONTROL!$C$42, 31, 31))/1000000</f>
        <v>12.063045499999998</v>
      </c>
      <c r="V199" s="56">
        <f>(1000*CHOOSE(CONTROL!$C$42, 500, 500)*CHOOSE(CONTROL!$C$42, 0.275, 0.275)*CHOOSE(CONTROL!$C$42, 31, 31))/1000000</f>
        <v>4.2625000000000002</v>
      </c>
      <c r="W199" s="56">
        <f>(1000*CHOOSE(CONTROL!$C$42, 0.1146, 0.1146)*CHOOSE(CONTROL!$C$42, 121.5, 121.5)*CHOOSE(CONTROL!$C$42, 31, 31))/1000000</f>
        <v>0.43164089999999994</v>
      </c>
      <c r="X199" s="56">
        <f>(31*0.1790888*145000/1000000)+(31*0.2374*100000/1000000)</f>
        <v>1.5409441560000001</v>
      </c>
      <c r="Y199" s="56"/>
      <c r="Z199" s="17"/>
      <c r="AA199" s="55"/>
      <c r="AB199" s="48">
        <f>(B199*194.205+C199*267.466+D199*133.845+E199*153.484+F199*40+G199*85+H199*0+I199*100+J199*300)/(194.205+267.466+133.845+153.484+0+40+85+100+300)</f>
        <v>10.48761907213501</v>
      </c>
      <c r="AC199" s="45">
        <f>(M199*'RAP TEMPLATE-GAS AVAILABILITY'!O198+N199*'RAP TEMPLATE-GAS AVAILABILITY'!P198+O199*'RAP TEMPLATE-GAS AVAILABILITY'!Q198+P199*'RAP TEMPLATE-GAS AVAILABILITY'!R198)/('RAP TEMPLATE-GAS AVAILABILITY'!O198+'RAP TEMPLATE-GAS AVAILABILITY'!P198+'RAP TEMPLATE-GAS AVAILABILITY'!Q198+'RAP TEMPLATE-GAS AVAILABILITY'!R198)</f>
        <v>10.330046043165467</v>
      </c>
    </row>
    <row r="200" spans="1:29" ht="15.75" x14ac:dyDescent="0.25">
      <c r="A200" s="16">
        <v>46966</v>
      </c>
      <c r="B200" s="17">
        <f>CHOOSE(CONTROL!$C$42, 9.9161, 9.9161) * CHOOSE(CONTROL!$C$21, $C$9, 100%, $E$9)</f>
        <v>9.9161000000000001</v>
      </c>
      <c r="C200" s="17">
        <f>CHOOSE(CONTROL!$C$42, 9.9241, 9.9241) * CHOOSE(CONTROL!$C$21, $C$9, 100%, $E$9)</f>
        <v>9.9240999999999993</v>
      </c>
      <c r="D200" s="17">
        <f>CHOOSE(CONTROL!$C$42, 10.1952, 10.1952) * CHOOSE(CONTROL!$C$21, $C$9, 100%, $E$9)</f>
        <v>10.1952</v>
      </c>
      <c r="E200" s="17">
        <f>CHOOSE(CONTROL!$C$42, 10.2266, 10.2266) * CHOOSE(CONTROL!$C$21, $C$9, 100%, $E$9)</f>
        <v>10.226599999999999</v>
      </c>
      <c r="F200" s="17">
        <f>CHOOSE(CONTROL!$C$42, 9.9352, 9.9352)*CHOOSE(CONTROL!$C$21, $C$9, 100%, $E$9)</f>
        <v>9.9352</v>
      </c>
      <c r="G200" s="17">
        <f>CHOOSE(CONTROL!$C$42, 9.9521, 9.9521)*CHOOSE(CONTROL!$C$21, $C$9, 100%, $E$9)</f>
        <v>9.9520999999999997</v>
      </c>
      <c r="H200" s="17">
        <f>CHOOSE(CONTROL!$C$42, 10.2153, 10.2153) * CHOOSE(CONTROL!$C$21, $C$9, 100%, $E$9)</f>
        <v>10.215299999999999</v>
      </c>
      <c r="I200" s="17">
        <f>CHOOSE(CONTROL!$C$42, 9.967, 9.967)* CHOOSE(CONTROL!$C$21, $C$9, 100%, $E$9)</f>
        <v>9.9670000000000005</v>
      </c>
      <c r="J200" s="17">
        <f>CHOOSE(CONTROL!$C$42, 9.9282, 9.9282)* CHOOSE(CONTROL!$C$21, $C$9, 100%, $E$9)</f>
        <v>9.9282000000000004</v>
      </c>
      <c r="K200" s="52">
        <f>CHOOSE(CONTROL!$C$42, 9.9628, 9.9628) * CHOOSE(CONTROL!$C$21, $C$9, 100%, $E$9)</f>
        <v>9.9627999999999997</v>
      </c>
      <c r="L200" s="17">
        <f>CHOOSE(CONTROL!$C$42, 10.8023, 10.8023) * CHOOSE(CONTROL!$C$21, $C$9, 100%, $E$9)</f>
        <v>10.802300000000001</v>
      </c>
      <c r="M200" s="17">
        <f>CHOOSE(CONTROL!$C$42, 9.7573, 9.7573) * CHOOSE(CONTROL!$C$21, $C$9, 100%, $E$9)</f>
        <v>9.7573000000000008</v>
      </c>
      <c r="N200" s="17">
        <f>CHOOSE(CONTROL!$C$42, 9.7739, 9.7739) * CHOOSE(CONTROL!$C$21, $C$9, 100%, $E$9)</f>
        <v>9.7738999999999994</v>
      </c>
      <c r="O200" s="17">
        <f>CHOOSE(CONTROL!$C$42, 10.0392, 10.0392) * CHOOSE(CONTROL!$C$21, $C$9, 100%, $E$9)</f>
        <v>10.039199999999999</v>
      </c>
      <c r="P200" s="17">
        <f>CHOOSE(CONTROL!$C$42, 9.7949, 9.7949) * CHOOSE(CONTROL!$C$21, $C$9, 100%, $E$9)</f>
        <v>9.7949000000000002</v>
      </c>
      <c r="Q200" s="17">
        <f>CHOOSE(CONTROL!$C$42, 10.6339, 10.6339) * CHOOSE(CONTROL!$C$21, $C$9, 100%, $E$9)</f>
        <v>10.633900000000001</v>
      </c>
      <c r="R200" s="17">
        <f>CHOOSE(CONTROL!$C$42, 11.2475, 11.2475) * CHOOSE(CONTROL!$C$21, $C$9, 100%, $E$9)</f>
        <v>11.2475</v>
      </c>
      <c r="S200" s="17">
        <f>CHOOSE(CONTROL!$C$42, 9.5177, 9.5177) * CHOOSE(CONTROL!$C$21, $C$9, 100%, $E$9)</f>
        <v>9.5176999999999996</v>
      </c>
      <c r="T20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00" s="56">
        <f>(1000*CHOOSE(CONTROL!$C$42, 695, 695)*CHOOSE(CONTROL!$C$42, 0.5599, 0.5599)*CHOOSE(CONTROL!$C$42, 31, 31))/1000000</f>
        <v>12.063045499999998</v>
      </c>
      <c r="V200" s="56">
        <f>(1000*CHOOSE(CONTROL!$C$42, 500, 500)*CHOOSE(CONTROL!$C$42, 0.275, 0.275)*CHOOSE(CONTROL!$C$42, 31, 31))/1000000</f>
        <v>4.2625000000000002</v>
      </c>
      <c r="W200" s="56">
        <f>(1000*CHOOSE(CONTROL!$C$42, 0.1146, 0.1146)*CHOOSE(CONTROL!$C$42, 121.5, 121.5)*CHOOSE(CONTROL!$C$42, 31, 31))/1000000</f>
        <v>0.43164089999999994</v>
      </c>
      <c r="X200" s="56">
        <f>(31*0.1790888*145000/1000000)+(31*0.2374*100000/1000000)</f>
        <v>1.5409441560000001</v>
      </c>
      <c r="Y200" s="56"/>
      <c r="Z200" s="17"/>
      <c r="AA200" s="55"/>
      <c r="AB200" s="48">
        <f>(B200*194.205+C200*267.466+D200*133.845+E200*153.484+F200*40+G200*85+H200*0+I200*100+J200*300)/(194.205+267.466+133.845+153.484+0+40+85+100+300)</f>
        <v>9.9943548269230771</v>
      </c>
      <c r="AC200" s="45">
        <f>(M200*'RAP TEMPLATE-GAS AVAILABILITY'!O199+N200*'RAP TEMPLATE-GAS AVAILABILITY'!P199+O200*'RAP TEMPLATE-GAS AVAILABILITY'!Q199+P200*'RAP TEMPLATE-GAS AVAILABILITY'!R199)/('RAP TEMPLATE-GAS AVAILABILITY'!O199+'RAP TEMPLATE-GAS AVAILABILITY'!P199+'RAP TEMPLATE-GAS AVAILABILITY'!Q199+'RAP TEMPLATE-GAS AVAILABILITY'!R199)</f>
        <v>9.8456258992805736</v>
      </c>
    </row>
    <row r="201" spans="1:29" ht="15.75" x14ac:dyDescent="0.25">
      <c r="A201" s="16">
        <v>46997</v>
      </c>
      <c r="B201" s="17">
        <f>CHOOSE(CONTROL!$C$42, 9.3062, 9.3062) * CHOOSE(CONTROL!$C$21, $C$9, 100%, $E$9)</f>
        <v>9.3062000000000005</v>
      </c>
      <c r="C201" s="17">
        <f>CHOOSE(CONTROL!$C$42, 9.3142, 9.3142) * CHOOSE(CONTROL!$C$21, $C$9, 100%, $E$9)</f>
        <v>9.3141999999999996</v>
      </c>
      <c r="D201" s="17">
        <f>CHOOSE(CONTROL!$C$42, 9.5853, 9.5853) * CHOOSE(CONTROL!$C$21, $C$9, 100%, $E$9)</f>
        <v>9.5853000000000002</v>
      </c>
      <c r="E201" s="17">
        <f>CHOOSE(CONTROL!$C$42, 9.6167, 9.6167) * CHOOSE(CONTROL!$C$21, $C$9, 100%, $E$9)</f>
        <v>9.6166999999999998</v>
      </c>
      <c r="F201" s="17">
        <f>CHOOSE(CONTROL!$C$42, 9.3254, 9.3254)*CHOOSE(CONTROL!$C$21, $C$9, 100%, $E$9)</f>
        <v>9.3254000000000001</v>
      </c>
      <c r="G201" s="17">
        <f>CHOOSE(CONTROL!$C$42, 9.3423, 9.3423)*CHOOSE(CONTROL!$C$21, $C$9, 100%, $E$9)</f>
        <v>9.3422999999999998</v>
      </c>
      <c r="H201" s="17">
        <f>CHOOSE(CONTROL!$C$42, 9.6054, 9.6054) * CHOOSE(CONTROL!$C$21, $C$9, 100%, $E$9)</f>
        <v>9.6053999999999995</v>
      </c>
      <c r="I201" s="17">
        <f>CHOOSE(CONTROL!$C$42, 9.3552, 9.3552)* CHOOSE(CONTROL!$C$21, $C$9, 100%, $E$9)</f>
        <v>9.3552</v>
      </c>
      <c r="J201" s="17">
        <f>CHOOSE(CONTROL!$C$42, 9.3184, 9.3184)* CHOOSE(CONTROL!$C$21, $C$9, 100%, $E$9)</f>
        <v>9.3184000000000005</v>
      </c>
      <c r="K201" s="52">
        <f>CHOOSE(CONTROL!$C$42, 9.351, 9.351) * CHOOSE(CONTROL!$C$21, $C$9, 100%, $E$9)</f>
        <v>9.3510000000000009</v>
      </c>
      <c r="L201" s="17">
        <f>CHOOSE(CONTROL!$C$42, 10.1924, 10.1924) * CHOOSE(CONTROL!$C$21, $C$9, 100%, $E$9)</f>
        <v>10.192399999999999</v>
      </c>
      <c r="M201" s="17">
        <f>CHOOSE(CONTROL!$C$42, 9.1584, 9.1584) * CHOOSE(CONTROL!$C$21, $C$9, 100%, $E$9)</f>
        <v>9.1584000000000003</v>
      </c>
      <c r="N201" s="17">
        <f>CHOOSE(CONTROL!$C$42, 9.175, 9.175) * CHOOSE(CONTROL!$C$21, $C$9, 100%, $E$9)</f>
        <v>9.1750000000000007</v>
      </c>
      <c r="O201" s="17">
        <f>CHOOSE(CONTROL!$C$42, 9.4403, 9.4403) * CHOOSE(CONTROL!$C$21, $C$9, 100%, $E$9)</f>
        <v>9.4403000000000006</v>
      </c>
      <c r="P201" s="17">
        <f>CHOOSE(CONTROL!$C$42, 9.1942, 9.1942) * CHOOSE(CONTROL!$C$21, $C$9, 100%, $E$9)</f>
        <v>9.1942000000000004</v>
      </c>
      <c r="Q201" s="17">
        <f>CHOOSE(CONTROL!$C$42, 10.035, 10.035) * CHOOSE(CONTROL!$C$21, $C$9, 100%, $E$9)</f>
        <v>10.035</v>
      </c>
      <c r="R201" s="17">
        <f>CHOOSE(CONTROL!$C$42, 10.6471, 10.6471) * CHOOSE(CONTROL!$C$21, $C$9, 100%, $E$9)</f>
        <v>10.6471</v>
      </c>
      <c r="S201" s="17">
        <f>CHOOSE(CONTROL!$C$42, 8.9317, 8.9317) * CHOOSE(CONTROL!$C$21, $C$9, 100%, $E$9)</f>
        <v>8.9316999999999993</v>
      </c>
      <c r="T20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01" s="56">
        <f>(1000*CHOOSE(CONTROL!$C$42, 695, 695)*CHOOSE(CONTROL!$C$42, 0.5599, 0.5599)*CHOOSE(CONTROL!$C$42, 30, 30))/1000000</f>
        <v>11.673914999999997</v>
      </c>
      <c r="V201" s="56">
        <f>(1000*CHOOSE(CONTROL!$C$42, 500, 500)*CHOOSE(CONTROL!$C$42, 0.275, 0.275)*CHOOSE(CONTROL!$C$42, 30, 30))/1000000</f>
        <v>4.125</v>
      </c>
      <c r="W201" s="56">
        <f>(1000*CHOOSE(CONTROL!$C$42, 0.1146, 0.1146)*CHOOSE(CONTROL!$C$42, 121.5, 121.5)*CHOOSE(CONTROL!$C$42, 30, 30))/1000000</f>
        <v>0.417717</v>
      </c>
      <c r="X201" s="56">
        <f>(30*0.1790888*145000/1000000)+(30*0.2374*100000/1000000)</f>
        <v>1.4912362799999999</v>
      </c>
      <c r="Y201" s="56"/>
      <c r="Z201" s="17"/>
      <c r="AA201" s="55"/>
      <c r="AB201" s="48">
        <f>(B201*194.205+C201*267.466+D201*133.845+E201*153.484+F201*40+G201*85+H201*0+I201*100+J201*300)/(194.205+267.466+133.845+153.484+0+40+85+100+300)</f>
        <v>9.3843390498430157</v>
      </c>
      <c r="AC201" s="45">
        <f>(M201*'RAP TEMPLATE-GAS AVAILABILITY'!O200+N201*'RAP TEMPLATE-GAS AVAILABILITY'!P200+O201*'RAP TEMPLATE-GAS AVAILABILITY'!Q200+P201*'RAP TEMPLATE-GAS AVAILABILITY'!R200)/('RAP TEMPLATE-GAS AVAILABILITY'!O200+'RAP TEMPLATE-GAS AVAILABILITY'!P200+'RAP TEMPLATE-GAS AVAILABILITY'!Q200+'RAP TEMPLATE-GAS AVAILABILITY'!R200)</f>
        <v>9.2464669064748204</v>
      </c>
    </row>
    <row r="202" spans="1:29" ht="15.75" x14ac:dyDescent="0.25">
      <c r="A202" s="16">
        <v>47027</v>
      </c>
      <c r="B202" s="17">
        <f>CHOOSE(CONTROL!$C$42, 9.1345, 9.1345) * CHOOSE(CONTROL!$C$21, $C$9, 100%, $E$9)</f>
        <v>9.1344999999999992</v>
      </c>
      <c r="C202" s="17">
        <f>CHOOSE(CONTROL!$C$42, 9.1398, 9.1398) * CHOOSE(CONTROL!$C$21, $C$9, 100%, $E$9)</f>
        <v>9.1397999999999993</v>
      </c>
      <c r="D202" s="17">
        <f>CHOOSE(CONTROL!$C$42, 9.4158, 9.4158) * CHOOSE(CONTROL!$C$21, $C$9, 100%, $E$9)</f>
        <v>9.4158000000000008</v>
      </c>
      <c r="E202" s="17">
        <f>CHOOSE(CONTROL!$C$42, 9.4449, 9.4449) * CHOOSE(CONTROL!$C$21, $C$9, 100%, $E$9)</f>
        <v>9.4449000000000005</v>
      </c>
      <c r="F202" s="17">
        <f>CHOOSE(CONTROL!$C$42, 9.1559, 9.1559)*CHOOSE(CONTROL!$C$21, $C$9, 100%, $E$9)</f>
        <v>9.1559000000000008</v>
      </c>
      <c r="G202" s="17">
        <f>CHOOSE(CONTROL!$C$42, 9.1727, 9.1727)*CHOOSE(CONTROL!$C$21, $C$9, 100%, $E$9)</f>
        <v>9.1727000000000007</v>
      </c>
      <c r="H202" s="17">
        <f>CHOOSE(CONTROL!$C$42, 9.4354, 9.4354) * CHOOSE(CONTROL!$C$21, $C$9, 100%, $E$9)</f>
        <v>9.4353999999999996</v>
      </c>
      <c r="I202" s="17">
        <f>CHOOSE(CONTROL!$C$42, 9.1847, 9.1847)* CHOOSE(CONTROL!$C$21, $C$9, 100%, $E$9)</f>
        <v>9.1846999999999994</v>
      </c>
      <c r="J202" s="17">
        <f>CHOOSE(CONTROL!$C$42, 9.1489, 9.1489)* CHOOSE(CONTROL!$C$21, $C$9, 100%, $E$9)</f>
        <v>9.1488999999999994</v>
      </c>
      <c r="K202" s="52">
        <f>CHOOSE(CONTROL!$C$42, 9.1805, 9.1805) * CHOOSE(CONTROL!$C$21, $C$9, 100%, $E$9)</f>
        <v>9.1805000000000003</v>
      </c>
      <c r="L202" s="17">
        <f>CHOOSE(CONTROL!$C$42, 10.0224, 10.0224) * CHOOSE(CONTROL!$C$21, $C$9, 100%, $E$9)</f>
        <v>10.022399999999999</v>
      </c>
      <c r="M202" s="17">
        <f>CHOOSE(CONTROL!$C$42, 8.992, 8.992) * CHOOSE(CONTROL!$C$21, $C$9, 100%, $E$9)</f>
        <v>8.9920000000000009</v>
      </c>
      <c r="N202" s="17">
        <f>CHOOSE(CONTROL!$C$42, 9.0085, 9.0085) * CHOOSE(CONTROL!$C$21, $C$9, 100%, $E$9)</f>
        <v>9.0084999999999997</v>
      </c>
      <c r="O202" s="17">
        <f>CHOOSE(CONTROL!$C$42, 9.2734, 9.2734) * CHOOSE(CONTROL!$C$21, $C$9, 100%, $E$9)</f>
        <v>9.2734000000000005</v>
      </c>
      <c r="P202" s="17">
        <f>CHOOSE(CONTROL!$C$42, 9.0267, 9.0267) * CHOOSE(CONTROL!$C$21, $C$9, 100%, $E$9)</f>
        <v>9.0266999999999999</v>
      </c>
      <c r="Q202" s="17">
        <f>CHOOSE(CONTROL!$C$42, 9.8681, 9.8681) * CHOOSE(CONTROL!$C$21, $C$9, 100%, $E$9)</f>
        <v>9.8681000000000001</v>
      </c>
      <c r="R202" s="17">
        <f>CHOOSE(CONTROL!$C$42, 10.4797, 10.4797) * CHOOSE(CONTROL!$C$21, $C$9, 100%, $E$9)</f>
        <v>10.479699999999999</v>
      </c>
      <c r="S202" s="17">
        <f>CHOOSE(CONTROL!$C$42, 8.7684, 8.7684) * CHOOSE(CONTROL!$C$21, $C$9, 100%, $E$9)</f>
        <v>8.7683999999999997</v>
      </c>
      <c r="T20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02" s="56">
        <f>(1000*CHOOSE(CONTROL!$C$42, 695, 695)*CHOOSE(CONTROL!$C$42, 0.5599, 0.5599)*CHOOSE(CONTROL!$C$42, 31, 31))/1000000</f>
        <v>12.063045499999998</v>
      </c>
      <c r="V202" s="56">
        <f>(1000*CHOOSE(CONTROL!$C$42, 500, 500)*CHOOSE(CONTROL!$C$42, 0.275, 0.275)*CHOOSE(CONTROL!$C$42, 31, 31))/1000000</f>
        <v>4.2625000000000002</v>
      </c>
      <c r="W202" s="56">
        <f>(1000*CHOOSE(CONTROL!$C$42, 0.1146, 0.1146)*CHOOSE(CONTROL!$C$42, 121.5, 121.5)*CHOOSE(CONTROL!$C$42, 31, 31))/1000000</f>
        <v>0.43164089999999994</v>
      </c>
      <c r="X202" s="56">
        <f>(31*0.1790888*145000/1000000)+(31*0.2374*100000/1000000)</f>
        <v>1.5409441560000001</v>
      </c>
      <c r="Y202" s="56"/>
      <c r="Z202" s="17"/>
      <c r="AA202" s="55"/>
      <c r="AB202" s="48">
        <f>(B202*131.881+C202*277.167+D202*79.08+E202*225.872+F202*40+G202*85+H202*0+I202*100+J202*300)/(131.881+277.167+79.08+225.872+0+40+85+100+300)</f>
        <v>9.2210761564971762</v>
      </c>
      <c r="AC202" s="45">
        <f>(M202*'RAP TEMPLATE-GAS AVAILABILITY'!O201+N202*'RAP TEMPLATE-GAS AVAILABILITY'!P201+O202*'RAP TEMPLATE-GAS AVAILABILITY'!Q201+P202*'RAP TEMPLATE-GAS AVAILABILITY'!R201)/('RAP TEMPLATE-GAS AVAILABILITY'!O201+'RAP TEMPLATE-GAS AVAILABILITY'!P201+'RAP TEMPLATE-GAS AVAILABILITY'!Q201+'RAP TEMPLATE-GAS AVAILABILITY'!R201)</f>
        <v>9.0797453237410082</v>
      </c>
    </row>
    <row r="203" spans="1:29" ht="15.75" x14ac:dyDescent="0.25">
      <c r="A203" s="16">
        <v>47058</v>
      </c>
      <c r="B203" s="17">
        <f>CHOOSE(CONTROL!$C$42, 9.3937, 9.3937) * CHOOSE(CONTROL!$C$21, $C$9, 100%, $E$9)</f>
        <v>9.3937000000000008</v>
      </c>
      <c r="C203" s="17">
        <f>CHOOSE(CONTROL!$C$42, 9.3988, 9.3988) * CHOOSE(CONTROL!$C$21, $C$9, 100%, $E$9)</f>
        <v>9.3987999999999996</v>
      </c>
      <c r="D203" s="17">
        <f>CHOOSE(CONTROL!$C$42, 9.4938, 9.4938) * CHOOSE(CONTROL!$C$21, $C$9, 100%, $E$9)</f>
        <v>9.4938000000000002</v>
      </c>
      <c r="E203" s="17">
        <f>CHOOSE(CONTROL!$C$42, 9.5279, 9.5279) * CHOOSE(CONTROL!$C$21, $C$9, 100%, $E$9)</f>
        <v>9.5279000000000007</v>
      </c>
      <c r="F203" s="17">
        <f>CHOOSE(CONTROL!$C$42, 9.4176, 9.4176)*CHOOSE(CONTROL!$C$21, $C$9, 100%, $E$9)</f>
        <v>9.4176000000000002</v>
      </c>
      <c r="G203" s="17">
        <f>CHOOSE(CONTROL!$C$42, 9.4347, 9.4347)*CHOOSE(CONTROL!$C$21, $C$9, 100%, $E$9)</f>
        <v>9.4346999999999994</v>
      </c>
      <c r="H203" s="17">
        <f>CHOOSE(CONTROL!$C$42, 9.5171, 9.5171) * CHOOSE(CONTROL!$C$21, $C$9, 100%, $E$9)</f>
        <v>9.5170999999999992</v>
      </c>
      <c r="I203" s="17">
        <f>CHOOSE(CONTROL!$C$42, 9.4431, 9.4431)* CHOOSE(CONTROL!$C$21, $C$9, 100%, $E$9)</f>
        <v>9.4430999999999994</v>
      </c>
      <c r="J203" s="17">
        <f>CHOOSE(CONTROL!$C$42, 9.4106, 9.4106)* CHOOSE(CONTROL!$C$21, $C$9, 100%, $E$9)</f>
        <v>9.4106000000000005</v>
      </c>
      <c r="K203" s="52">
        <f>CHOOSE(CONTROL!$C$42, 9.4389, 9.4389) * CHOOSE(CONTROL!$C$21, $C$9, 100%, $E$9)</f>
        <v>9.4389000000000003</v>
      </c>
      <c r="L203" s="17">
        <f>CHOOSE(CONTROL!$C$42, 10.1041, 10.1041) * CHOOSE(CONTROL!$C$21, $C$9, 100%, $E$9)</f>
        <v>10.104100000000001</v>
      </c>
      <c r="M203" s="17">
        <f>CHOOSE(CONTROL!$C$42, 9.249, 9.249) * CHOOSE(CONTROL!$C$21, $C$9, 100%, $E$9)</f>
        <v>9.2490000000000006</v>
      </c>
      <c r="N203" s="17">
        <f>CHOOSE(CONTROL!$C$42, 9.2658, 9.2658) * CHOOSE(CONTROL!$C$21, $C$9, 100%, $E$9)</f>
        <v>9.2658000000000005</v>
      </c>
      <c r="O203" s="17">
        <f>CHOOSE(CONTROL!$C$42, 9.3536, 9.3536) * CHOOSE(CONTROL!$C$21, $C$9, 100%, $E$9)</f>
        <v>9.3536000000000001</v>
      </c>
      <c r="P203" s="17">
        <f>CHOOSE(CONTROL!$C$42, 9.2805, 9.2805) * CHOOSE(CONTROL!$C$21, $C$9, 100%, $E$9)</f>
        <v>9.2805</v>
      </c>
      <c r="Q203" s="17">
        <f>CHOOSE(CONTROL!$C$42, 9.9483, 9.9483) * CHOOSE(CONTROL!$C$21, $C$9, 100%, $E$9)</f>
        <v>9.9482999999999997</v>
      </c>
      <c r="R203" s="17">
        <f>CHOOSE(CONTROL!$C$42, 10.5602, 10.5602) * CHOOSE(CONTROL!$C$21, $C$9, 100%, $E$9)</f>
        <v>10.5602</v>
      </c>
      <c r="S203" s="17">
        <f>CHOOSE(CONTROL!$C$42, 9.0179, 9.0179) * CHOOSE(CONTROL!$C$21, $C$9, 100%, $E$9)</f>
        <v>9.0178999999999991</v>
      </c>
      <c r="T20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03" s="56">
        <f>(1000*CHOOSE(CONTROL!$C$42, 695, 695)*CHOOSE(CONTROL!$C$42, 0.5599, 0.5599)*CHOOSE(CONTROL!$C$42, 30, 30))/1000000</f>
        <v>11.673914999999997</v>
      </c>
      <c r="V203" s="56">
        <f>(1000*CHOOSE(CONTROL!$C$42, 500, 500)*CHOOSE(CONTROL!$C$42, 0.275, 0.275)*CHOOSE(CONTROL!$C$42, 30, 30))/1000000</f>
        <v>4.125</v>
      </c>
      <c r="W203" s="56">
        <f>(1000*CHOOSE(CONTROL!$C$42, 0.1146, 0.1146)*CHOOSE(CONTROL!$C$42, 121.5, 121.5)*CHOOSE(CONTROL!$C$42, 30, 30))/1000000</f>
        <v>0.417717</v>
      </c>
      <c r="X203" s="56">
        <f>(30*0.2374*100000/1000000)</f>
        <v>0.71220000000000006</v>
      </c>
      <c r="Y203" s="56"/>
      <c r="Z203" s="17"/>
      <c r="AA203" s="55"/>
      <c r="AB203" s="48">
        <f>(B203*122.58+C203*297.941+D203*89.177+E203*140.302+F203*40+G203*60+H203*0+I203*100+J203*300)/(122.58+297.941+89.177+140.302+0+40+60+100+300)</f>
        <v>9.4308309958260867</v>
      </c>
      <c r="AC203" s="45">
        <f>(M203*'RAP TEMPLATE-GAS AVAILABILITY'!O202+N203*'RAP TEMPLATE-GAS AVAILABILITY'!P202+O203*'RAP TEMPLATE-GAS AVAILABILITY'!Q202+P203*'RAP TEMPLATE-GAS AVAILABILITY'!R202)/('RAP TEMPLATE-GAS AVAILABILITY'!O202+'RAP TEMPLATE-GAS AVAILABILITY'!P202+'RAP TEMPLATE-GAS AVAILABILITY'!Q202+'RAP TEMPLATE-GAS AVAILABILITY'!R202)</f>
        <v>9.3019079136690657</v>
      </c>
    </row>
    <row r="204" spans="1:29" ht="15.75" x14ac:dyDescent="0.25">
      <c r="A204" s="16">
        <v>47088</v>
      </c>
      <c r="B204" s="17">
        <f>CHOOSE(CONTROL!$C$42, 10.0542, 10.0542) * CHOOSE(CONTROL!$C$21, $C$9, 100%, $E$9)</f>
        <v>10.0542</v>
      </c>
      <c r="C204" s="17">
        <f>CHOOSE(CONTROL!$C$42, 10.0592, 10.0592) * CHOOSE(CONTROL!$C$21, $C$9, 100%, $E$9)</f>
        <v>10.059200000000001</v>
      </c>
      <c r="D204" s="17">
        <f>CHOOSE(CONTROL!$C$42, 10.1543, 10.1543) * CHOOSE(CONTROL!$C$21, $C$9, 100%, $E$9)</f>
        <v>10.154299999999999</v>
      </c>
      <c r="E204" s="17">
        <f>CHOOSE(CONTROL!$C$42, 10.1884, 10.1884) * CHOOSE(CONTROL!$C$21, $C$9, 100%, $E$9)</f>
        <v>10.1884</v>
      </c>
      <c r="F204" s="17">
        <f>CHOOSE(CONTROL!$C$42, 10.0804, 10.0804)*CHOOSE(CONTROL!$C$21, $C$9, 100%, $E$9)</f>
        <v>10.080399999999999</v>
      </c>
      <c r="G204" s="17">
        <f>CHOOSE(CONTROL!$C$42, 10.0981, 10.0981)*CHOOSE(CONTROL!$C$21, $C$9, 100%, $E$9)</f>
        <v>10.098100000000001</v>
      </c>
      <c r="H204" s="17">
        <f>CHOOSE(CONTROL!$C$42, 10.1776, 10.1776) * CHOOSE(CONTROL!$C$21, $C$9, 100%, $E$9)</f>
        <v>10.1776</v>
      </c>
      <c r="I204" s="17">
        <f>CHOOSE(CONTROL!$C$42, 10.1056, 10.1056)* CHOOSE(CONTROL!$C$21, $C$9, 100%, $E$9)</f>
        <v>10.105600000000001</v>
      </c>
      <c r="J204" s="17">
        <f>CHOOSE(CONTROL!$C$42, 10.0734, 10.0734)* CHOOSE(CONTROL!$C$21, $C$9, 100%, $E$9)</f>
        <v>10.073399999999999</v>
      </c>
      <c r="K204" s="52">
        <f>CHOOSE(CONTROL!$C$42, 10.1014, 10.1014) * CHOOSE(CONTROL!$C$21, $C$9, 100%, $E$9)</f>
        <v>10.1014</v>
      </c>
      <c r="L204" s="17">
        <f>CHOOSE(CONTROL!$C$42, 10.7646, 10.7646) * CHOOSE(CONTROL!$C$21, $C$9, 100%, $E$9)</f>
        <v>10.7646</v>
      </c>
      <c r="M204" s="17">
        <f>CHOOSE(CONTROL!$C$42, 9.8999, 9.8999) * CHOOSE(CONTROL!$C$21, $C$9, 100%, $E$9)</f>
        <v>9.8999000000000006</v>
      </c>
      <c r="N204" s="17">
        <f>CHOOSE(CONTROL!$C$42, 9.9173, 9.9173) * CHOOSE(CONTROL!$C$21, $C$9, 100%, $E$9)</f>
        <v>9.9172999999999991</v>
      </c>
      <c r="O204" s="17">
        <f>CHOOSE(CONTROL!$C$42, 10.0022, 10.0022) * CHOOSE(CONTROL!$C$21, $C$9, 100%, $E$9)</f>
        <v>10.0022</v>
      </c>
      <c r="P204" s="17">
        <f>CHOOSE(CONTROL!$C$42, 9.931, 9.931) * CHOOSE(CONTROL!$C$21, $C$9, 100%, $E$9)</f>
        <v>9.9309999999999992</v>
      </c>
      <c r="Q204" s="17">
        <f>CHOOSE(CONTROL!$C$42, 10.5969, 10.5969) * CHOOSE(CONTROL!$C$21, $C$9, 100%, $E$9)</f>
        <v>10.5969</v>
      </c>
      <c r="R204" s="17">
        <f>CHOOSE(CONTROL!$C$42, 11.2104, 11.2104) * CHOOSE(CONTROL!$C$21, $C$9, 100%, $E$9)</f>
        <v>11.2104</v>
      </c>
      <c r="S204" s="17">
        <f>CHOOSE(CONTROL!$C$42, 9.6525, 9.6525) * CHOOSE(CONTROL!$C$21, $C$9, 100%, $E$9)</f>
        <v>9.6524999999999999</v>
      </c>
      <c r="T20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04" s="56">
        <f>(1000*CHOOSE(CONTROL!$C$42, 695, 695)*CHOOSE(CONTROL!$C$42, 0.5599, 0.5599)*CHOOSE(CONTROL!$C$42, 31, 31))/1000000</f>
        <v>12.063045499999998</v>
      </c>
      <c r="V204" s="56">
        <f>(1000*CHOOSE(CONTROL!$C$42, 500, 500)*CHOOSE(CONTROL!$C$42, 0.275, 0.275)*CHOOSE(CONTROL!$C$42, 31, 31))/1000000</f>
        <v>4.2625000000000002</v>
      </c>
      <c r="W204" s="56">
        <f>(1000*CHOOSE(CONTROL!$C$42, 0.1146, 0.1146)*CHOOSE(CONTROL!$C$42, 121.5, 121.5)*CHOOSE(CONTROL!$C$42, 31, 31))/1000000</f>
        <v>0.43164089999999994</v>
      </c>
      <c r="X204" s="56">
        <f>(31*0.2374*100000/1000000)</f>
        <v>0.73594000000000004</v>
      </c>
      <c r="Y204" s="56"/>
      <c r="Z204" s="17"/>
      <c r="AA204" s="55"/>
      <c r="AB204" s="48">
        <f>(B204*122.58+C204*297.941+D204*89.177+E204*140.302+F204*40+G204*60+H204*0+I204*100+J204*300)/(122.58+297.941+89.177+140.302+0+40+60+100+300)</f>
        <v>10.092310305304348</v>
      </c>
      <c r="AC204" s="45">
        <f>(M204*'RAP TEMPLATE-GAS AVAILABILITY'!O203+N204*'RAP TEMPLATE-GAS AVAILABILITY'!P203+O204*'RAP TEMPLATE-GAS AVAILABILITY'!Q203+P204*'RAP TEMPLATE-GAS AVAILABILITY'!R203)/('RAP TEMPLATE-GAS AVAILABILITY'!O203+'RAP TEMPLATE-GAS AVAILABILITY'!P203+'RAP TEMPLATE-GAS AVAILABILITY'!Q203+'RAP TEMPLATE-GAS AVAILABILITY'!R203)</f>
        <v>9.9517424460431663</v>
      </c>
    </row>
    <row r="205" spans="1:29" ht="15.75" x14ac:dyDescent="0.25">
      <c r="A205" s="16">
        <v>47119</v>
      </c>
      <c r="B205" s="17">
        <f>CHOOSE(CONTROL!$C$42, 10.587, 10.587) * CHOOSE(CONTROL!$C$21, $C$9, 100%, $E$9)</f>
        <v>10.587</v>
      </c>
      <c r="C205" s="17">
        <f>CHOOSE(CONTROL!$C$42, 10.592, 10.592) * CHOOSE(CONTROL!$C$21, $C$9, 100%, $E$9)</f>
        <v>10.592000000000001</v>
      </c>
      <c r="D205" s="17">
        <f>CHOOSE(CONTROL!$C$42, 10.7105, 10.7105) * CHOOSE(CONTROL!$C$21, $C$9, 100%, $E$9)</f>
        <v>10.7105</v>
      </c>
      <c r="E205" s="17">
        <f>CHOOSE(CONTROL!$C$42, 10.7446, 10.7446) * CHOOSE(CONTROL!$C$21, $C$9, 100%, $E$9)</f>
        <v>10.7446</v>
      </c>
      <c r="F205" s="17">
        <f>CHOOSE(CONTROL!$C$42, 10.6074, 10.6074)*CHOOSE(CONTROL!$C$21, $C$9, 100%, $E$9)</f>
        <v>10.6074</v>
      </c>
      <c r="G205" s="17">
        <f>CHOOSE(CONTROL!$C$42, 10.6242, 10.6242)*CHOOSE(CONTROL!$C$21, $C$9, 100%, $E$9)</f>
        <v>10.6242</v>
      </c>
      <c r="H205" s="17">
        <f>CHOOSE(CONTROL!$C$42, 10.7338, 10.7338) * CHOOSE(CONTROL!$C$21, $C$9, 100%, $E$9)</f>
        <v>10.7338</v>
      </c>
      <c r="I205" s="17">
        <f>CHOOSE(CONTROL!$C$42, 10.6437, 10.6437)* CHOOSE(CONTROL!$C$21, $C$9, 100%, $E$9)</f>
        <v>10.643700000000001</v>
      </c>
      <c r="J205" s="17">
        <f>CHOOSE(CONTROL!$C$42, 10.6004, 10.6004)* CHOOSE(CONTROL!$C$21, $C$9, 100%, $E$9)</f>
        <v>10.6004</v>
      </c>
      <c r="K205" s="52">
        <f>CHOOSE(CONTROL!$C$42, 10.6395, 10.6395) * CHOOSE(CONTROL!$C$21, $C$9, 100%, $E$9)</f>
        <v>10.6395</v>
      </c>
      <c r="L205" s="17">
        <f>CHOOSE(CONTROL!$C$42, 11.3208, 11.3208) * CHOOSE(CONTROL!$C$21, $C$9, 100%, $E$9)</f>
        <v>11.3208</v>
      </c>
      <c r="M205" s="17">
        <f>CHOOSE(CONTROL!$C$42, 10.4174, 10.4174) * CHOOSE(CONTROL!$C$21, $C$9, 100%, $E$9)</f>
        <v>10.417400000000001</v>
      </c>
      <c r="N205" s="17">
        <f>CHOOSE(CONTROL!$C$42, 10.4339, 10.4339) * CHOOSE(CONTROL!$C$21, $C$9, 100%, $E$9)</f>
        <v>10.4339</v>
      </c>
      <c r="O205" s="17">
        <f>CHOOSE(CONTROL!$C$42, 10.5484, 10.5484) * CHOOSE(CONTROL!$C$21, $C$9, 100%, $E$9)</f>
        <v>10.548400000000001</v>
      </c>
      <c r="P205" s="17">
        <f>CHOOSE(CONTROL!$C$42, 10.4595, 10.4595) * CHOOSE(CONTROL!$C$21, $C$9, 100%, $E$9)</f>
        <v>10.4595</v>
      </c>
      <c r="Q205" s="17">
        <f>CHOOSE(CONTROL!$C$42, 11.1431, 11.1431) * CHOOSE(CONTROL!$C$21, $C$9, 100%, $E$9)</f>
        <v>11.1431</v>
      </c>
      <c r="R205" s="17">
        <f>CHOOSE(CONTROL!$C$42, 11.758, 11.758) * CHOOSE(CONTROL!$C$21, $C$9, 100%, $E$9)</f>
        <v>11.757999999999999</v>
      </c>
      <c r="S205" s="17">
        <f>CHOOSE(CONTROL!$C$42, 10.1645, 10.1645) * CHOOSE(CONTROL!$C$21, $C$9, 100%, $E$9)</f>
        <v>10.1645</v>
      </c>
      <c r="T20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05" s="56">
        <f>(1000*CHOOSE(CONTROL!$C$42, 695, 695)*CHOOSE(CONTROL!$C$42, 0.5599, 0.5599)*CHOOSE(CONTROL!$C$42, 31, 31))/1000000</f>
        <v>12.063045499999998</v>
      </c>
      <c r="V205" s="56">
        <f>(1000*CHOOSE(CONTROL!$C$42, 500, 500)*CHOOSE(CONTROL!$C$42, 0.275, 0.275)*CHOOSE(CONTROL!$C$42, 31, 31))/1000000</f>
        <v>4.2625000000000002</v>
      </c>
      <c r="W205" s="56">
        <f>(1000*CHOOSE(CONTROL!$C$42, 0.1146, 0.1146)*CHOOSE(CONTROL!$C$42, 121.5, 121.5)*CHOOSE(CONTROL!$C$42, 31, 31))/1000000</f>
        <v>0.43164089999999994</v>
      </c>
      <c r="X205" s="56">
        <f>(31*0.2374*100000/1000000)</f>
        <v>0.73594000000000004</v>
      </c>
      <c r="Y205" s="56"/>
      <c r="Z205" s="17"/>
      <c r="AA205" s="55"/>
      <c r="AB205" s="48">
        <f>(B205*122.58+C205*297.941+D205*89.177+E205*140.302+F205*40+G205*60+H205*0+I205*100+J205*300)/(122.58+297.941+89.177+140.302+0+40+60+100+300)</f>
        <v>10.628176225826088</v>
      </c>
      <c r="AC205" s="45">
        <f>(M205*'RAP TEMPLATE-GAS AVAILABILITY'!O204+N205*'RAP TEMPLATE-GAS AVAILABILITY'!P204+O205*'RAP TEMPLATE-GAS AVAILABILITY'!Q204+P205*'RAP TEMPLATE-GAS AVAILABILITY'!R204)/('RAP TEMPLATE-GAS AVAILABILITY'!O204+'RAP TEMPLATE-GAS AVAILABILITY'!P204+'RAP TEMPLATE-GAS AVAILABILITY'!Q204+'RAP TEMPLATE-GAS AVAILABILITY'!R204)</f>
        <v>10.483781294964029</v>
      </c>
    </row>
    <row r="206" spans="1:29" ht="15.75" x14ac:dyDescent="0.25">
      <c r="A206" s="16">
        <v>47150</v>
      </c>
      <c r="B206" s="17">
        <f>CHOOSE(CONTROL!$C$42, 10.7974, 10.7974) * CHOOSE(CONTROL!$C$21, $C$9, 100%, $E$9)</f>
        <v>10.7974</v>
      </c>
      <c r="C206" s="17">
        <f>CHOOSE(CONTROL!$C$42, 10.8025, 10.8025) * CHOOSE(CONTROL!$C$21, $C$9, 100%, $E$9)</f>
        <v>10.8025</v>
      </c>
      <c r="D206" s="17">
        <f>CHOOSE(CONTROL!$C$42, 10.921, 10.921) * CHOOSE(CONTROL!$C$21, $C$9, 100%, $E$9)</f>
        <v>10.920999999999999</v>
      </c>
      <c r="E206" s="17">
        <f>CHOOSE(CONTROL!$C$42, 10.9551, 10.9551) * CHOOSE(CONTROL!$C$21, $C$9, 100%, $E$9)</f>
        <v>10.9551</v>
      </c>
      <c r="F206" s="17">
        <f>CHOOSE(CONTROL!$C$42, 10.8178, 10.8178)*CHOOSE(CONTROL!$C$21, $C$9, 100%, $E$9)</f>
        <v>10.8178</v>
      </c>
      <c r="G206" s="17">
        <f>CHOOSE(CONTROL!$C$42, 10.8346, 10.8346)*CHOOSE(CONTROL!$C$21, $C$9, 100%, $E$9)</f>
        <v>10.8346</v>
      </c>
      <c r="H206" s="17">
        <f>CHOOSE(CONTROL!$C$42, 10.9443, 10.9443) * CHOOSE(CONTROL!$C$21, $C$9, 100%, $E$9)</f>
        <v>10.9443</v>
      </c>
      <c r="I206" s="17">
        <f>CHOOSE(CONTROL!$C$42, 10.8549, 10.8549)* CHOOSE(CONTROL!$C$21, $C$9, 100%, $E$9)</f>
        <v>10.854900000000001</v>
      </c>
      <c r="J206" s="17">
        <f>CHOOSE(CONTROL!$C$42, 10.8108, 10.8108)* CHOOSE(CONTROL!$C$21, $C$9, 100%, $E$9)</f>
        <v>10.8108</v>
      </c>
      <c r="K206" s="52">
        <f>CHOOSE(CONTROL!$C$42, 10.8507, 10.8507) * CHOOSE(CONTROL!$C$21, $C$9, 100%, $E$9)</f>
        <v>10.8507</v>
      </c>
      <c r="L206" s="17">
        <f>CHOOSE(CONTROL!$C$42, 11.5313, 11.5313) * CHOOSE(CONTROL!$C$21, $C$9, 100%, $E$9)</f>
        <v>11.5313</v>
      </c>
      <c r="M206" s="17">
        <f>CHOOSE(CONTROL!$C$42, 10.6241, 10.6241) * CHOOSE(CONTROL!$C$21, $C$9, 100%, $E$9)</f>
        <v>10.6241</v>
      </c>
      <c r="N206" s="17">
        <f>CHOOSE(CONTROL!$C$42, 10.6406, 10.6406) * CHOOSE(CONTROL!$C$21, $C$9, 100%, $E$9)</f>
        <v>10.640599999999999</v>
      </c>
      <c r="O206" s="17">
        <f>CHOOSE(CONTROL!$C$42, 10.7551, 10.7551) * CHOOSE(CONTROL!$C$21, $C$9, 100%, $E$9)</f>
        <v>10.755100000000001</v>
      </c>
      <c r="P206" s="17">
        <f>CHOOSE(CONTROL!$C$42, 10.6668, 10.6668) * CHOOSE(CONTROL!$C$21, $C$9, 100%, $E$9)</f>
        <v>10.6668</v>
      </c>
      <c r="Q206" s="17">
        <f>CHOOSE(CONTROL!$C$42, 11.3498, 11.3498) * CHOOSE(CONTROL!$C$21, $C$9, 100%, $E$9)</f>
        <v>11.3498</v>
      </c>
      <c r="R206" s="17">
        <f>CHOOSE(CONTROL!$C$42, 11.9652, 11.9652) * CHOOSE(CONTROL!$C$21, $C$9, 100%, $E$9)</f>
        <v>11.965199999999999</v>
      </c>
      <c r="S206" s="17">
        <f>CHOOSE(CONTROL!$C$42, 10.3667, 10.3667) * CHOOSE(CONTROL!$C$21, $C$9, 100%, $E$9)</f>
        <v>10.3667</v>
      </c>
      <c r="T20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06" s="56">
        <f>(1000*CHOOSE(CONTROL!$C$42, 695, 695)*CHOOSE(CONTROL!$C$42, 0.5599, 0.5599)*CHOOSE(CONTROL!$C$42, 28, 28))/1000000</f>
        <v>10.895653999999999</v>
      </c>
      <c r="V206" s="56">
        <f>(1000*CHOOSE(CONTROL!$C$42, 500, 500)*CHOOSE(CONTROL!$C$42, 0.275, 0.275)*CHOOSE(CONTROL!$C$42, 28, 28))/1000000</f>
        <v>3.85</v>
      </c>
      <c r="W206" s="56">
        <f>(1000*CHOOSE(CONTROL!$C$42, 0.1146, 0.1146)*CHOOSE(CONTROL!$C$42, 121.5, 121.5)*CHOOSE(CONTROL!$C$42, 28, 28))/1000000</f>
        <v>0.38986920000000003</v>
      </c>
      <c r="X206" s="56">
        <f>(28*0.2374*100000/1000000)</f>
        <v>0.66471999999999998</v>
      </c>
      <c r="Y206" s="56"/>
      <c r="Z206" s="17"/>
      <c r="AA206" s="55"/>
      <c r="AB206" s="48">
        <f>(B206*122.58+C206*297.941+D206*89.177+E206*140.302+F206*40+G206*60+H206*0+I206*100+J206*300)/(122.58+297.941+89.177+140.302+0+40+60+100+300)</f>
        <v>10.838691653652173</v>
      </c>
      <c r="AC206" s="45">
        <f>(M206*'RAP TEMPLATE-GAS AVAILABILITY'!O205+N206*'RAP TEMPLATE-GAS AVAILABILITY'!P205+O206*'RAP TEMPLATE-GAS AVAILABILITY'!Q205+P206*'RAP TEMPLATE-GAS AVAILABILITY'!R205)/('RAP TEMPLATE-GAS AVAILABILITY'!O205+'RAP TEMPLATE-GAS AVAILABILITY'!P205+'RAP TEMPLATE-GAS AVAILABILITY'!Q205+'RAP TEMPLATE-GAS AVAILABILITY'!R205)</f>
        <v>10.690567625899281</v>
      </c>
    </row>
    <row r="207" spans="1:29" ht="15.75" x14ac:dyDescent="0.25">
      <c r="A207" s="16">
        <v>47178</v>
      </c>
      <c r="B207" s="17">
        <f>CHOOSE(CONTROL!$C$42, 10.5128, 10.5128) * CHOOSE(CONTROL!$C$21, $C$9, 100%, $E$9)</f>
        <v>10.5128</v>
      </c>
      <c r="C207" s="17">
        <f>CHOOSE(CONTROL!$C$42, 10.5178, 10.5178) * CHOOSE(CONTROL!$C$21, $C$9, 100%, $E$9)</f>
        <v>10.517799999999999</v>
      </c>
      <c r="D207" s="17">
        <f>CHOOSE(CONTROL!$C$42, 10.6363, 10.6363) * CHOOSE(CONTROL!$C$21, $C$9, 100%, $E$9)</f>
        <v>10.6363</v>
      </c>
      <c r="E207" s="17">
        <f>CHOOSE(CONTROL!$C$42, 10.6704, 10.6704) * CHOOSE(CONTROL!$C$21, $C$9, 100%, $E$9)</f>
        <v>10.670400000000001</v>
      </c>
      <c r="F207" s="17">
        <f>CHOOSE(CONTROL!$C$42, 10.5325, 10.5325)*CHOOSE(CONTROL!$C$21, $C$9, 100%, $E$9)</f>
        <v>10.532500000000001</v>
      </c>
      <c r="G207" s="17">
        <f>CHOOSE(CONTROL!$C$42, 10.5491, 10.5491)*CHOOSE(CONTROL!$C$21, $C$9, 100%, $E$9)</f>
        <v>10.549099999999999</v>
      </c>
      <c r="H207" s="17">
        <f>CHOOSE(CONTROL!$C$42, 10.6596, 10.6596) * CHOOSE(CONTROL!$C$21, $C$9, 100%, $E$9)</f>
        <v>10.659599999999999</v>
      </c>
      <c r="I207" s="17">
        <f>CHOOSE(CONTROL!$C$42, 10.5693, 10.5693)* CHOOSE(CONTROL!$C$21, $C$9, 100%, $E$9)</f>
        <v>10.5693</v>
      </c>
      <c r="J207" s="17">
        <f>CHOOSE(CONTROL!$C$42, 10.5255, 10.5255)* CHOOSE(CONTROL!$C$21, $C$9, 100%, $E$9)</f>
        <v>10.525499999999999</v>
      </c>
      <c r="K207" s="52">
        <f>CHOOSE(CONTROL!$C$42, 10.5651, 10.5651) * CHOOSE(CONTROL!$C$21, $C$9, 100%, $E$9)</f>
        <v>10.565099999999999</v>
      </c>
      <c r="L207" s="17">
        <f>CHOOSE(CONTROL!$C$42, 11.2466, 11.2466) * CHOOSE(CONTROL!$C$21, $C$9, 100%, $E$9)</f>
        <v>11.246600000000001</v>
      </c>
      <c r="M207" s="17">
        <f>CHOOSE(CONTROL!$C$42, 10.3438, 10.3438) * CHOOSE(CONTROL!$C$21, $C$9, 100%, $E$9)</f>
        <v>10.3438</v>
      </c>
      <c r="N207" s="17">
        <f>CHOOSE(CONTROL!$C$42, 10.3602, 10.3602) * CHOOSE(CONTROL!$C$21, $C$9, 100%, $E$9)</f>
        <v>10.360200000000001</v>
      </c>
      <c r="O207" s="17">
        <f>CHOOSE(CONTROL!$C$42, 10.4755, 10.4755) * CHOOSE(CONTROL!$C$21, $C$9, 100%, $E$9)</f>
        <v>10.4755</v>
      </c>
      <c r="P207" s="17">
        <f>CHOOSE(CONTROL!$C$42, 10.3864, 10.3864) * CHOOSE(CONTROL!$C$21, $C$9, 100%, $E$9)</f>
        <v>10.3864</v>
      </c>
      <c r="Q207" s="17">
        <f>CHOOSE(CONTROL!$C$42, 11.0702, 11.0702) * CHOOSE(CONTROL!$C$21, $C$9, 100%, $E$9)</f>
        <v>11.0702</v>
      </c>
      <c r="R207" s="17">
        <f>CHOOSE(CONTROL!$C$42, 11.6849, 11.6849) * CHOOSE(CONTROL!$C$21, $C$9, 100%, $E$9)</f>
        <v>11.684900000000001</v>
      </c>
      <c r="S207" s="17">
        <f>CHOOSE(CONTROL!$C$42, 10.0932, 10.0932) * CHOOSE(CONTROL!$C$21, $C$9, 100%, $E$9)</f>
        <v>10.0932</v>
      </c>
      <c r="T20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07" s="56">
        <f>(1000*CHOOSE(CONTROL!$C$42, 695, 695)*CHOOSE(CONTROL!$C$42, 0.5599, 0.5599)*CHOOSE(CONTROL!$C$42, 31, 31))/1000000</f>
        <v>12.063045499999998</v>
      </c>
      <c r="V207" s="56">
        <f>(1000*CHOOSE(CONTROL!$C$42, 500, 500)*CHOOSE(CONTROL!$C$42, 0.275, 0.275)*CHOOSE(CONTROL!$C$42, 31, 31))/1000000</f>
        <v>4.2625000000000002</v>
      </c>
      <c r="W207" s="56">
        <f>(1000*CHOOSE(CONTROL!$C$42, 0.1146, 0.1146)*CHOOSE(CONTROL!$C$42, 121.5, 121.5)*CHOOSE(CONTROL!$C$42, 31, 31))/1000000</f>
        <v>0.43164089999999994</v>
      </c>
      <c r="X207" s="56">
        <f>(31*0.2374*100000/1000000)</f>
        <v>0.73594000000000004</v>
      </c>
      <c r="Y207" s="56"/>
      <c r="Z207" s="17"/>
      <c r="AA207" s="55"/>
      <c r="AB207" s="48">
        <f>(B207*122.58+C207*297.941+D207*89.177+E207*140.302+F207*40+G207*60+H207*0+I207*100+J207*300)/(122.58+297.941+89.177+140.302+0+40+60+100+300)</f>
        <v>10.553704921478261</v>
      </c>
      <c r="AC207" s="45">
        <f>(M207*'RAP TEMPLATE-GAS AVAILABILITY'!O206+N207*'RAP TEMPLATE-GAS AVAILABILITY'!P206+O207*'RAP TEMPLATE-GAS AVAILABILITY'!Q206+P207*'RAP TEMPLATE-GAS AVAILABILITY'!R206)/('RAP TEMPLATE-GAS AVAILABILITY'!O206+'RAP TEMPLATE-GAS AVAILABILITY'!P206+'RAP TEMPLATE-GAS AVAILABILITY'!Q206+'RAP TEMPLATE-GAS AVAILABILITY'!R206)</f>
        <v>10.410564748201439</v>
      </c>
    </row>
    <row r="208" spans="1:29" ht="15.75" x14ac:dyDescent="0.25">
      <c r="A208" s="16">
        <v>47209</v>
      </c>
      <c r="B208" s="17">
        <f>CHOOSE(CONTROL!$C$42, 10.5039, 10.5039) * CHOOSE(CONTROL!$C$21, $C$9, 100%, $E$9)</f>
        <v>10.5039</v>
      </c>
      <c r="C208" s="17">
        <f>CHOOSE(CONTROL!$C$42, 10.5084, 10.5084) * CHOOSE(CONTROL!$C$21, $C$9, 100%, $E$9)</f>
        <v>10.5084</v>
      </c>
      <c r="D208" s="17">
        <f>CHOOSE(CONTROL!$C$42, 10.7826, 10.7826) * CHOOSE(CONTROL!$C$21, $C$9, 100%, $E$9)</f>
        <v>10.7826</v>
      </c>
      <c r="E208" s="17">
        <f>CHOOSE(CONTROL!$C$42, 10.8147, 10.8147) * CHOOSE(CONTROL!$C$21, $C$9, 100%, $E$9)</f>
        <v>10.8147</v>
      </c>
      <c r="F208" s="17">
        <f>CHOOSE(CONTROL!$C$42, 10.5232, 10.5232)*CHOOSE(CONTROL!$C$21, $C$9, 100%, $E$9)</f>
        <v>10.523199999999999</v>
      </c>
      <c r="G208" s="17">
        <f>CHOOSE(CONTROL!$C$42, 10.5395, 10.5395)*CHOOSE(CONTROL!$C$21, $C$9, 100%, $E$9)</f>
        <v>10.5395</v>
      </c>
      <c r="H208" s="17">
        <f>CHOOSE(CONTROL!$C$42, 10.8045, 10.8045) * CHOOSE(CONTROL!$C$21, $C$9, 100%, $E$9)</f>
        <v>10.804500000000001</v>
      </c>
      <c r="I208" s="17">
        <f>CHOOSE(CONTROL!$C$42, 10.5581, 10.5581)* CHOOSE(CONTROL!$C$21, $C$9, 100%, $E$9)</f>
        <v>10.5581</v>
      </c>
      <c r="J208" s="17">
        <f>CHOOSE(CONTROL!$C$42, 10.5162, 10.5162)* CHOOSE(CONTROL!$C$21, $C$9, 100%, $E$9)</f>
        <v>10.5162</v>
      </c>
      <c r="K208" s="52">
        <f>CHOOSE(CONTROL!$C$42, 10.5538, 10.5538) * CHOOSE(CONTROL!$C$21, $C$9, 100%, $E$9)</f>
        <v>10.553800000000001</v>
      </c>
      <c r="L208" s="17">
        <f>CHOOSE(CONTROL!$C$42, 11.3915, 11.3915) * CHOOSE(CONTROL!$C$21, $C$9, 100%, $E$9)</f>
        <v>11.391500000000001</v>
      </c>
      <c r="M208" s="17">
        <f>CHOOSE(CONTROL!$C$42, 10.3347, 10.3347) * CHOOSE(CONTROL!$C$21, $C$9, 100%, $E$9)</f>
        <v>10.3347</v>
      </c>
      <c r="N208" s="17">
        <f>CHOOSE(CONTROL!$C$42, 10.3508, 10.3508) * CHOOSE(CONTROL!$C$21, $C$9, 100%, $E$9)</f>
        <v>10.3508</v>
      </c>
      <c r="O208" s="17">
        <f>CHOOSE(CONTROL!$C$42, 10.6178, 10.6178) * CHOOSE(CONTROL!$C$21, $C$9, 100%, $E$9)</f>
        <v>10.617800000000001</v>
      </c>
      <c r="P208" s="17">
        <f>CHOOSE(CONTROL!$C$42, 10.3753, 10.3753) * CHOOSE(CONTROL!$C$21, $C$9, 100%, $E$9)</f>
        <v>10.375299999999999</v>
      </c>
      <c r="Q208" s="17">
        <f>CHOOSE(CONTROL!$C$42, 11.2125, 11.2125) * CHOOSE(CONTROL!$C$21, $C$9, 100%, $E$9)</f>
        <v>11.2125</v>
      </c>
      <c r="R208" s="17">
        <f>CHOOSE(CONTROL!$C$42, 11.8276, 11.8276) * CHOOSE(CONTROL!$C$21, $C$9, 100%, $E$9)</f>
        <v>11.8276</v>
      </c>
      <c r="S208" s="17">
        <f>CHOOSE(CONTROL!$C$42, 10.0839, 10.0839) * CHOOSE(CONTROL!$C$21, $C$9, 100%, $E$9)</f>
        <v>10.0839</v>
      </c>
      <c r="T20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08" s="56">
        <f>(1000*CHOOSE(CONTROL!$C$42, 695, 695)*CHOOSE(CONTROL!$C$42, 0.5599, 0.5599)*CHOOSE(CONTROL!$C$42, 30, 30))/1000000</f>
        <v>11.673914999999997</v>
      </c>
      <c r="V208" s="56">
        <f>(1000*CHOOSE(CONTROL!$C$42, 500, 500)*CHOOSE(CONTROL!$C$42, 0.275, 0.275)*CHOOSE(CONTROL!$C$42, 30, 30))/1000000</f>
        <v>4.125</v>
      </c>
      <c r="W208" s="56">
        <f>(1000*CHOOSE(CONTROL!$C$42, 0.1146, 0.1146)*CHOOSE(CONTROL!$C$42, 121.5, 121.5)*CHOOSE(CONTROL!$C$42, 30, 30))/1000000</f>
        <v>0.417717</v>
      </c>
      <c r="X208" s="56">
        <f>(30*0.1790888*145000/1000000)+(30*0.2374*100000/1000000)</f>
        <v>1.4912362799999999</v>
      </c>
      <c r="Y208" s="56"/>
      <c r="Z208" s="17"/>
      <c r="AA208" s="55"/>
      <c r="AB208" s="48">
        <f>(B208*141.293+C208*267.993+D208*115.016+E208*189.698+F208*40+G208*85+H208*0+I208*100+J208*300)/(141.293+267.993+115.016+189.698+0+40+85+100+300)</f>
        <v>10.588748318079094</v>
      </c>
      <c r="AC208" s="45">
        <f>(M208*'RAP TEMPLATE-GAS AVAILABILITY'!O207+N208*'RAP TEMPLATE-GAS AVAILABILITY'!P207+O208*'RAP TEMPLATE-GAS AVAILABILITY'!Q207+P208*'RAP TEMPLATE-GAS AVAILABILITY'!R207)/('RAP TEMPLATE-GAS AVAILABILITY'!O207+'RAP TEMPLATE-GAS AVAILABILITY'!P207+'RAP TEMPLATE-GAS AVAILABILITY'!Q207+'RAP TEMPLATE-GAS AVAILABILITY'!R207)</f>
        <v>10.423679136690646</v>
      </c>
    </row>
    <row r="209" spans="1:29" ht="15.75" x14ac:dyDescent="0.25">
      <c r="A209" s="16">
        <v>47239</v>
      </c>
      <c r="B209" s="17">
        <f>CHOOSE(CONTROL!$C$42, 10.6197, 10.6197) * CHOOSE(CONTROL!$C$21, $C$9, 100%, $E$9)</f>
        <v>10.6197</v>
      </c>
      <c r="C209" s="17">
        <f>CHOOSE(CONTROL!$C$42, 10.6277, 10.6277) * CHOOSE(CONTROL!$C$21, $C$9, 100%, $E$9)</f>
        <v>10.627700000000001</v>
      </c>
      <c r="D209" s="17">
        <f>CHOOSE(CONTROL!$C$42, 10.8988, 10.8988) * CHOOSE(CONTROL!$C$21, $C$9, 100%, $E$9)</f>
        <v>10.8988</v>
      </c>
      <c r="E209" s="17">
        <f>CHOOSE(CONTROL!$C$42, 10.9303, 10.9303) * CHOOSE(CONTROL!$C$21, $C$9, 100%, $E$9)</f>
        <v>10.930300000000001</v>
      </c>
      <c r="F209" s="17">
        <f>CHOOSE(CONTROL!$C$42, 10.6379, 10.6379)*CHOOSE(CONTROL!$C$21, $C$9, 100%, $E$9)</f>
        <v>10.6379</v>
      </c>
      <c r="G209" s="17">
        <f>CHOOSE(CONTROL!$C$42, 10.6545, 10.6545)*CHOOSE(CONTROL!$C$21, $C$9, 100%, $E$9)</f>
        <v>10.654500000000001</v>
      </c>
      <c r="H209" s="17">
        <f>CHOOSE(CONTROL!$C$42, 10.9189, 10.9189) * CHOOSE(CONTROL!$C$21, $C$9, 100%, $E$9)</f>
        <v>10.918900000000001</v>
      </c>
      <c r="I209" s="17">
        <f>CHOOSE(CONTROL!$C$42, 10.6728, 10.6728)* CHOOSE(CONTROL!$C$21, $C$9, 100%, $E$9)</f>
        <v>10.672800000000001</v>
      </c>
      <c r="J209" s="17">
        <f>CHOOSE(CONTROL!$C$42, 10.6309, 10.6309)* CHOOSE(CONTROL!$C$21, $C$9, 100%, $E$9)</f>
        <v>10.6309</v>
      </c>
      <c r="K209" s="52">
        <f>CHOOSE(CONTROL!$C$42, 10.6686, 10.6686) * CHOOSE(CONTROL!$C$21, $C$9, 100%, $E$9)</f>
        <v>10.6686</v>
      </c>
      <c r="L209" s="17">
        <f>CHOOSE(CONTROL!$C$42, 11.5059, 11.5059) * CHOOSE(CONTROL!$C$21, $C$9, 100%, $E$9)</f>
        <v>11.5059</v>
      </c>
      <c r="M209" s="17">
        <f>CHOOSE(CONTROL!$C$42, 10.4473, 10.4473) * CHOOSE(CONTROL!$C$21, $C$9, 100%, $E$9)</f>
        <v>10.4473</v>
      </c>
      <c r="N209" s="17">
        <f>CHOOSE(CONTROL!$C$42, 10.4637, 10.4637) * CHOOSE(CONTROL!$C$21, $C$9, 100%, $E$9)</f>
        <v>10.463699999999999</v>
      </c>
      <c r="O209" s="17">
        <f>CHOOSE(CONTROL!$C$42, 10.7302, 10.7302) * CHOOSE(CONTROL!$C$21, $C$9, 100%, $E$9)</f>
        <v>10.7302</v>
      </c>
      <c r="P209" s="17">
        <f>CHOOSE(CONTROL!$C$42, 10.488, 10.488) * CHOOSE(CONTROL!$C$21, $C$9, 100%, $E$9)</f>
        <v>10.488</v>
      </c>
      <c r="Q209" s="17">
        <f>CHOOSE(CONTROL!$C$42, 11.3249, 11.3249) * CHOOSE(CONTROL!$C$21, $C$9, 100%, $E$9)</f>
        <v>11.3249</v>
      </c>
      <c r="R209" s="17">
        <f>CHOOSE(CONTROL!$C$42, 11.9402, 11.9402) * CHOOSE(CONTROL!$C$21, $C$9, 100%, $E$9)</f>
        <v>11.940200000000001</v>
      </c>
      <c r="S209" s="17">
        <f>CHOOSE(CONTROL!$C$42, 10.1938, 10.1938) * CHOOSE(CONTROL!$C$21, $C$9, 100%, $E$9)</f>
        <v>10.1938</v>
      </c>
      <c r="T20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09" s="56">
        <f>(1000*CHOOSE(CONTROL!$C$42, 695, 695)*CHOOSE(CONTROL!$C$42, 0.5599, 0.5599)*CHOOSE(CONTROL!$C$42, 31, 31))/1000000</f>
        <v>12.063045499999998</v>
      </c>
      <c r="V209" s="56">
        <f>(1000*CHOOSE(CONTROL!$C$42, 500, 500)*CHOOSE(CONTROL!$C$42, 0.275, 0.275)*CHOOSE(CONTROL!$C$42, 31, 31))/1000000</f>
        <v>4.2625000000000002</v>
      </c>
      <c r="W209" s="56">
        <f>(1000*CHOOSE(CONTROL!$C$42, 0.1146, 0.1146)*CHOOSE(CONTROL!$C$42, 121.5, 121.5)*CHOOSE(CONTROL!$C$42, 31, 31))/1000000</f>
        <v>0.43164089999999994</v>
      </c>
      <c r="X209" s="56">
        <f>(31*0.1790888*145000/1000000)+(31*0.2374*100000/1000000)</f>
        <v>1.5409441560000001</v>
      </c>
      <c r="Y209" s="56"/>
      <c r="Z209" s="17"/>
      <c r="AA209" s="55"/>
      <c r="AB209" s="48">
        <f>(B209*194.205+C209*267.466+D209*133.845+E209*153.484+F209*40+G209*85+H209*0+I209*100+J209*300)/(194.205+267.466+133.845+153.484+0+40+85+100+300)</f>
        <v>10.697819307613816</v>
      </c>
      <c r="AC209" s="45">
        <f>(M209*'RAP TEMPLATE-GAS AVAILABILITY'!O208+N209*'RAP TEMPLATE-GAS AVAILABILITY'!P208+O209*'RAP TEMPLATE-GAS AVAILABILITY'!Q208+P209*'RAP TEMPLATE-GAS AVAILABILITY'!R208)/('RAP TEMPLATE-GAS AVAILABILITY'!O208+'RAP TEMPLATE-GAS AVAILABILITY'!P208+'RAP TEMPLATE-GAS AVAILABILITY'!Q208+'RAP TEMPLATE-GAS AVAILABILITY'!R208)</f>
        <v>10.536306474820144</v>
      </c>
    </row>
    <row r="210" spans="1:29" ht="15.75" x14ac:dyDescent="0.25">
      <c r="A210" s="16">
        <v>47270</v>
      </c>
      <c r="B210" s="17">
        <f>CHOOSE(CONTROL!$C$42, 10.9431, 10.9431) * CHOOSE(CONTROL!$C$21, $C$9, 100%, $E$9)</f>
        <v>10.943099999999999</v>
      </c>
      <c r="C210" s="17">
        <f>CHOOSE(CONTROL!$C$42, 10.9511, 10.9511) * CHOOSE(CONTROL!$C$21, $C$9, 100%, $E$9)</f>
        <v>10.9511</v>
      </c>
      <c r="D210" s="17">
        <f>CHOOSE(CONTROL!$C$42, 11.2222, 11.2222) * CHOOSE(CONTROL!$C$21, $C$9, 100%, $E$9)</f>
        <v>11.222200000000001</v>
      </c>
      <c r="E210" s="17">
        <f>CHOOSE(CONTROL!$C$42, 11.2536, 11.2536) * CHOOSE(CONTROL!$C$21, $C$9, 100%, $E$9)</f>
        <v>11.2536</v>
      </c>
      <c r="F210" s="17">
        <f>CHOOSE(CONTROL!$C$42, 10.9615, 10.9615)*CHOOSE(CONTROL!$C$21, $C$9, 100%, $E$9)</f>
        <v>10.961499999999999</v>
      </c>
      <c r="G210" s="17">
        <f>CHOOSE(CONTROL!$C$42, 10.9782, 10.9782)*CHOOSE(CONTROL!$C$21, $C$9, 100%, $E$9)</f>
        <v>10.978199999999999</v>
      </c>
      <c r="H210" s="17">
        <f>CHOOSE(CONTROL!$C$42, 11.2423, 11.2423) * CHOOSE(CONTROL!$C$21, $C$9, 100%, $E$9)</f>
        <v>11.2423</v>
      </c>
      <c r="I210" s="17">
        <f>CHOOSE(CONTROL!$C$42, 10.9972, 10.9972)* CHOOSE(CONTROL!$C$21, $C$9, 100%, $E$9)</f>
        <v>10.997199999999999</v>
      </c>
      <c r="J210" s="17">
        <f>CHOOSE(CONTROL!$C$42, 10.9545, 10.9545)* CHOOSE(CONTROL!$C$21, $C$9, 100%, $E$9)</f>
        <v>10.954499999999999</v>
      </c>
      <c r="K210" s="52">
        <f>CHOOSE(CONTROL!$C$42, 10.993, 10.993) * CHOOSE(CONTROL!$C$21, $C$9, 100%, $E$9)</f>
        <v>10.993</v>
      </c>
      <c r="L210" s="17">
        <f>CHOOSE(CONTROL!$C$42, 11.8293, 11.8293) * CHOOSE(CONTROL!$C$21, $C$9, 100%, $E$9)</f>
        <v>11.8293</v>
      </c>
      <c r="M210" s="17">
        <f>CHOOSE(CONTROL!$C$42, 10.7652, 10.7652) * CHOOSE(CONTROL!$C$21, $C$9, 100%, $E$9)</f>
        <v>10.7652</v>
      </c>
      <c r="N210" s="17">
        <f>CHOOSE(CONTROL!$C$42, 10.7816, 10.7816) * CHOOSE(CONTROL!$C$21, $C$9, 100%, $E$9)</f>
        <v>10.781599999999999</v>
      </c>
      <c r="O210" s="17">
        <f>CHOOSE(CONTROL!$C$42, 11.0477, 11.0477) * CHOOSE(CONTROL!$C$21, $C$9, 100%, $E$9)</f>
        <v>11.047700000000001</v>
      </c>
      <c r="P210" s="17">
        <f>CHOOSE(CONTROL!$C$42, 10.8066, 10.8066) * CHOOSE(CONTROL!$C$21, $C$9, 100%, $E$9)</f>
        <v>10.8066</v>
      </c>
      <c r="Q210" s="17">
        <f>CHOOSE(CONTROL!$C$42, 11.6424, 11.6424) * CHOOSE(CONTROL!$C$21, $C$9, 100%, $E$9)</f>
        <v>11.6424</v>
      </c>
      <c r="R210" s="17">
        <f>CHOOSE(CONTROL!$C$42, 12.2586, 12.2586) * CHOOSE(CONTROL!$C$21, $C$9, 100%, $E$9)</f>
        <v>12.258599999999999</v>
      </c>
      <c r="S210" s="17">
        <f>CHOOSE(CONTROL!$C$42, 10.5046, 10.5046) * CHOOSE(CONTROL!$C$21, $C$9, 100%, $E$9)</f>
        <v>10.5046</v>
      </c>
      <c r="T21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10" s="56">
        <f>(1000*CHOOSE(CONTROL!$C$42, 695, 695)*CHOOSE(CONTROL!$C$42, 0.5599, 0.5599)*CHOOSE(CONTROL!$C$42, 30, 30))/1000000</f>
        <v>11.673914999999997</v>
      </c>
      <c r="V210" s="56">
        <f>(1000*CHOOSE(CONTROL!$C$42, 500, 500)*CHOOSE(CONTROL!$C$42, 0.275, 0.275)*CHOOSE(CONTROL!$C$42, 30, 30))/1000000</f>
        <v>4.125</v>
      </c>
      <c r="W210" s="56">
        <f>(1000*CHOOSE(CONTROL!$C$42, 0.1146, 0.1146)*CHOOSE(CONTROL!$C$42, 121.5, 121.5)*CHOOSE(CONTROL!$C$42, 30, 30))/1000000</f>
        <v>0.417717</v>
      </c>
      <c r="X210" s="56">
        <f>(30*0.1790888*145000/1000000)+(30*0.2374*100000/1000000)</f>
        <v>1.4912362799999999</v>
      </c>
      <c r="Y210" s="56"/>
      <c r="Z210" s="17"/>
      <c r="AA210" s="55"/>
      <c r="AB210" s="48">
        <f>(B210*194.205+C210*267.466+D210*133.845+E210*153.484+F210*40+G210*85+H210*0+I210*100+J210*300)/(194.205+267.466+133.845+153.484+0+40+85+100+300)</f>
        <v>11.021359144034538</v>
      </c>
      <c r="AC210" s="45">
        <f>(M210*'RAP TEMPLATE-GAS AVAILABILITY'!O209+N210*'RAP TEMPLATE-GAS AVAILABILITY'!P209+O210*'RAP TEMPLATE-GAS AVAILABILITY'!Q209+P210*'RAP TEMPLATE-GAS AVAILABILITY'!R209)/('RAP TEMPLATE-GAS AVAILABILITY'!O209+'RAP TEMPLATE-GAS AVAILABILITY'!P209+'RAP TEMPLATE-GAS AVAILABILITY'!Q209+'RAP TEMPLATE-GAS AVAILABILITY'!R209)</f>
        <v>10.854194964028776</v>
      </c>
    </row>
    <row r="211" spans="1:29" ht="15.75" x14ac:dyDescent="0.25">
      <c r="A211" s="16">
        <v>47300</v>
      </c>
      <c r="B211" s="17">
        <f>CHOOSE(CONTROL!$C$42, 10.7555, 10.7555) * CHOOSE(CONTROL!$C$21, $C$9, 100%, $E$9)</f>
        <v>10.7555</v>
      </c>
      <c r="C211" s="17">
        <f>CHOOSE(CONTROL!$C$42, 10.7635, 10.7635) * CHOOSE(CONTROL!$C$21, $C$9, 100%, $E$9)</f>
        <v>10.763500000000001</v>
      </c>
      <c r="D211" s="17">
        <f>CHOOSE(CONTROL!$C$42, 11.0345, 11.0345) * CHOOSE(CONTROL!$C$21, $C$9, 100%, $E$9)</f>
        <v>11.0345</v>
      </c>
      <c r="E211" s="17">
        <f>CHOOSE(CONTROL!$C$42, 11.066, 11.066) * CHOOSE(CONTROL!$C$21, $C$9, 100%, $E$9)</f>
        <v>11.066000000000001</v>
      </c>
      <c r="F211" s="17">
        <f>CHOOSE(CONTROL!$C$42, 10.7743, 10.7743)*CHOOSE(CONTROL!$C$21, $C$9, 100%, $E$9)</f>
        <v>10.7743</v>
      </c>
      <c r="G211" s="17">
        <f>CHOOSE(CONTROL!$C$42, 10.7911, 10.7911)*CHOOSE(CONTROL!$C$21, $C$9, 100%, $E$9)</f>
        <v>10.7911</v>
      </c>
      <c r="H211" s="17">
        <f>CHOOSE(CONTROL!$C$42, 11.0546, 11.0546) * CHOOSE(CONTROL!$C$21, $C$9, 100%, $E$9)</f>
        <v>11.054600000000001</v>
      </c>
      <c r="I211" s="17">
        <f>CHOOSE(CONTROL!$C$42, 10.809, 10.809)* CHOOSE(CONTROL!$C$21, $C$9, 100%, $E$9)</f>
        <v>10.808999999999999</v>
      </c>
      <c r="J211" s="17">
        <f>CHOOSE(CONTROL!$C$42, 10.7673, 10.7673)* CHOOSE(CONTROL!$C$21, $C$9, 100%, $E$9)</f>
        <v>10.767300000000001</v>
      </c>
      <c r="K211" s="52">
        <f>CHOOSE(CONTROL!$C$42, 10.8048, 10.8048) * CHOOSE(CONTROL!$C$21, $C$9, 100%, $E$9)</f>
        <v>10.8048</v>
      </c>
      <c r="L211" s="17">
        <f>CHOOSE(CONTROL!$C$42, 11.6416, 11.6416) * CHOOSE(CONTROL!$C$21, $C$9, 100%, $E$9)</f>
        <v>11.6416</v>
      </c>
      <c r="M211" s="17">
        <f>CHOOSE(CONTROL!$C$42, 10.5813, 10.5813) * CHOOSE(CONTROL!$C$21, $C$9, 100%, $E$9)</f>
        <v>10.581300000000001</v>
      </c>
      <c r="N211" s="17">
        <f>CHOOSE(CONTROL!$C$42, 10.5979, 10.5979) * CHOOSE(CONTROL!$C$21, $C$9, 100%, $E$9)</f>
        <v>10.597899999999999</v>
      </c>
      <c r="O211" s="17">
        <f>CHOOSE(CONTROL!$C$42, 10.8635, 10.8635) * CHOOSE(CONTROL!$C$21, $C$9, 100%, $E$9)</f>
        <v>10.8635</v>
      </c>
      <c r="P211" s="17">
        <f>CHOOSE(CONTROL!$C$42, 10.6218, 10.6218) * CHOOSE(CONTROL!$C$21, $C$9, 100%, $E$9)</f>
        <v>10.6218</v>
      </c>
      <c r="Q211" s="17">
        <f>CHOOSE(CONTROL!$C$42, 11.4582, 11.4582) * CHOOSE(CONTROL!$C$21, $C$9, 100%, $E$9)</f>
        <v>11.4582</v>
      </c>
      <c r="R211" s="17">
        <f>CHOOSE(CONTROL!$C$42, 12.0738, 12.0738) * CHOOSE(CONTROL!$C$21, $C$9, 100%, $E$9)</f>
        <v>12.0738</v>
      </c>
      <c r="S211" s="17">
        <f>CHOOSE(CONTROL!$C$42, 10.3243, 10.3243) * CHOOSE(CONTROL!$C$21, $C$9, 100%, $E$9)</f>
        <v>10.324299999999999</v>
      </c>
      <c r="T21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11" s="56">
        <f>(1000*CHOOSE(CONTROL!$C$42, 695, 695)*CHOOSE(CONTROL!$C$42, 0.5599, 0.5599)*CHOOSE(CONTROL!$C$42, 31, 31))/1000000</f>
        <v>12.063045499999998</v>
      </c>
      <c r="V211" s="56">
        <f>(1000*CHOOSE(CONTROL!$C$42, 500, 500)*CHOOSE(CONTROL!$C$42, 0.275, 0.275)*CHOOSE(CONTROL!$C$42, 31, 31))/1000000</f>
        <v>4.2625000000000002</v>
      </c>
      <c r="W211" s="56">
        <f>(1000*CHOOSE(CONTROL!$C$42, 0.1146, 0.1146)*CHOOSE(CONTROL!$C$42, 121.5, 121.5)*CHOOSE(CONTROL!$C$42, 31, 31))/1000000</f>
        <v>0.43164089999999994</v>
      </c>
      <c r="X211" s="56">
        <f>(31*0.1790888*145000/1000000)+(31*0.2374*100000/1000000)</f>
        <v>1.5409441560000001</v>
      </c>
      <c r="Y211" s="56"/>
      <c r="Z211" s="17"/>
      <c r="AA211" s="55"/>
      <c r="AB211" s="48">
        <f>(B211*194.205+C211*267.466+D211*133.845+E211*153.484+F211*40+G211*85+H211*0+I211*100+J211*300)/(194.205+267.466+133.845+153.484+0+40+85+100+300)</f>
        <v>10.833841652276297</v>
      </c>
      <c r="AC211" s="45">
        <f>(M211*'RAP TEMPLATE-GAS AVAILABILITY'!O210+N211*'RAP TEMPLATE-GAS AVAILABILITY'!P210+O211*'RAP TEMPLATE-GAS AVAILABILITY'!Q210+P211*'RAP TEMPLATE-GAS AVAILABILITY'!R210)/('RAP TEMPLATE-GAS AVAILABILITY'!O210+'RAP TEMPLATE-GAS AVAILABILITY'!P210+'RAP TEMPLATE-GAS AVAILABILITY'!Q210+'RAP TEMPLATE-GAS AVAILABILITY'!R210)</f>
        <v>10.670127338129495</v>
      </c>
    </row>
    <row r="212" spans="1:29" ht="15.75" x14ac:dyDescent="0.25">
      <c r="A212" s="16">
        <v>47331</v>
      </c>
      <c r="B212" s="17">
        <f>CHOOSE(CONTROL!$C$42, 10.2458, 10.2458) * CHOOSE(CONTROL!$C$21, $C$9, 100%, $E$9)</f>
        <v>10.245799999999999</v>
      </c>
      <c r="C212" s="17">
        <f>CHOOSE(CONTROL!$C$42, 10.2538, 10.2538) * CHOOSE(CONTROL!$C$21, $C$9, 100%, $E$9)</f>
        <v>10.2538</v>
      </c>
      <c r="D212" s="17">
        <f>CHOOSE(CONTROL!$C$42, 10.5249, 10.5249) * CHOOSE(CONTROL!$C$21, $C$9, 100%, $E$9)</f>
        <v>10.524900000000001</v>
      </c>
      <c r="E212" s="17">
        <f>CHOOSE(CONTROL!$C$42, 10.5564, 10.5564) * CHOOSE(CONTROL!$C$21, $C$9, 100%, $E$9)</f>
        <v>10.5564</v>
      </c>
      <c r="F212" s="17">
        <f>CHOOSE(CONTROL!$C$42, 10.2649, 10.2649)*CHOOSE(CONTROL!$C$21, $C$9, 100%, $E$9)</f>
        <v>10.264900000000001</v>
      </c>
      <c r="G212" s="17">
        <f>CHOOSE(CONTROL!$C$42, 10.2818, 10.2818)*CHOOSE(CONTROL!$C$21, $C$9, 100%, $E$9)</f>
        <v>10.2818</v>
      </c>
      <c r="H212" s="17">
        <f>CHOOSE(CONTROL!$C$42, 10.545, 10.545) * CHOOSE(CONTROL!$C$21, $C$9, 100%, $E$9)</f>
        <v>10.545</v>
      </c>
      <c r="I212" s="17">
        <f>CHOOSE(CONTROL!$C$42, 10.2978, 10.2978)* CHOOSE(CONTROL!$C$21, $C$9, 100%, $E$9)</f>
        <v>10.297800000000001</v>
      </c>
      <c r="J212" s="17">
        <f>CHOOSE(CONTROL!$C$42, 10.2579, 10.2579)* CHOOSE(CONTROL!$C$21, $C$9, 100%, $E$9)</f>
        <v>10.257899999999999</v>
      </c>
      <c r="K212" s="52">
        <f>CHOOSE(CONTROL!$C$42, 10.2935, 10.2935) * CHOOSE(CONTROL!$C$21, $C$9, 100%, $E$9)</f>
        <v>10.2935</v>
      </c>
      <c r="L212" s="17">
        <f>CHOOSE(CONTROL!$C$42, 11.132, 11.132) * CHOOSE(CONTROL!$C$21, $C$9, 100%, $E$9)</f>
        <v>11.132</v>
      </c>
      <c r="M212" s="17">
        <f>CHOOSE(CONTROL!$C$42, 10.0811, 10.0811) * CHOOSE(CONTROL!$C$21, $C$9, 100%, $E$9)</f>
        <v>10.081099999999999</v>
      </c>
      <c r="N212" s="17">
        <f>CHOOSE(CONTROL!$C$42, 10.0977, 10.0977) * CHOOSE(CONTROL!$C$21, $C$9, 100%, $E$9)</f>
        <v>10.0977</v>
      </c>
      <c r="O212" s="17">
        <f>CHOOSE(CONTROL!$C$42, 10.363, 10.363) * CHOOSE(CONTROL!$C$21, $C$9, 100%, $E$9)</f>
        <v>10.363</v>
      </c>
      <c r="P212" s="17">
        <f>CHOOSE(CONTROL!$C$42, 10.1197, 10.1197) * CHOOSE(CONTROL!$C$21, $C$9, 100%, $E$9)</f>
        <v>10.1197</v>
      </c>
      <c r="Q212" s="17">
        <f>CHOOSE(CONTROL!$C$42, 10.9577, 10.9577) * CHOOSE(CONTROL!$C$21, $C$9, 100%, $E$9)</f>
        <v>10.957700000000001</v>
      </c>
      <c r="R212" s="17">
        <f>CHOOSE(CONTROL!$C$42, 11.5721, 11.5721) * CHOOSE(CONTROL!$C$21, $C$9, 100%, $E$9)</f>
        <v>11.572100000000001</v>
      </c>
      <c r="S212" s="17">
        <f>CHOOSE(CONTROL!$C$42, 9.8346, 9.8346) * CHOOSE(CONTROL!$C$21, $C$9, 100%, $E$9)</f>
        <v>9.8346</v>
      </c>
      <c r="T21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12" s="56">
        <f>(1000*CHOOSE(CONTROL!$C$42, 695, 695)*CHOOSE(CONTROL!$C$42, 0.5599, 0.5599)*CHOOSE(CONTROL!$C$42, 31, 31))/1000000</f>
        <v>12.063045499999998</v>
      </c>
      <c r="V212" s="56">
        <f>(1000*CHOOSE(CONTROL!$C$42, 500, 500)*CHOOSE(CONTROL!$C$42, 0.275, 0.275)*CHOOSE(CONTROL!$C$42, 31, 31))/1000000</f>
        <v>4.2625000000000002</v>
      </c>
      <c r="W212" s="56">
        <f>(1000*CHOOSE(CONTROL!$C$42, 0.1146, 0.1146)*CHOOSE(CONTROL!$C$42, 121.5, 121.5)*CHOOSE(CONTROL!$C$42, 31, 31))/1000000</f>
        <v>0.43164089999999994</v>
      </c>
      <c r="X212" s="56">
        <f>(31*0.1790888*145000/1000000)+(31*0.2374*100000/1000000)</f>
        <v>1.5409441560000001</v>
      </c>
      <c r="Y212" s="56"/>
      <c r="Z212" s="17"/>
      <c r="AA212" s="55"/>
      <c r="AB212" s="48">
        <f>(B212*194.205+C212*267.466+D212*133.845+E212*153.484+F212*40+G212*85+H212*0+I212*100+J212*300)/(194.205+267.466+133.845+153.484+0+40+85+100+300)</f>
        <v>10.324153216562012</v>
      </c>
      <c r="AC212" s="45">
        <f>(M212*'RAP TEMPLATE-GAS AVAILABILITY'!O211+N212*'RAP TEMPLATE-GAS AVAILABILITY'!P211+O212*'RAP TEMPLATE-GAS AVAILABILITY'!Q211+P212*'RAP TEMPLATE-GAS AVAILABILITY'!R211)/('RAP TEMPLATE-GAS AVAILABILITY'!O211+'RAP TEMPLATE-GAS AVAILABILITY'!P211+'RAP TEMPLATE-GAS AVAILABILITY'!Q211+'RAP TEMPLATE-GAS AVAILABILITY'!R211)</f>
        <v>10.169569784172662</v>
      </c>
    </row>
    <row r="213" spans="1:29" ht="15.75" x14ac:dyDescent="0.25">
      <c r="A213" s="16">
        <v>47362</v>
      </c>
      <c r="B213" s="17">
        <f>CHOOSE(CONTROL!$C$42, 9.6156, 9.6156) * CHOOSE(CONTROL!$C$21, $C$9, 100%, $E$9)</f>
        <v>9.6156000000000006</v>
      </c>
      <c r="C213" s="17">
        <f>CHOOSE(CONTROL!$C$42, 9.6236, 9.6236) * CHOOSE(CONTROL!$C$21, $C$9, 100%, $E$9)</f>
        <v>9.6235999999999997</v>
      </c>
      <c r="D213" s="17">
        <f>CHOOSE(CONTROL!$C$42, 9.8947, 9.8947) * CHOOSE(CONTROL!$C$21, $C$9, 100%, $E$9)</f>
        <v>9.8947000000000003</v>
      </c>
      <c r="E213" s="17">
        <f>CHOOSE(CONTROL!$C$42, 9.9262, 9.9262) * CHOOSE(CONTROL!$C$21, $C$9, 100%, $E$9)</f>
        <v>9.9261999999999997</v>
      </c>
      <c r="F213" s="17">
        <f>CHOOSE(CONTROL!$C$42, 9.6348, 9.6348)*CHOOSE(CONTROL!$C$21, $C$9, 100%, $E$9)</f>
        <v>9.6348000000000003</v>
      </c>
      <c r="G213" s="17">
        <f>CHOOSE(CONTROL!$C$42, 9.6517, 9.6517)*CHOOSE(CONTROL!$C$21, $C$9, 100%, $E$9)</f>
        <v>9.6516999999999999</v>
      </c>
      <c r="H213" s="17">
        <f>CHOOSE(CONTROL!$C$42, 9.9148, 9.9148) * CHOOSE(CONTROL!$C$21, $C$9, 100%, $E$9)</f>
        <v>9.9147999999999996</v>
      </c>
      <c r="I213" s="17">
        <f>CHOOSE(CONTROL!$C$42, 9.6656, 9.6656)* CHOOSE(CONTROL!$C$21, $C$9, 100%, $E$9)</f>
        <v>9.6655999999999995</v>
      </c>
      <c r="J213" s="17">
        <f>CHOOSE(CONTROL!$C$42, 9.6278, 9.6278)* CHOOSE(CONTROL!$C$21, $C$9, 100%, $E$9)</f>
        <v>9.6278000000000006</v>
      </c>
      <c r="K213" s="52">
        <f>CHOOSE(CONTROL!$C$42, 9.6614, 9.6614) * CHOOSE(CONTROL!$C$21, $C$9, 100%, $E$9)</f>
        <v>9.6614000000000004</v>
      </c>
      <c r="L213" s="17">
        <f>CHOOSE(CONTROL!$C$42, 10.5018, 10.5018) * CHOOSE(CONTROL!$C$21, $C$9, 100%, $E$9)</f>
        <v>10.501799999999999</v>
      </c>
      <c r="M213" s="17">
        <f>CHOOSE(CONTROL!$C$42, 9.4623, 9.4623) * CHOOSE(CONTROL!$C$21, $C$9, 100%, $E$9)</f>
        <v>9.4623000000000008</v>
      </c>
      <c r="N213" s="17">
        <f>CHOOSE(CONTROL!$C$42, 9.4789, 9.4789) * CHOOSE(CONTROL!$C$21, $C$9, 100%, $E$9)</f>
        <v>9.4788999999999994</v>
      </c>
      <c r="O213" s="17">
        <f>CHOOSE(CONTROL!$C$42, 9.7441, 9.7441) * CHOOSE(CONTROL!$C$21, $C$9, 100%, $E$9)</f>
        <v>9.7440999999999995</v>
      </c>
      <c r="P213" s="17">
        <f>CHOOSE(CONTROL!$C$42, 9.499, 9.499) * CHOOSE(CONTROL!$C$21, $C$9, 100%, $E$9)</f>
        <v>9.4990000000000006</v>
      </c>
      <c r="Q213" s="17">
        <f>CHOOSE(CONTROL!$C$42, 10.3388, 10.3388) * CHOOSE(CONTROL!$C$21, $C$9, 100%, $E$9)</f>
        <v>10.338800000000001</v>
      </c>
      <c r="R213" s="17">
        <f>CHOOSE(CONTROL!$C$42, 10.9517, 10.9517) * CHOOSE(CONTROL!$C$21, $C$9, 100%, $E$9)</f>
        <v>10.951700000000001</v>
      </c>
      <c r="S213" s="17">
        <f>CHOOSE(CONTROL!$C$42, 9.229, 9.229) * CHOOSE(CONTROL!$C$21, $C$9, 100%, $E$9)</f>
        <v>9.2289999999999992</v>
      </c>
      <c r="T21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13" s="56">
        <f>(1000*CHOOSE(CONTROL!$C$42, 695, 695)*CHOOSE(CONTROL!$C$42, 0.5599, 0.5599)*CHOOSE(CONTROL!$C$42, 30, 30))/1000000</f>
        <v>11.673914999999997</v>
      </c>
      <c r="V213" s="56">
        <f>(1000*CHOOSE(CONTROL!$C$42, 500, 500)*CHOOSE(CONTROL!$C$42, 0.275, 0.275)*CHOOSE(CONTROL!$C$42, 30, 30))/1000000</f>
        <v>4.125</v>
      </c>
      <c r="W213" s="56">
        <f>(1000*CHOOSE(CONTROL!$C$42, 0.1146, 0.1146)*CHOOSE(CONTROL!$C$42, 121.5, 121.5)*CHOOSE(CONTROL!$C$42, 30, 30))/1000000</f>
        <v>0.417717</v>
      </c>
      <c r="X213" s="56">
        <f>(30*0.1790888*145000/1000000)+(30*0.2374*100000/1000000)</f>
        <v>1.4912362799999999</v>
      </c>
      <c r="Y213" s="56"/>
      <c r="Z213" s="17"/>
      <c r="AA213" s="55"/>
      <c r="AB213" s="48">
        <f>(B213*194.205+C213*267.466+D213*133.845+E213*153.484+F213*40+G213*85+H213*0+I213*100+J213*300)/(194.205+267.466+133.845+153.484+0+40+85+100+300)</f>
        <v>9.6938295901883826</v>
      </c>
      <c r="AC213" s="45">
        <f>(M213*'RAP TEMPLATE-GAS AVAILABILITY'!O212+N213*'RAP TEMPLATE-GAS AVAILABILITY'!P212+O213*'RAP TEMPLATE-GAS AVAILABILITY'!Q212+P213*'RAP TEMPLATE-GAS AVAILABILITY'!R212)/('RAP TEMPLATE-GAS AVAILABILITY'!O212+'RAP TEMPLATE-GAS AVAILABILITY'!P212+'RAP TEMPLATE-GAS AVAILABILITY'!Q212+'RAP TEMPLATE-GAS AVAILABILITY'!R212)</f>
        <v>9.5504683453237398</v>
      </c>
    </row>
    <row r="214" spans="1:29" ht="15.75" x14ac:dyDescent="0.25">
      <c r="A214" s="16">
        <v>47392</v>
      </c>
      <c r="B214" s="17">
        <f>CHOOSE(CONTROL!$C$42, 9.4382, 9.4382) * CHOOSE(CONTROL!$C$21, $C$9, 100%, $E$9)</f>
        <v>9.4382000000000001</v>
      </c>
      <c r="C214" s="17">
        <f>CHOOSE(CONTROL!$C$42, 9.4436, 9.4436) * CHOOSE(CONTROL!$C$21, $C$9, 100%, $E$9)</f>
        <v>9.4436</v>
      </c>
      <c r="D214" s="17">
        <f>CHOOSE(CONTROL!$C$42, 9.7196, 9.7196) * CHOOSE(CONTROL!$C$21, $C$9, 100%, $E$9)</f>
        <v>9.7195999999999998</v>
      </c>
      <c r="E214" s="17">
        <f>CHOOSE(CONTROL!$C$42, 9.7487, 9.7487) * CHOOSE(CONTROL!$C$21, $C$9, 100%, $E$9)</f>
        <v>9.7486999999999995</v>
      </c>
      <c r="F214" s="17">
        <f>CHOOSE(CONTROL!$C$42, 9.4596, 9.4596)*CHOOSE(CONTROL!$C$21, $C$9, 100%, $E$9)</f>
        <v>9.4596</v>
      </c>
      <c r="G214" s="17">
        <f>CHOOSE(CONTROL!$C$42, 9.4764, 9.4764)*CHOOSE(CONTROL!$C$21, $C$9, 100%, $E$9)</f>
        <v>9.4763999999999999</v>
      </c>
      <c r="H214" s="17">
        <f>CHOOSE(CONTROL!$C$42, 9.7392, 9.7392) * CHOOSE(CONTROL!$C$21, $C$9, 100%, $E$9)</f>
        <v>9.7392000000000003</v>
      </c>
      <c r="I214" s="17">
        <f>CHOOSE(CONTROL!$C$42, 9.4894, 9.4894)* CHOOSE(CONTROL!$C$21, $C$9, 100%, $E$9)</f>
        <v>9.4893999999999998</v>
      </c>
      <c r="J214" s="17">
        <f>CHOOSE(CONTROL!$C$42, 9.4526, 9.4526)* CHOOSE(CONTROL!$C$21, $C$9, 100%, $E$9)</f>
        <v>9.4526000000000003</v>
      </c>
      <c r="K214" s="52">
        <f>CHOOSE(CONTROL!$C$42, 9.4852, 9.4852) * CHOOSE(CONTROL!$C$21, $C$9, 100%, $E$9)</f>
        <v>9.4852000000000007</v>
      </c>
      <c r="L214" s="17">
        <f>CHOOSE(CONTROL!$C$42, 10.3262, 10.3262) * CHOOSE(CONTROL!$C$21, $C$9, 100%, $E$9)</f>
        <v>10.3262</v>
      </c>
      <c r="M214" s="17">
        <f>CHOOSE(CONTROL!$C$42, 9.2903, 9.2903) * CHOOSE(CONTROL!$C$21, $C$9, 100%, $E$9)</f>
        <v>9.2903000000000002</v>
      </c>
      <c r="N214" s="17">
        <f>CHOOSE(CONTROL!$C$42, 9.3068, 9.3068) * CHOOSE(CONTROL!$C$21, $C$9, 100%, $E$9)</f>
        <v>9.3068000000000008</v>
      </c>
      <c r="O214" s="17">
        <f>CHOOSE(CONTROL!$C$42, 9.5717, 9.5717) * CHOOSE(CONTROL!$C$21, $C$9, 100%, $E$9)</f>
        <v>9.5716999999999999</v>
      </c>
      <c r="P214" s="17">
        <f>CHOOSE(CONTROL!$C$42, 9.326, 9.326) * CHOOSE(CONTROL!$C$21, $C$9, 100%, $E$9)</f>
        <v>9.3260000000000005</v>
      </c>
      <c r="Q214" s="17">
        <f>CHOOSE(CONTROL!$C$42, 10.1664, 10.1664) * CHOOSE(CONTROL!$C$21, $C$9, 100%, $E$9)</f>
        <v>10.166399999999999</v>
      </c>
      <c r="R214" s="17">
        <f>CHOOSE(CONTROL!$C$42, 10.7788, 10.7788) * CHOOSE(CONTROL!$C$21, $C$9, 100%, $E$9)</f>
        <v>10.7788</v>
      </c>
      <c r="S214" s="17">
        <f>CHOOSE(CONTROL!$C$42, 9.0603, 9.0603) * CHOOSE(CONTROL!$C$21, $C$9, 100%, $E$9)</f>
        <v>9.0602999999999998</v>
      </c>
      <c r="T21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14" s="56">
        <f>(1000*CHOOSE(CONTROL!$C$42, 695, 695)*CHOOSE(CONTROL!$C$42, 0.5599, 0.5599)*CHOOSE(CONTROL!$C$42, 31, 31))/1000000</f>
        <v>12.063045499999998</v>
      </c>
      <c r="V214" s="56">
        <f>(1000*CHOOSE(CONTROL!$C$42, 500, 500)*CHOOSE(CONTROL!$C$42, 0.275, 0.275)*CHOOSE(CONTROL!$C$42, 31, 31))/1000000</f>
        <v>4.2625000000000002</v>
      </c>
      <c r="W214" s="56">
        <f>(1000*CHOOSE(CONTROL!$C$42, 0.1146, 0.1146)*CHOOSE(CONTROL!$C$42, 121.5, 121.5)*CHOOSE(CONTROL!$C$42, 31, 31))/1000000</f>
        <v>0.43164089999999994</v>
      </c>
      <c r="X214" s="56">
        <f>(31*0.1790888*145000/1000000)+(31*0.2374*100000/1000000)</f>
        <v>1.5409441560000001</v>
      </c>
      <c r="Y214" s="56"/>
      <c r="Z214" s="17"/>
      <c r="AA214" s="55"/>
      <c r="AB214" s="48">
        <f>(B214*131.881+C214*277.167+D214*79.08+E214*225.872+F214*40+G214*85+H214*0+I214*100+J214*300)/(131.881+277.167+79.08+225.872+0+40+85+100+300)</f>
        <v>9.524903849717516</v>
      </c>
      <c r="AC214" s="45">
        <f>(M214*'RAP TEMPLATE-GAS AVAILABILITY'!O213+N214*'RAP TEMPLATE-GAS AVAILABILITY'!P213+O214*'RAP TEMPLATE-GAS AVAILABILITY'!Q213+P214*'RAP TEMPLATE-GAS AVAILABILITY'!R213)/('RAP TEMPLATE-GAS AVAILABILITY'!O213+'RAP TEMPLATE-GAS AVAILABILITY'!P213+'RAP TEMPLATE-GAS AVAILABILITY'!Q213+'RAP TEMPLATE-GAS AVAILABILITY'!R213)</f>
        <v>9.3781892086330938</v>
      </c>
    </row>
    <row r="215" spans="1:29" ht="15.75" x14ac:dyDescent="0.25">
      <c r="A215" s="16">
        <v>47423</v>
      </c>
      <c r="B215" s="17">
        <f>CHOOSE(CONTROL!$C$42, 9.7061, 9.7061) * CHOOSE(CONTROL!$C$21, $C$9, 100%, $E$9)</f>
        <v>9.7060999999999993</v>
      </c>
      <c r="C215" s="17">
        <f>CHOOSE(CONTROL!$C$42, 9.7112, 9.7112) * CHOOSE(CONTROL!$C$21, $C$9, 100%, $E$9)</f>
        <v>9.7111999999999998</v>
      </c>
      <c r="D215" s="17">
        <f>CHOOSE(CONTROL!$C$42, 9.8062, 9.8062) * CHOOSE(CONTROL!$C$21, $C$9, 100%, $E$9)</f>
        <v>9.8062000000000005</v>
      </c>
      <c r="E215" s="17">
        <f>CHOOSE(CONTROL!$C$42, 9.8403, 9.8403) * CHOOSE(CONTROL!$C$21, $C$9, 100%, $E$9)</f>
        <v>9.8402999999999992</v>
      </c>
      <c r="F215" s="17">
        <f>CHOOSE(CONTROL!$C$42, 9.73, 9.73)*CHOOSE(CONTROL!$C$21, $C$9, 100%, $E$9)</f>
        <v>9.73</v>
      </c>
      <c r="G215" s="17">
        <f>CHOOSE(CONTROL!$C$42, 9.7471, 9.7471)*CHOOSE(CONTROL!$C$21, $C$9, 100%, $E$9)</f>
        <v>9.7470999999999997</v>
      </c>
      <c r="H215" s="17">
        <f>CHOOSE(CONTROL!$C$42, 9.8295, 9.8295) * CHOOSE(CONTROL!$C$21, $C$9, 100%, $E$9)</f>
        <v>9.8294999999999995</v>
      </c>
      <c r="I215" s="17">
        <f>CHOOSE(CONTROL!$C$42, 9.7565, 9.7565)* CHOOSE(CONTROL!$C$21, $C$9, 100%, $E$9)</f>
        <v>9.7565000000000008</v>
      </c>
      <c r="J215" s="17">
        <f>CHOOSE(CONTROL!$C$42, 9.723, 9.723)* CHOOSE(CONTROL!$C$21, $C$9, 100%, $E$9)</f>
        <v>9.7230000000000008</v>
      </c>
      <c r="K215" s="52">
        <f>CHOOSE(CONTROL!$C$42, 9.7523, 9.7523) * CHOOSE(CONTROL!$C$21, $C$9, 100%, $E$9)</f>
        <v>9.7523</v>
      </c>
      <c r="L215" s="17">
        <f>CHOOSE(CONTROL!$C$42, 10.4165, 10.4165) * CHOOSE(CONTROL!$C$21, $C$9, 100%, $E$9)</f>
        <v>10.416499999999999</v>
      </c>
      <c r="M215" s="17">
        <f>CHOOSE(CONTROL!$C$42, 9.5558, 9.5558) * CHOOSE(CONTROL!$C$21, $C$9, 100%, $E$9)</f>
        <v>9.5557999999999996</v>
      </c>
      <c r="N215" s="17">
        <f>CHOOSE(CONTROL!$C$42, 9.5726, 9.5726) * CHOOSE(CONTROL!$C$21, $C$9, 100%, $E$9)</f>
        <v>9.5725999999999996</v>
      </c>
      <c r="O215" s="17">
        <f>CHOOSE(CONTROL!$C$42, 9.6604, 9.6604) * CHOOSE(CONTROL!$C$21, $C$9, 100%, $E$9)</f>
        <v>9.6603999999999992</v>
      </c>
      <c r="P215" s="17">
        <f>CHOOSE(CONTROL!$C$42, 9.5882, 9.5882) * CHOOSE(CONTROL!$C$21, $C$9, 100%, $E$9)</f>
        <v>9.5882000000000005</v>
      </c>
      <c r="Q215" s="17">
        <f>CHOOSE(CONTROL!$C$42, 10.2551, 10.2551) * CHOOSE(CONTROL!$C$21, $C$9, 100%, $E$9)</f>
        <v>10.255100000000001</v>
      </c>
      <c r="R215" s="17">
        <f>CHOOSE(CONTROL!$C$42, 10.8678, 10.8678) * CHOOSE(CONTROL!$C$21, $C$9, 100%, $E$9)</f>
        <v>10.867800000000001</v>
      </c>
      <c r="S215" s="17">
        <f>CHOOSE(CONTROL!$C$42, 9.3181, 9.3181) * CHOOSE(CONTROL!$C$21, $C$9, 100%, $E$9)</f>
        <v>9.3180999999999994</v>
      </c>
      <c r="T21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15" s="56">
        <f>(1000*CHOOSE(CONTROL!$C$42, 695, 695)*CHOOSE(CONTROL!$C$42, 0.5599, 0.5599)*CHOOSE(CONTROL!$C$42, 30, 30))/1000000</f>
        <v>11.673914999999997</v>
      </c>
      <c r="V215" s="56">
        <f>(1000*CHOOSE(CONTROL!$C$42, 500, 500)*CHOOSE(CONTROL!$C$42, 0.275, 0.275)*CHOOSE(CONTROL!$C$42, 30, 30))/1000000</f>
        <v>4.125</v>
      </c>
      <c r="W215" s="56">
        <f>(1000*CHOOSE(CONTROL!$C$42, 0.1146, 0.1146)*CHOOSE(CONTROL!$C$42, 121.5, 121.5)*CHOOSE(CONTROL!$C$42, 30, 30))/1000000</f>
        <v>0.417717</v>
      </c>
      <c r="X215" s="56">
        <f>(30*0.2374*100000/1000000)</f>
        <v>0.71220000000000006</v>
      </c>
      <c r="Y215" s="56"/>
      <c r="Z215" s="17"/>
      <c r="AA215" s="55"/>
      <c r="AB215" s="48">
        <f>(B215*122.58+C215*297.941+D215*89.177+E215*140.302+F215*40+G215*60+H215*0+I215*100+J215*300)/(122.58+297.941+89.177+140.302+0+40+60+100+300)</f>
        <v>9.7433179523478248</v>
      </c>
      <c r="AC215" s="45">
        <f>(M215*'RAP TEMPLATE-GAS AVAILABILITY'!O214+N215*'RAP TEMPLATE-GAS AVAILABILITY'!P214+O215*'RAP TEMPLATE-GAS AVAILABILITY'!Q214+P215*'RAP TEMPLATE-GAS AVAILABILITY'!R214)/('RAP TEMPLATE-GAS AVAILABILITY'!O214+'RAP TEMPLATE-GAS AVAILABILITY'!P214+'RAP TEMPLATE-GAS AVAILABILITY'!Q214+'RAP TEMPLATE-GAS AVAILABILITY'!R214)</f>
        <v>9.608837410071942</v>
      </c>
    </row>
    <row r="216" spans="1:29" ht="15.75" x14ac:dyDescent="0.25">
      <c r="A216" s="16">
        <v>47453</v>
      </c>
      <c r="B216" s="17">
        <f>CHOOSE(CONTROL!$C$42, 10.3886, 10.3886) * CHOOSE(CONTROL!$C$21, $C$9, 100%, $E$9)</f>
        <v>10.3886</v>
      </c>
      <c r="C216" s="17">
        <f>CHOOSE(CONTROL!$C$42, 10.3936, 10.3936) * CHOOSE(CONTROL!$C$21, $C$9, 100%, $E$9)</f>
        <v>10.393599999999999</v>
      </c>
      <c r="D216" s="17">
        <f>CHOOSE(CONTROL!$C$42, 10.4887, 10.4887) * CHOOSE(CONTROL!$C$21, $C$9, 100%, $E$9)</f>
        <v>10.4887</v>
      </c>
      <c r="E216" s="17">
        <f>CHOOSE(CONTROL!$C$42, 10.5228, 10.5228) * CHOOSE(CONTROL!$C$21, $C$9, 100%, $E$9)</f>
        <v>10.5228</v>
      </c>
      <c r="F216" s="17">
        <f>CHOOSE(CONTROL!$C$42, 10.4148, 10.4148)*CHOOSE(CONTROL!$C$21, $C$9, 100%, $E$9)</f>
        <v>10.4148</v>
      </c>
      <c r="G216" s="17">
        <f>CHOOSE(CONTROL!$C$42, 10.4325, 10.4325)*CHOOSE(CONTROL!$C$21, $C$9, 100%, $E$9)</f>
        <v>10.432499999999999</v>
      </c>
      <c r="H216" s="17">
        <f>CHOOSE(CONTROL!$C$42, 10.512, 10.512) * CHOOSE(CONTROL!$C$21, $C$9, 100%, $E$9)</f>
        <v>10.512</v>
      </c>
      <c r="I216" s="17">
        <f>CHOOSE(CONTROL!$C$42, 10.4411, 10.4411)* CHOOSE(CONTROL!$C$21, $C$9, 100%, $E$9)</f>
        <v>10.4411</v>
      </c>
      <c r="J216" s="17">
        <f>CHOOSE(CONTROL!$C$42, 10.4078, 10.4078)* CHOOSE(CONTROL!$C$21, $C$9, 100%, $E$9)</f>
        <v>10.4078</v>
      </c>
      <c r="K216" s="52">
        <f>CHOOSE(CONTROL!$C$42, 10.4368, 10.4368) * CHOOSE(CONTROL!$C$21, $C$9, 100%, $E$9)</f>
        <v>10.4368</v>
      </c>
      <c r="L216" s="17">
        <f>CHOOSE(CONTROL!$C$42, 11.099, 11.099) * CHOOSE(CONTROL!$C$21, $C$9, 100%, $E$9)</f>
        <v>11.099</v>
      </c>
      <c r="M216" s="17">
        <f>CHOOSE(CONTROL!$C$42, 10.2283, 10.2283) * CHOOSE(CONTROL!$C$21, $C$9, 100%, $E$9)</f>
        <v>10.228300000000001</v>
      </c>
      <c r="N216" s="17">
        <f>CHOOSE(CONTROL!$C$42, 10.2457, 10.2457) * CHOOSE(CONTROL!$C$21, $C$9, 100%, $E$9)</f>
        <v>10.245699999999999</v>
      </c>
      <c r="O216" s="17">
        <f>CHOOSE(CONTROL!$C$42, 10.3306, 10.3306) * CHOOSE(CONTROL!$C$21, $C$9, 100%, $E$9)</f>
        <v>10.3306</v>
      </c>
      <c r="P216" s="17">
        <f>CHOOSE(CONTROL!$C$42, 10.2605, 10.2605) * CHOOSE(CONTROL!$C$21, $C$9, 100%, $E$9)</f>
        <v>10.2605</v>
      </c>
      <c r="Q216" s="17">
        <f>CHOOSE(CONTROL!$C$42, 10.9253, 10.9253) * CHOOSE(CONTROL!$C$21, $C$9, 100%, $E$9)</f>
        <v>10.9253</v>
      </c>
      <c r="R216" s="17">
        <f>CHOOSE(CONTROL!$C$42, 11.5396, 11.5396) * CHOOSE(CONTROL!$C$21, $C$9, 100%, $E$9)</f>
        <v>11.5396</v>
      </c>
      <c r="S216" s="17">
        <f>CHOOSE(CONTROL!$C$42, 9.9738, 9.9738) * CHOOSE(CONTROL!$C$21, $C$9, 100%, $E$9)</f>
        <v>9.9738000000000007</v>
      </c>
      <c r="T21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16" s="56">
        <f>(1000*CHOOSE(CONTROL!$C$42, 695, 695)*CHOOSE(CONTROL!$C$42, 0.5599, 0.5599)*CHOOSE(CONTROL!$C$42, 31, 31))/1000000</f>
        <v>12.063045499999998</v>
      </c>
      <c r="V216" s="56">
        <f>(1000*CHOOSE(CONTROL!$C$42, 500, 500)*CHOOSE(CONTROL!$C$42, 0.275, 0.275)*CHOOSE(CONTROL!$C$42, 31, 31))/1000000</f>
        <v>4.2625000000000002</v>
      </c>
      <c r="W216" s="56">
        <f>(1000*CHOOSE(CONTROL!$C$42, 0.1146, 0.1146)*CHOOSE(CONTROL!$C$42, 121.5, 121.5)*CHOOSE(CONTROL!$C$42, 31, 31))/1000000</f>
        <v>0.43164089999999994</v>
      </c>
      <c r="X216" s="56">
        <f>(31*0.2374*100000/1000000)</f>
        <v>0.73594000000000004</v>
      </c>
      <c r="Y216" s="56"/>
      <c r="Z216" s="17"/>
      <c r="AA216" s="55"/>
      <c r="AB216" s="48">
        <f>(B216*122.58+C216*297.941+D216*89.177+E216*140.302+F216*40+G216*60+H216*0+I216*100+J216*300)/(122.58+297.941+89.177+140.302+0+40+60+100+300)</f>
        <v>10.426805957478262</v>
      </c>
      <c r="AC216" s="45">
        <f>(M216*'RAP TEMPLATE-GAS AVAILABILITY'!O215+N216*'RAP TEMPLATE-GAS AVAILABILITY'!P215+O216*'RAP TEMPLATE-GAS AVAILABILITY'!Q215+P216*'RAP TEMPLATE-GAS AVAILABILITY'!R215)/('RAP TEMPLATE-GAS AVAILABILITY'!O215+'RAP TEMPLATE-GAS AVAILABILITY'!P215+'RAP TEMPLATE-GAS AVAILABILITY'!Q215+'RAP TEMPLATE-GAS AVAILABILITY'!R215)</f>
        <v>10.28030071942446</v>
      </c>
    </row>
    <row r="217" spans="1:29" ht="15.75" x14ac:dyDescent="0.25">
      <c r="A217" s="16">
        <v>47484</v>
      </c>
      <c r="B217" s="17">
        <f>CHOOSE(CONTROL!$C$42, 10.921, 10.921) * CHOOSE(CONTROL!$C$21, $C$9, 100%, $E$9)</f>
        <v>10.920999999999999</v>
      </c>
      <c r="C217" s="17">
        <f>CHOOSE(CONTROL!$C$42, 10.9261, 10.9261) * CHOOSE(CONTROL!$C$21, $C$9, 100%, $E$9)</f>
        <v>10.9261</v>
      </c>
      <c r="D217" s="17">
        <f>CHOOSE(CONTROL!$C$42, 11.0445, 11.0445) * CHOOSE(CONTROL!$C$21, $C$9, 100%, $E$9)</f>
        <v>11.044499999999999</v>
      </c>
      <c r="E217" s="17">
        <f>CHOOSE(CONTROL!$C$42, 11.0786, 11.0786) * CHOOSE(CONTROL!$C$21, $C$9, 100%, $E$9)</f>
        <v>11.0786</v>
      </c>
      <c r="F217" s="17">
        <f>CHOOSE(CONTROL!$C$42, 10.9414, 10.9414)*CHOOSE(CONTROL!$C$21, $C$9, 100%, $E$9)</f>
        <v>10.9414</v>
      </c>
      <c r="G217" s="17">
        <f>CHOOSE(CONTROL!$C$42, 10.9583, 10.9583)*CHOOSE(CONTROL!$C$21, $C$9, 100%, $E$9)</f>
        <v>10.958299999999999</v>
      </c>
      <c r="H217" s="17">
        <f>CHOOSE(CONTROL!$C$42, 11.0678, 11.0678) * CHOOSE(CONTROL!$C$21, $C$9, 100%, $E$9)</f>
        <v>11.0678</v>
      </c>
      <c r="I217" s="17">
        <f>CHOOSE(CONTROL!$C$42, 10.9788, 10.9788)* CHOOSE(CONTROL!$C$21, $C$9, 100%, $E$9)</f>
        <v>10.9788</v>
      </c>
      <c r="J217" s="17">
        <f>CHOOSE(CONTROL!$C$42, 10.9344, 10.9344)* CHOOSE(CONTROL!$C$21, $C$9, 100%, $E$9)</f>
        <v>10.9344</v>
      </c>
      <c r="K217" s="52">
        <f>CHOOSE(CONTROL!$C$42, 10.9746, 10.9746) * CHOOSE(CONTROL!$C$21, $C$9, 100%, $E$9)</f>
        <v>10.974600000000001</v>
      </c>
      <c r="L217" s="17">
        <f>CHOOSE(CONTROL!$C$42, 11.6548, 11.6548) * CHOOSE(CONTROL!$C$21, $C$9, 100%, $E$9)</f>
        <v>11.6548</v>
      </c>
      <c r="M217" s="17">
        <f>CHOOSE(CONTROL!$C$42, 10.7454, 10.7454) * CHOOSE(CONTROL!$C$21, $C$9, 100%, $E$9)</f>
        <v>10.7454</v>
      </c>
      <c r="N217" s="17">
        <f>CHOOSE(CONTROL!$C$42, 10.762, 10.762) * CHOOSE(CONTROL!$C$21, $C$9, 100%, $E$9)</f>
        <v>10.762</v>
      </c>
      <c r="O217" s="17">
        <f>CHOOSE(CONTROL!$C$42, 10.8765, 10.8765) * CHOOSE(CONTROL!$C$21, $C$9, 100%, $E$9)</f>
        <v>10.8765</v>
      </c>
      <c r="P217" s="17">
        <f>CHOOSE(CONTROL!$C$42, 10.7885, 10.7885) * CHOOSE(CONTROL!$C$21, $C$9, 100%, $E$9)</f>
        <v>10.788500000000001</v>
      </c>
      <c r="Q217" s="17">
        <f>CHOOSE(CONTROL!$C$42, 11.4712, 11.4712) * CHOOSE(CONTROL!$C$21, $C$9, 100%, $E$9)</f>
        <v>11.4712</v>
      </c>
      <c r="R217" s="17">
        <f>CHOOSE(CONTROL!$C$42, 12.0868, 12.0868) * CHOOSE(CONTROL!$C$21, $C$9, 100%, $E$9)</f>
        <v>12.0868</v>
      </c>
      <c r="S217" s="17">
        <f>CHOOSE(CONTROL!$C$42, 10.4855, 10.4855) * CHOOSE(CONTROL!$C$21, $C$9, 100%, $E$9)</f>
        <v>10.4855</v>
      </c>
      <c r="T21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17" s="56">
        <f>(1000*CHOOSE(CONTROL!$C$42, 695, 695)*CHOOSE(CONTROL!$C$42, 0.5599, 0.5599)*CHOOSE(CONTROL!$C$42, 31, 31))/1000000</f>
        <v>12.063045499999998</v>
      </c>
      <c r="V217" s="56">
        <f>(1000*CHOOSE(CONTROL!$C$42, 500, 500)*CHOOSE(CONTROL!$C$42, 0.275, 0.275)*CHOOSE(CONTROL!$C$42, 31, 31))/1000000</f>
        <v>4.2625000000000002</v>
      </c>
      <c r="W217" s="56">
        <f>(1000*CHOOSE(CONTROL!$C$42, 0.1146, 0.1146)*CHOOSE(CONTROL!$C$42, 121.5, 121.5)*CHOOSE(CONTROL!$C$42, 31, 31))/1000000</f>
        <v>0.43164089999999994</v>
      </c>
      <c r="X217" s="56">
        <f>(31*0.2374*100000/1000000)</f>
        <v>0.73594000000000004</v>
      </c>
      <c r="Y217" s="56"/>
      <c r="Z217" s="17"/>
      <c r="AA217" s="55"/>
      <c r="AB217" s="48">
        <f>(B217*122.58+C217*297.941+D217*89.177+E217*140.302+F217*40+G217*60+H217*0+I217*100+J217*300)/(122.58+297.941+89.177+140.302+0+40+60+100+300)</f>
        <v>10.962303003304347</v>
      </c>
      <c r="AC217" s="45">
        <f>(M217*'RAP TEMPLATE-GAS AVAILABILITY'!O216+N217*'RAP TEMPLATE-GAS AVAILABILITY'!P216+O217*'RAP TEMPLATE-GAS AVAILABILITY'!Q216+P217*'RAP TEMPLATE-GAS AVAILABILITY'!R216)/('RAP TEMPLATE-GAS AVAILABILITY'!O216+'RAP TEMPLATE-GAS AVAILABILITY'!P216+'RAP TEMPLATE-GAS AVAILABILITY'!Q216+'RAP TEMPLATE-GAS AVAILABILITY'!R216)</f>
        <v>10.811976258992807</v>
      </c>
    </row>
    <row r="218" spans="1:29" ht="15.75" x14ac:dyDescent="0.25">
      <c r="A218" s="16">
        <v>47515</v>
      </c>
      <c r="B218" s="17">
        <f>CHOOSE(CONTROL!$C$42, 11.1381, 11.1381) * CHOOSE(CONTROL!$C$21, $C$9, 100%, $E$9)</f>
        <v>11.1381</v>
      </c>
      <c r="C218" s="17">
        <f>CHOOSE(CONTROL!$C$42, 11.1432, 11.1432) * CHOOSE(CONTROL!$C$21, $C$9, 100%, $E$9)</f>
        <v>11.1432</v>
      </c>
      <c r="D218" s="17">
        <f>CHOOSE(CONTROL!$C$42, 11.2617, 11.2617) * CHOOSE(CONTROL!$C$21, $C$9, 100%, $E$9)</f>
        <v>11.261699999999999</v>
      </c>
      <c r="E218" s="17">
        <f>CHOOSE(CONTROL!$C$42, 11.2958, 11.2958) * CHOOSE(CONTROL!$C$21, $C$9, 100%, $E$9)</f>
        <v>11.2958</v>
      </c>
      <c r="F218" s="17">
        <f>CHOOSE(CONTROL!$C$42, 11.1585, 11.1585)*CHOOSE(CONTROL!$C$21, $C$9, 100%, $E$9)</f>
        <v>11.1585</v>
      </c>
      <c r="G218" s="17">
        <f>CHOOSE(CONTROL!$C$42, 11.1753, 11.1753)*CHOOSE(CONTROL!$C$21, $C$9, 100%, $E$9)</f>
        <v>11.1753</v>
      </c>
      <c r="H218" s="17">
        <f>CHOOSE(CONTROL!$C$42, 11.285, 11.285) * CHOOSE(CONTROL!$C$21, $C$9, 100%, $E$9)</f>
        <v>11.285</v>
      </c>
      <c r="I218" s="17">
        <f>CHOOSE(CONTROL!$C$42, 11.1966, 11.1966)* CHOOSE(CONTROL!$C$21, $C$9, 100%, $E$9)</f>
        <v>11.1966</v>
      </c>
      <c r="J218" s="17">
        <f>CHOOSE(CONTROL!$C$42, 11.1515, 11.1515)* CHOOSE(CONTROL!$C$21, $C$9, 100%, $E$9)</f>
        <v>11.1515</v>
      </c>
      <c r="K218" s="52">
        <f>CHOOSE(CONTROL!$C$42, 11.1924, 11.1924) * CHOOSE(CONTROL!$C$21, $C$9, 100%, $E$9)</f>
        <v>11.192399999999999</v>
      </c>
      <c r="L218" s="17">
        <f>CHOOSE(CONTROL!$C$42, 11.872, 11.872) * CHOOSE(CONTROL!$C$21, $C$9, 100%, $E$9)</f>
        <v>11.872</v>
      </c>
      <c r="M218" s="17">
        <f>CHOOSE(CONTROL!$C$42, 10.9586, 10.9586) * CHOOSE(CONTROL!$C$21, $C$9, 100%, $E$9)</f>
        <v>10.958600000000001</v>
      </c>
      <c r="N218" s="17">
        <f>CHOOSE(CONTROL!$C$42, 10.9751, 10.9751) * CHOOSE(CONTROL!$C$21, $C$9, 100%, $E$9)</f>
        <v>10.975099999999999</v>
      </c>
      <c r="O218" s="17">
        <f>CHOOSE(CONTROL!$C$42, 11.0897, 11.0897) * CHOOSE(CONTROL!$C$21, $C$9, 100%, $E$9)</f>
        <v>11.089700000000001</v>
      </c>
      <c r="P218" s="17">
        <f>CHOOSE(CONTROL!$C$42, 11.0024, 11.0024) * CHOOSE(CONTROL!$C$21, $C$9, 100%, $E$9)</f>
        <v>11.0024</v>
      </c>
      <c r="Q218" s="17">
        <f>CHOOSE(CONTROL!$C$42, 11.6844, 11.6844) * CHOOSE(CONTROL!$C$21, $C$9, 100%, $E$9)</f>
        <v>11.6844</v>
      </c>
      <c r="R218" s="17">
        <f>CHOOSE(CONTROL!$C$42, 12.3006, 12.3006) * CHOOSE(CONTROL!$C$21, $C$9, 100%, $E$9)</f>
        <v>12.300599999999999</v>
      </c>
      <c r="S218" s="17">
        <f>CHOOSE(CONTROL!$C$42, 10.6941, 10.6941) * CHOOSE(CONTROL!$C$21, $C$9, 100%, $E$9)</f>
        <v>10.694100000000001</v>
      </c>
      <c r="T21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18" s="56">
        <f>(1000*CHOOSE(CONTROL!$C$42, 695, 695)*CHOOSE(CONTROL!$C$42, 0.5599, 0.5599)*CHOOSE(CONTROL!$C$42, 28, 28))/1000000</f>
        <v>10.895653999999999</v>
      </c>
      <c r="V218" s="56">
        <f>(1000*CHOOSE(CONTROL!$C$42, 500, 500)*CHOOSE(CONTROL!$C$42, 0.275, 0.275)*CHOOSE(CONTROL!$C$42, 28, 28))/1000000</f>
        <v>3.85</v>
      </c>
      <c r="W218" s="56">
        <f>(1000*CHOOSE(CONTROL!$C$42, 0.1146, 0.1146)*CHOOSE(CONTROL!$C$42, 121.5, 121.5)*CHOOSE(CONTROL!$C$42, 28, 28))/1000000</f>
        <v>0.38986920000000003</v>
      </c>
      <c r="X218" s="56">
        <f>(28*0.2374*100000/1000000)</f>
        <v>0.66471999999999998</v>
      </c>
      <c r="Y218" s="56"/>
      <c r="Z218" s="17"/>
      <c r="AA218" s="55"/>
      <c r="AB218" s="48">
        <f>(B218*122.58+C218*297.941+D218*89.177+E218*140.302+F218*40+G218*60+H218*0+I218*100+J218*300)/(122.58+297.941+89.177+140.302+0+40+60+100+300)</f>
        <v>11.179478610173913</v>
      </c>
      <c r="AC218" s="45">
        <f>(M218*'RAP TEMPLATE-GAS AVAILABILITY'!O217+N218*'RAP TEMPLATE-GAS AVAILABILITY'!P217+O218*'RAP TEMPLATE-GAS AVAILABILITY'!Q217+P218*'RAP TEMPLATE-GAS AVAILABILITY'!R217)/('RAP TEMPLATE-GAS AVAILABILITY'!O217+'RAP TEMPLATE-GAS AVAILABILITY'!P217+'RAP TEMPLATE-GAS AVAILABILITY'!Q217+'RAP TEMPLATE-GAS AVAILABILITY'!R217)</f>
        <v>11.025271223021583</v>
      </c>
    </row>
    <row r="219" spans="1:29" ht="15.75" x14ac:dyDescent="0.25">
      <c r="A219" s="16">
        <v>47543</v>
      </c>
      <c r="B219" s="17">
        <f>CHOOSE(CONTROL!$C$42, 10.8445, 10.8445) * CHOOSE(CONTROL!$C$21, $C$9, 100%, $E$9)</f>
        <v>10.8445</v>
      </c>
      <c r="C219" s="17">
        <f>CHOOSE(CONTROL!$C$42, 10.8495, 10.8495) * CHOOSE(CONTROL!$C$21, $C$9, 100%, $E$9)</f>
        <v>10.849500000000001</v>
      </c>
      <c r="D219" s="17">
        <f>CHOOSE(CONTROL!$C$42, 10.968, 10.968) * CHOOSE(CONTROL!$C$21, $C$9, 100%, $E$9)</f>
        <v>10.968</v>
      </c>
      <c r="E219" s="17">
        <f>CHOOSE(CONTROL!$C$42, 11.0021, 11.0021) * CHOOSE(CONTROL!$C$21, $C$9, 100%, $E$9)</f>
        <v>11.0021</v>
      </c>
      <c r="F219" s="17">
        <f>CHOOSE(CONTROL!$C$42, 10.8642, 10.8642)*CHOOSE(CONTROL!$C$21, $C$9, 100%, $E$9)</f>
        <v>10.8642</v>
      </c>
      <c r="G219" s="17">
        <f>CHOOSE(CONTROL!$C$42, 10.8808, 10.8808)*CHOOSE(CONTROL!$C$21, $C$9, 100%, $E$9)</f>
        <v>10.880800000000001</v>
      </c>
      <c r="H219" s="17">
        <f>CHOOSE(CONTROL!$C$42, 10.9913, 10.9913) * CHOOSE(CONTROL!$C$21, $C$9, 100%, $E$9)</f>
        <v>10.991300000000001</v>
      </c>
      <c r="I219" s="17">
        <f>CHOOSE(CONTROL!$C$42, 10.902, 10.902)* CHOOSE(CONTROL!$C$21, $C$9, 100%, $E$9)</f>
        <v>10.901999999999999</v>
      </c>
      <c r="J219" s="17">
        <f>CHOOSE(CONTROL!$C$42, 10.8572, 10.8572)* CHOOSE(CONTROL!$C$21, $C$9, 100%, $E$9)</f>
        <v>10.857200000000001</v>
      </c>
      <c r="K219" s="52">
        <f>CHOOSE(CONTROL!$C$42, 10.8978, 10.8978) * CHOOSE(CONTROL!$C$21, $C$9, 100%, $E$9)</f>
        <v>10.8978</v>
      </c>
      <c r="L219" s="17">
        <f>CHOOSE(CONTROL!$C$42, 11.5783, 11.5783) * CHOOSE(CONTROL!$C$21, $C$9, 100%, $E$9)</f>
        <v>11.5783</v>
      </c>
      <c r="M219" s="17">
        <f>CHOOSE(CONTROL!$C$42, 10.6696, 10.6696) * CHOOSE(CONTROL!$C$21, $C$9, 100%, $E$9)</f>
        <v>10.669600000000001</v>
      </c>
      <c r="N219" s="17">
        <f>CHOOSE(CONTROL!$C$42, 10.6859, 10.6859) * CHOOSE(CONTROL!$C$21, $C$9, 100%, $E$9)</f>
        <v>10.6859</v>
      </c>
      <c r="O219" s="17">
        <f>CHOOSE(CONTROL!$C$42, 10.8013, 10.8013) * CHOOSE(CONTROL!$C$21, $C$9, 100%, $E$9)</f>
        <v>10.801299999999999</v>
      </c>
      <c r="P219" s="17">
        <f>CHOOSE(CONTROL!$C$42, 10.7131, 10.7131) * CHOOSE(CONTROL!$C$21, $C$9, 100%, $E$9)</f>
        <v>10.713100000000001</v>
      </c>
      <c r="Q219" s="17">
        <f>CHOOSE(CONTROL!$C$42, 11.396, 11.396) * CHOOSE(CONTROL!$C$21, $C$9, 100%, $E$9)</f>
        <v>11.396000000000001</v>
      </c>
      <c r="R219" s="17">
        <f>CHOOSE(CONTROL!$C$42, 12.0115, 12.0115) * CHOOSE(CONTROL!$C$21, $C$9, 100%, $E$9)</f>
        <v>12.0115</v>
      </c>
      <c r="S219" s="17">
        <f>CHOOSE(CONTROL!$C$42, 10.4119, 10.4119) * CHOOSE(CONTROL!$C$21, $C$9, 100%, $E$9)</f>
        <v>10.411899999999999</v>
      </c>
      <c r="T21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19" s="56">
        <f>(1000*CHOOSE(CONTROL!$C$42, 695, 695)*CHOOSE(CONTROL!$C$42, 0.5599, 0.5599)*CHOOSE(CONTROL!$C$42, 31, 31))/1000000</f>
        <v>12.063045499999998</v>
      </c>
      <c r="V219" s="56">
        <f>(1000*CHOOSE(CONTROL!$C$42, 500, 500)*CHOOSE(CONTROL!$C$42, 0.275, 0.275)*CHOOSE(CONTROL!$C$42, 31, 31))/1000000</f>
        <v>4.2625000000000002</v>
      </c>
      <c r="W219" s="56">
        <f>(1000*CHOOSE(CONTROL!$C$42, 0.1146, 0.1146)*CHOOSE(CONTROL!$C$42, 121.5, 121.5)*CHOOSE(CONTROL!$C$42, 31, 31))/1000000</f>
        <v>0.43164089999999994</v>
      </c>
      <c r="X219" s="56">
        <f>(31*0.2374*100000/1000000)</f>
        <v>0.73594000000000004</v>
      </c>
      <c r="Y219" s="56"/>
      <c r="Z219" s="17"/>
      <c r="AA219" s="55"/>
      <c r="AB219" s="48">
        <f>(B219*122.58+C219*297.941+D219*89.177+E219*140.302+F219*40+G219*60+H219*0+I219*100+J219*300)/(122.58+297.941+89.177+140.302+0+40+60+100+300)</f>
        <v>10.885491878</v>
      </c>
      <c r="AC219" s="45">
        <f>(M219*'RAP TEMPLATE-GAS AVAILABILITY'!O218+N219*'RAP TEMPLATE-GAS AVAILABILITY'!P218+O219*'RAP TEMPLATE-GAS AVAILABILITY'!Q218+P219*'RAP TEMPLATE-GAS AVAILABILITY'!R218)/('RAP TEMPLATE-GAS AVAILABILITY'!O218+'RAP TEMPLATE-GAS AVAILABILITY'!P218+'RAP TEMPLATE-GAS AVAILABILITY'!Q218+'RAP TEMPLATE-GAS AVAILABILITY'!R218)</f>
        <v>10.736488489208634</v>
      </c>
    </row>
    <row r="220" spans="1:29" ht="15.75" x14ac:dyDescent="0.25">
      <c r="A220" s="16">
        <v>47574</v>
      </c>
      <c r="B220" s="17">
        <f>CHOOSE(CONTROL!$C$42, 10.8353, 10.8353) * CHOOSE(CONTROL!$C$21, $C$9, 100%, $E$9)</f>
        <v>10.8353</v>
      </c>
      <c r="C220" s="17">
        <f>CHOOSE(CONTROL!$C$42, 10.8398, 10.8398) * CHOOSE(CONTROL!$C$21, $C$9, 100%, $E$9)</f>
        <v>10.8398</v>
      </c>
      <c r="D220" s="17">
        <f>CHOOSE(CONTROL!$C$42, 11.114, 11.114) * CHOOSE(CONTROL!$C$21, $C$9, 100%, $E$9)</f>
        <v>11.114000000000001</v>
      </c>
      <c r="E220" s="17">
        <f>CHOOSE(CONTROL!$C$42, 11.1461, 11.1461) * CHOOSE(CONTROL!$C$21, $C$9, 100%, $E$9)</f>
        <v>11.146100000000001</v>
      </c>
      <c r="F220" s="17">
        <f>CHOOSE(CONTROL!$C$42, 10.8546, 10.8546)*CHOOSE(CONTROL!$C$21, $C$9, 100%, $E$9)</f>
        <v>10.8546</v>
      </c>
      <c r="G220" s="17">
        <f>CHOOSE(CONTROL!$C$42, 10.8709, 10.8709)*CHOOSE(CONTROL!$C$21, $C$9, 100%, $E$9)</f>
        <v>10.870900000000001</v>
      </c>
      <c r="H220" s="17">
        <f>CHOOSE(CONTROL!$C$42, 11.1359, 11.1359) * CHOOSE(CONTROL!$C$21, $C$9, 100%, $E$9)</f>
        <v>11.135899999999999</v>
      </c>
      <c r="I220" s="17">
        <f>CHOOSE(CONTROL!$C$42, 10.8905, 10.8905)* CHOOSE(CONTROL!$C$21, $C$9, 100%, $E$9)</f>
        <v>10.890499999999999</v>
      </c>
      <c r="J220" s="17">
        <f>CHOOSE(CONTROL!$C$42, 10.8476, 10.8476)* CHOOSE(CONTROL!$C$21, $C$9, 100%, $E$9)</f>
        <v>10.8476</v>
      </c>
      <c r="K220" s="52">
        <f>CHOOSE(CONTROL!$C$42, 10.8863, 10.8863) * CHOOSE(CONTROL!$C$21, $C$9, 100%, $E$9)</f>
        <v>10.8863</v>
      </c>
      <c r="L220" s="17">
        <f>CHOOSE(CONTROL!$C$42, 11.7229, 11.7229) * CHOOSE(CONTROL!$C$21, $C$9, 100%, $E$9)</f>
        <v>11.722899999999999</v>
      </c>
      <c r="M220" s="17">
        <f>CHOOSE(CONTROL!$C$42, 10.6602, 10.6602) * CHOOSE(CONTROL!$C$21, $C$9, 100%, $E$9)</f>
        <v>10.6602</v>
      </c>
      <c r="N220" s="17">
        <f>CHOOSE(CONTROL!$C$42, 10.6762, 10.6762) * CHOOSE(CONTROL!$C$21, $C$9, 100%, $E$9)</f>
        <v>10.6762</v>
      </c>
      <c r="O220" s="17">
        <f>CHOOSE(CONTROL!$C$42, 10.9433, 10.9433) * CHOOSE(CONTROL!$C$21, $C$9, 100%, $E$9)</f>
        <v>10.943300000000001</v>
      </c>
      <c r="P220" s="17">
        <f>CHOOSE(CONTROL!$C$42, 10.7018, 10.7018) * CHOOSE(CONTROL!$C$21, $C$9, 100%, $E$9)</f>
        <v>10.7018</v>
      </c>
      <c r="Q220" s="17">
        <f>CHOOSE(CONTROL!$C$42, 11.538, 11.538) * CHOOSE(CONTROL!$C$21, $C$9, 100%, $E$9)</f>
        <v>11.538</v>
      </c>
      <c r="R220" s="17">
        <f>CHOOSE(CONTROL!$C$42, 12.1538, 12.1538) * CHOOSE(CONTROL!$C$21, $C$9, 100%, $E$9)</f>
        <v>12.1538</v>
      </c>
      <c r="S220" s="17">
        <f>CHOOSE(CONTROL!$C$42, 10.4023, 10.4023) * CHOOSE(CONTROL!$C$21, $C$9, 100%, $E$9)</f>
        <v>10.4023</v>
      </c>
      <c r="T22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20" s="56">
        <f>(1000*CHOOSE(CONTROL!$C$42, 695, 695)*CHOOSE(CONTROL!$C$42, 0.5599, 0.5599)*CHOOSE(CONTROL!$C$42, 30, 30))/1000000</f>
        <v>11.673914999999997</v>
      </c>
      <c r="V220" s="56">
        <f>(1000*CHOOSE(CONTROL!$C$42, 500, 500)*CHOOSE(CONTROL!$C$42, 0.275, 0.275)*CHOOSE(CONTROL!$C$42, 30, 30))/1000000</f>
        <v>4.125</v>
      </c>
      <c r="W220" s="56">
        <f>(1000*CHOOSE(CONTROL!$C$42, 0.1146, 0.1146)*CHOOSE(CONTROL!$C$42, 121.5, 121.5)*CHOOSE(CONTROL!$C$42, 30, 30))/1000000</f>
        <v>0.417717</v>
      </c>
      <c r="X220" s="56">
        <f>(30*0.1790888*145000/1000000)+(30*0.2374*100000/1000000)</f>
        <v>1.4912362799999999</v>
      </c>
      <c r="Y220" s="56"/>
      <c r="Z220" s="17"/>
      <c r="AA220" s="55"/>
      <c r="AB220" s="48">
        <f>(B220*141.293+C220*267.993+D220*115.016+E220*189.698+F220*40+G220*85+H220*0+I220*100+J220*300)/(141.293+267.993+115.016+189.698+0+40+85+100+300)</f>
        <v>10.920229028329297</v>
      </c>
      <c r="AC220" s="45">
        <f>(M220*'RAP TEMPLATE-GAS AVAILABILITY'!O219+N220*'RAP TEMPLATE-GAS AVAILABILITY'!P219+O220*'RAP TEMPLATE-GAS AVAILABILITY'!Q219+P220*'RAP TEMPLATE-GAS AVAILABILITY'!R219)/('RAP TEMPLATE-GAS AVAILABILITY'!O219+'RAP TEMPLATE-GAS AVAILABILITY'!P219+'RAP TEMPLATE-GAS AVAILABILITY'!Q219+'RAP TEMPLATE-GAS AVAILABILITY'!R219)</f>
        <v>10.7493</v>
      </c>
    </row>
    <row r="221" spans="1:29" ht="15.75" x14ac:dyDescent="0.25">
      <c r="A221" s="16">
        <v>47604</v>
      </c>
      <c r="B221" s="17">
        <f>CHOOSE(CONTROL!$C$42, 10.9547, 10.9547) * CHOOSE(CONTROL!$C$21, $C$9, 100%, $E$9)</f>
        <v>10.954700000000001</v>
      </c>
      <c r="C221" s="17">
        <f>CHOOSE(CONTROL!$C$42, 10.9627, 10.9627) * CHOOSE(CONTROL!$C$21, $C$9, 100%, $E$9)</f>
        <v>10.9627</v>
      </c>
      <c r="D221" s="17">
        <f>CHOOSE(CONTROL!$C$42, 11.2338, 11.2338) * CHOOSE(CONTROL!$C$21, $C$9, 100%, $E$9)</f>
        <v>11.2338</v>
      </c>
      <c r="E221" s="17">
        <f>CHOOSE(CONTROL!$C$42, 11.2653, 11.2653) * CHOOSE(CONTROL!$C$21, $C$9, 100%, $E$9)</f>
        <v>11.2653</v>
      </c>
      <c r="F221" s="17">
        <f>CHOOSE(CONTROL!$C$42, 10.9729, 10.9729)*CHOOSE(CONTROL!$C$21, $C$9, 100%, $E$9)</f>
        <v>10.972899999999999</v>
      </c>
      <c r="G221" s="17">
        <f>CHOOSE(CONTROL!$C$42, 10.9895, 10.9895)*CHOOSE(CONTROL!$C$21, $C$9, 100%, $E$9)</f>
        <v>10.9895</v>
      </c>
      <c r="H221" s="17">
        <f>CHOOSE(CONTROL!$C$42, 11.2539, 11.2539) * CHOOSE(CONTROL!$C$21, $C$9, 100%, $E$9)</f>
        <v>11.2539</v>
      </c>
      <c r="I221" s="17">
        <f>CHOOSE(CONTROL!$C$42, 11.0089, 11.0089)* CHOOSE(CONTROL!$C$21, $C$9, 100%, $E$9)</f>
        <v>11.008900000000001</v>
      </c>
      <c r="J221" s="17">
        <f>CHOOSE(CONTROL!$C$42, 10.9659, 10.9659)* CHOOSE(CONTROL!$C$21, $C$9, 100%, $E$9)</f>
        <v>10.9659</v>
      </c>
      <c r="K221" s="52">
        <f>CHOOSE(CONTROL!$C$42, 11.0047, 11.0047) * CHOOSE(CONTROL!$C$21, $C$9, 100%, $E$9)</f>
        <v>11.0047</v>
      </c>
      <c r="L221" s="17">
        <f>CHOOSE(CONTROL!$C$42, 11.8409, 11.8409) * CHOOSE(CONTROL!$C$21, $C$9, 100%, $E$9)</f>
        <v>11.8409</v>
      </c>
      <c r="M221" s="17">
        <f>CHOOSE(CONTROL!$C$42, 10.7763, 10.7763) * CHOOSE(CONTROL!$C$21, $C$9, 100%, $E$9)</f>
        <v>10.776300000000001</v>
      </c>
      <c r="N221" s="17">
        <f>CHOOSE(CONTROL!$C$42, 10.7927, 10.7927) * CHOOSE(CONTROL!$C$21, $C$9, 100%, $E$9)</f>
        <v>10.7927</v>
      </c>
      <c r="O221" s="17">
        <f>CHOOSE(CONTROL!$C$42, 11.0592, 11.0592) * CHOOSE(CONTROL!$C$21, $C$9, 100%, $E$9)</f>
        <v>11.059200000000001</v>
      </c>
      <c r="P221" s="17">
        <f>CHOOSE(CONTROL!$C$42, 10.818, 10.818) * CHOOSE(CONTROL!$C$21, $C$9, 100%, $E$9)</f>
        <v>10.818</v>
      </c>
      <c r="Q221" s="17">
        <f>CHOOSE(CONTROL!$C$42, 11.6539, 11.6539) * CHOOSE(CONTROL!$C$21, $C$9, 100%, $E$9)</f>
        <v>11.6539</v>
      </c>
      <c r="R221" s="17">
        <f>CHOOSE(CONTROL!$C$42, 12.27, 12.27) * CHOOSE(CONTROL!$C$21, $C$9, 100%, $E$9)</f>
        <v>12.27</v>
      </c>
      <c r="S221" s="17">
        <f>CHOOSE(CONTROL!$C$42, 10.5158, 10.5158) * CHOOSE(CONTROL!$C$21, $C$9, 100%, $E$9)</f>
        <v>10.5158</v>
      </c>
      <c r="T22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21" s="56">
        <f>(1000*CHOOSE(CONTROL!$C$42, 695, 695)*CHOOSE(CONTROL!$C$42, 0.5599, 0.5599)*CHOOSE(CONTROL!$C$42, 31, 31))/1000000</f>
        <v>12.063045499999998</v>
      </c>
      <c r="V221" s="56">
        <f>(1000*CHOOSE(CONTROL!$C$42, 500, 500)*CHOOSE(CONTROL!$C$42, 0.275, 0.275)*CHOOSE(CONTROL!$C$42, 31, 31))/1000000</f>
        <v>4.2625000000000002</v>
      </c>
      <c r="W221" s="56">
        <f>(1000*CHOOSE(CONTROL!$C$42, 0.1146, 0.1146)*CHOOSE(CONTROL!$C$42, 121.5, 121.5)*CHOOSE(CONTROL!$C$42, 31, 31))/1000000</f>
        <v>0.43164089999999994</v>
      </c>
      <c r="X221" s="56">
        <f>(31*0.1790888*145000/1000000)+(31*0.2374*100000/1000000)</f>
        <v>1.5409441560000001</v>
      </c>
      <c r="Y221" s="56"/>
      <c r="Z221" s="17"/>
      <c r="AA221" s="55"/>
      <c r="AB221" s="48">
        <f>(B221*194.205+C221*267.466+D221*133.845+E221*153.484+F221*40+G221*85+H221*0+I221*100+J221*300)/(194.205+267.466+133.845+153.484+0+40+85+100+300)</f>
        <v>11.032905649843014</v>
      </c>
      <c r="AC221" s="45">
        <f>(M221*'RAP TEMPLATE-GAS AVAILABILITY'!O220+N221*'RAP TEMPLATE-GAS AVAILABILITY'!P220+O221*'RAP TEMPLATE-GAS AVAILABILITY'!Q220+P221*'RAP TEMPLATE-GAS AVAILABILITY'!R220)/('RAP TEMPLATE-GAS AVAILABILITY'!O220+'RAP TEMPLATE-GAS AVAILABILITY'!P220+'RAP TEMPLATE-GAS AVAILABILITY'!Q220+'RAP TEMPLATE-GAS AVAILABILITY'!R220)</f>
        <v>10.865450359712231</v>
      </c>
    </row>
    <row r="222" spans="1:29" ht="15.75" x14ac:dyDescent="0.25">
      <c r="A222" s="16">
        <v>47635</v>
      </c>
      <c r="B222" s="17">
        <f>CHOOSE(CONTROL!$C$42, 11.2883, 11.2883) * CHOOSE(CONTROL!$C$21, $C$9, 100%, $E$9)</f>
        <v>11.2883</v>
      </c>
      <c r="C222" s="17">
        <f>CHOOSE(CONTROL!$C$42, 11.2963, 11.2963) * CHOOSE(CONTROL!$C$21, $C$9, 100%, $E$9)</f>
        <v>11.2963</v>
      </c>
      <c r="D222" s="17">
        <f>CHOOSE(CONTROL!$C$42, 11.5674, 11.5674) * CHOOSE(CONTROL!$C$21, $C$9, 100%, $E$9)</f>
        <v>11.567399999999999</v>
      </c>
      <c r="E222" s="17">
        <f>CHOOSE(CONTROL!$C$42, 11.5988, 11.5988) * CHOOSE(CONTROL!$C$21, $C$9, 100%, $E$9)</f>
        <v>11.598800000000001</v>
      </c>
      <c r="F222" s="17">
        <f>CHOOSE(CONTROL!$C$42, 11.3068, 11.3068)*CHOOSE(CONTROL!$C$21, $C$9, 100%, $E$9)</f>
        <v>11.306800000000001</v>
      </c>
      <c r="G222" s="17">
        <f>CHOOSE(CONTROL!$C$42, 11.3235, 11.3235)*CHOOSE(CONTROL!$C$21, $C$9, 100%, $E$9)</f>
        <v>11.323499999999999</v>
      </c>
      <c r="H222" s="17">
        <f>CHOOSE(CONTROL!$C$42, 11.5875, 11.5875) * CHOOSE(CONTROL!$C$21, $C$9, 100%, $E$9)</f>
        <v>11.5875</v>
      </c>
      <c r="I222" s="17">
        <f>CHOOSE(CONTROL!$C$42, 11.3435, 11.3435)* CHOOSE(CONTROL!$C$21, $C$9, 100%, $E$9)</f>
        <v>11.343500000000001</v>
      </c>
      <c r="J222" s="17">
        <f>CHOOSE(CONTROL!$C$42, 11.2998, 11.2998)* CHOOSE(CONTROL!$C$21, $C$9, 100%, $E$9)</f>
        <v>11.299799999999999</v>
      </c>
      <c r="K222" s="52">
        <f>CHOOSE(CONTROL!$C$42, 11.3393, 11.3393) * CHOOSE(CONTROL!$C$21, $C$9, 100%, $E$9)</f>
        <v>11.3393</v>
      </c>
      <c r="L222" s="17">
        <f>CHOOSE(CONTROL!$C$42, 12.1745, 12.1745) * CHOOSE(CONTROL!$C$21, $C$9, 100%, $E$9)</f>
        <v>12.1745</v>
      </c>
      <c r="M222" s="17">
        <f>CHOOSE(CONTROL!$C$42, 11.1042, 11.1042) * CHOOSE(CONTROL!$C$21, $C$9, 100%, $E$9)</f>
        <v>11.104200000000001</v>
      </c>
      <c r="N222" s="17">
        <f>CHOOSE(CONTROL!$C$42, 11.1206, 11.1206) * CHOOSE(CONTROL!$C$21, $C$9, 100%, $E$9)</f>
        <v>11.1206</v>
      </c>
      <c r="O222" s="17">
        <f>CHOOSE(CONTROL!$C$42, 11.3868, 11.3868) * CHOOSE(CONTROL!$C$21, $C$9, 100%, $E$9)</f>
        <v>11.386799999999999</v>
      </c>
      <c r="P222" s="17">
        <f>CHOOSE(CONTROL!$C$42, 11.1466, 11.1466) * CHOOSE(CONTROL!$C$21, $C$9, 100%, $E$9)</f>
        <v>11.146599999999999</v>
      </c>
      <c r="Q222" s="17">
        <f>CHOOSE(CONTROL!$C$42, 11.9815, 11.9815) * CHOOSE(CONTROL!$C$21, $C$9, 100%, $E$9)</f>
        <v>11.9815</v>
      </c>
      <c r="R222" s="17">
        <f>CHOOSE(CONTROL!$C$42, 12.5984, 12.5984) * CHOOSE(CONTROL!$C$21, $C$9, 100%, $E$9)</f>
        <v>12.5984</v>
      </c>
      <c r="S222" s="17">
        <f>CHOOSE(CONTROL!$C$42, 10.8363, 10.8363) * CHOOSE(CONTROL!$C$21, $C$9, 100%, $E$9)</f>
        <v>10.8363</v>
      </c>
      <c r="T22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22" s="56">
        <f>(1000*CHOOSE(CONTROL!$C$42, 695, 695)*CHOOSE(CONTROL!$C$42, 0.5599, 0.5599)*CHOOSE(CONTROL!$C$42, 30, 30))/1000000</f>
        <v>11.673914999999997</v>
      </c>
      <c r="V222" s="56">
        <f>(1000*CHOOSE(CONTROL!$C$42, 500, 500)*CHOOSE(CONTROL!$C$42, 0.275, 0.275)*CHOOSE(CONTROL!$C$42, 30, 30))/1000000</f>
        <v>4.125</v>
      </c>
      <c r="W222" s="56">
        <f>(1000*CHOOSE(CONTROL!$C$42, 0.1146, 0.1146)*CHOOSE(CONTROL!$C$42, 121.5, 121.5)*CHOOSE(CONTROL!$C$42, 30, 30))/1000000</f>
        <v>0.417717</v>
      </c>
      <c r="X222" s="56">
        <f>(30*0.1790888*145000/1000000)+(30*0.2374*100000/1000000)</f>
        <v>1.4912362799999999</v>
      </c>
      <c r="Y222" s="56"/>
      <c r="Z222" s="17"/>
      <c r="AA222" s="55"/>
      <c r="AB222" s="48">
        <f>(B222*194.205+C222*267.466+D222*133.845+E222*153.484+F222*40+G222*85+H222*0+I222*100+J222*300)/(194.205+267.466+133.845+153.484+0+40+85+100+300)</f>
        <v>11.366678845761383</v>
      </c>
      <c r="AC222" s="45">
        <f>(M222*'RAP TEMPLATE-GAS AVAILABILITY'!O221+N222*'RAP TEMPLATE-GAS AVAILABILITY'!P221+O222*'RAP TEMPLATE-GAS AVAILABILITY'!Q221+P222*'RAP TEMPLATE-GAS AVAILABILITY'!R221)/('RAP TEMPLATE-GAS AVAILABILITY'!O221+'RAP TEMPLATE-GAS AVAILABILITY'!P221+'RAP TEMPLATE-GAS AVAILABILITY'!Q221+'RAP TEMPLATE-GAS AVAILABILITY'!R221)</f>
        <v>11.19336690647482</v>
      </c>
    </row>
    <row r="223" spans="1:29" ht="15.75" x14ac:dyDescent="0.25">
      <c r="A223" s="16">
        <v>47665</v>
      </c>
      <c r="B223" s="17">
        <f>CHOOSE(CONTROL!$C$42, 11.0947, 11.0947) * CHOOSE(CONTROL!$C$21, $C$9, 100%, $E$9)</f>
        <v>11.0947</v>
      </c>
      <c r="C223" s="17">
        <f>CHOOSE(CONTROL!$C$42, 11.1028, 11.1028) * CHOOSE(CONTROL!$C$21, $C$9, 100%, $E$9)</f>
        <v>11.1028</v>
      </c>
      <c r="D223" s="17">
        <f>CHOOSE(CONTROL!$C$42, 11.3738, 11.3738) * CHOOSE(CONTROL!$C$21, $C$9, 100%, $E$9)</f>
        <v>11.373799999999999</v>
      </c>
      <c r="E223" s="17">
        <f>CHOOSE(CONTROL!$C$42, 11.4053, 11.4053) * CHOOSE(CONTROL!$C$21, $C$9, 100%, $E$9)</f>
        <v>11.4053</v>
      </c>
      <c r="F223" s="17">
        <f>CHOOSE(CONTROL!$C$42, 11.1136, 11.1136)*CHOOSE(CONTROL!$C$21, $C$9, 100%, $E$9)</f>
        <v>11.1136</v>
      </c>
      <c r="G223" s="17">
        <f>CHOOSE(CONTROL!$C$42, 11.1304, 11.1304)*CHOOSE(CONTROL!$C$21, $C$9, 100%, $E$9)</f>
        <v>11.1304</v>
      </c>
      <c r="H223" s="17">
        <f>CHOOSE(CONTROL!$C$42, 11.3939, 11.3939) * CHOOSE(CONTROL!$C$21, $C$9, 100%, $E$9)</f>
        <v>11.3939</v>
      </c>
      <c r="I223" s="17">
        <f>CHOOSE(CONTROL!$C$42, 11.1494, 11.1494)* CHOOSE(CONTROL!$C$21, $C$9, 100%, $E$9)</f>
        <v>11.1494</v>
      </c>
      <c r="J223" s="17">
        <f>CHOOSE(CONTROL!$C$42, 11.1066, 11.1066)* CHOOSE(CONTROL!$C$21, $C$9, 100%, $E$9)</f>
        <v>11.1066</v>
      </c>
      <c r="K223" s="52">
        <f>CHOOSE(CONTROL!$C$42, 11.1451, 11.1451) * CHOOSE(CONTROL!$C$21, $C$9, 100%, $E$9)</f>
        <v>11.145099999999999</v>
      </c>
      <c r="L223" s="17">
        <f>CHOOSE(CONTROL!$C$42, 11.9809, 11.9809) * CHOOSE(CONTROL!$C$21, $C$9, 100%, $E$9)</f>
        <v>11.9809</v>
      </c>
      <c r="M223" s="17">
        <f>CHOOSE(CONTROL!$C$42, 10.9145, 10.9145) * CHOOSE(CONTROL!$C$21, $C$9, 100%, $E$9)</f>
        <v>10.9145</v>
      </c>
      <c r="N223" s="17">
        <f>CHOOSE(CONTROL!$C$42, 10.931, 10.931) * CHOOSE(CONTROL!$C$21, $C$9, 100%, $E$9)</f>
        <v>10.930999999999999</v>
      </c>
      <c r="O223" s="17">
        <f>CHOOSE(CONTROL!$C$42, 11.1967, 11.1967) * CHOOSE(CONTROL!$C$21, $C$9, 100%, $E$9)</f>
        <v>11.1967</v>
      </c>
      <c r="P223" s="17">
        <f>CHOOSE(CONTROL!$C$42, 10.956, 10.956) * CHOOSE(CONTROL!$C$21, $C$9, 100%, $E$9)</f>
        <v>10.956</v>
      </c>
      <c r="Q223" s="17">
        <f>CHOOSE(CONTROL!$C$42, 11.7914, 11.7914) * CHOOSE(CONTROL!$C$21, $C$9, 100%, $E$9)</f>
        <v>11.791399999999999</v>
      </c>
      <c r="R223" s="17">
        <f>CHOOSE(CONTROL!$C$42, 12.4079, 12.4079) * CHOOSE(CONTROL!$C$21, $C$9, 100%, $E$9)</f>
        <v>12.4079</v>
      </c>
      <c r="S223" s="17">
        <f>CHOOSE(CONTROL!$C$42, 10.6503, 10.6503) * CHOOSE(CONTROL!$C$21, $C$9, 100%, $E$9)</f>
        <v>10.6503</v>
      </c>
      <c r="T22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23" s="56">
        <f>(1000*CHOOSE(CONTROL!$C$42, 695, 695)*CHOOSE(CONTROL!$C$42, 0.5599, 0.5599)*CHOOSE(CONTROL!$C$42, 31, 31))/1000000</f>
        <v>12.063045499999998</v>
      </c>
      <c r="V223" s="56">
        <f>(1000*CHOOSE(CONTROL!$C$42, 500, 500)*CHOOSE(CONTROL!$C$42, 0.275, 0.275)*CHOOSE(CONTROL!$C$42, 31, 31))/1000000</f>
        <v>4.2625000000000002</v>
      </c>
      <c r="W223" s="56">
        <f>(1000*CHOOSE(CONTROL!$C$42, 0.1146, 0.1146)*CHOOSE(CONTROL!$C$42, 121.5, 121.5)*CHOOSE(CONTROL!$C$42, 31, 31))/1000000</f>
        <v>0.43164089999999994</v>
      </c>
      <c r="X223" s="56">
        <f>(31*0.1790888*145000/1000000)+(31*0.2374*100000/1000000)</f>
        <v>1.5409441560000001</v>
      </c>
      <c r="Y223" s="56"/>
      <c r="Z223" s="17"/>
      <c r="AA223" s="55"/>
      <c r="AB223" s="48">
        <f>(B223*194.205+C223*267.466+D223*133.845+E223*153.484+F223*40+G223*85+H223*0+I223*100+J223*300)/(194.205+267.466+133.845+153.484+0+40+85+100+300)</f>
        <v>11.173212750784931</v>
      </c>
      <c r="AC223" s="45">
        <f>(M223*'RAP TEMPLATE-GAS AVAILABILITY'!O222+N223*'RAP TEMPLATE-GAS AVAILABILITY'!P222+O223*'RAP TEMPLATE-GAS AVAILABILITY'!Q222+P223*'RAP TEMPLATE-GAS AVAILABILITY'!R222)/('RAP TEMPLATE-GAS AVAILABILITY'!O222+'RAP TEMPLATE-GAS AVAILABILITY'!P222+'RAP TEMPLATE-GAS AVAILABILITY'!Q222+'RAP TEMPLATE-GAS AVAILABILITY'!R222)</f>
        <v>11.003448201438847</v>
      </c>
    </row>
    <row r="224" spans="1:29" ht="15.75" x14ac:dyDescent="0.25">
      <c r="A224" s="16">
        <v>47696</v>
      </c>
      <c r="B224" s="17">
        <f>CHOOSE(CONTROL!$C$42, 10.5473, 10.5473) * CHOOSE(CONTROL!$C$21, $C$9, 100%, $E$9)</f>
        <v>10.5473</v>
      </c>
      <c r="C224" s="17">
        <f>CHOOSE(CONTROL!$C$42, 10.5553, 10.5553) * CHOOSE(CONTROL!$C$21, $C$9, 100%, $E$9)</f>
        <v>10.555300000000001</v>
      </c>
      <c r="D224" s="17">
        <f>CHOOSE(CONTROL!$C$42, 10.8264, 10.8264) * CHOOSE(CONTROL!$C$21, $C$9, 100%, $E$9)</f>
        <v>10.8264</v>
      </c>
      <c r="E224" s="17">
        <f>CHOOSE(CONTROL!$C$42, 10.8579, 10.8579) * CHOOSE(CONTROL!$C$21, $C$9, 100%, $E$9)</f>
        <v>10.857900000000001</v>
      </c>
      <c r="F224" s="17">
        <f>CHOOSE(CONTROL!$C$42, 10.5664, 10.5664)*CHOOSE(CONTROL!$C$21, $C$9, 100%, $E$9)</f>
        <v>10.5664</v>
      </c>
      <c r="G224" s="17">
        <f>CHOOSE(CONTROL!$C$42, 10.5833, 10.5833)*CHOOSE(CONTROL!$C$21, $C$9, 100%, $E$9)</f>
        <v>10.583299999999999</v>
      </c>
      <c r="H224" s="17">
        <f>CHOOSE(CONTROL!$C$42, 10.8465, 10.8465) * CHOOSE(CONTROL!$C$21, $C$9, 100%, $E$9)</f>
        <v>10.846500000000001</v>
      </c>
      <c r="I224" s="17">
        <f>CHOOSE(CONTROL!$C$42, 10.6002, 10.6002)* CHOOSE(CONTROL!$C$21, $C$9, 100%, $E$9)</f>
        <v>10.600199999999999</v>
      </c>
      <c r="J224" s="17">
        <f>CHOOSE(CONTROL!$C$42, 10.5594, 10.5594)* CHOOSE(CONTROL!$C$21, $C$9, 100%, $E$9)</f>
        <v>10.5594</v>
      </c>
      <c r="K224" s="52">
        <f>CHOOSE(CONTROL!$C$42, 10.596, 10.596) * CHOOSE(CONTROL!$C$21, $C$9, 100%, $E$9)</f>
        <v>10.596</v>
      </c>
      <c r="L224" s="17">
        <f>CHOOSE(CONTROL!$C$42, 11.4335, 11.4335) * CHOOSE(CONTROL!$C$21, $C$9, 100%, $E$9)</f>
        <v>11.4335</v>
      </c>
      <c r="M224" s="17">
        <f>CHOOSE(CONTROL!$C$42, 10.3772, 10.3772) * CHOOSE(CONTROL!$C$21, $C$9, 100%, $E$9)</f>
        <v>10.3772</v>
      </c>
      <c r="N224" s="17">
        <f>CHOOSE(CONTROL!$C$42, 10.3938, 10.3938) * CHOOSE(CONTROL!$C$21, $C$9, 100%, $E$9)</f>
        <v>10.393800000000001</v>
      </c>
      <c r="O224" s="17">
        <f>CHOOSE(CONTROL!$C$42, 10.6591, 10.6591) * CHOOSE(CONTROL!$C$21, $C$9, 100%, $E$9)</f>
        <v>10.6591</v>
      </c>
      <c r="P224" s="17">
        <f>CHOOSE(CONTROL!$C$42, 10.4167, 10.4167) * CHOOSE(CONTROL!$C$21, $C$9, 100%, $E$9)</f>
        <v>10.416700000000001</v>
      </c>
      <c r="Q224" s="17">
        <f>CHOOSE(CONTROL!$C$42, 11.2538, 11.2538) * CHOOSE(CONTROL!$C$21, $C$9, 100%, $E$9)</f>
        <v>11.2538</v>
      </c>
      <c r="R224" s="17">
        <f>CHOOSE(CONTROL!$C$42, 11.8689, 11.8689) * CHOOSE(CONTROL!$C$21, $C$9, 100%, $E$9)</f>
        <v>11.8689</v>
      </c>
      <c r="S224" s="17">
        <f>CHOOSE(CONTROL!$C$42, 10.1243, 10.1243) * CHOOSE(CONTROL!$C$21, $C$9, 100%, $E$9)</f>
        <v>10.1243</v>
      </c>
      <c r="T22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24" s="56">
        <f>(1000*CHOOSE(CONTROL!$C$42, 695, 695)*CHOOSE(CONTROL!$C$42, 0.5599, 0.5599)*CHOOSE(CONTROL!$C$42, 31, 31))/1000000</f>
        <v>12.063045499999998</v>
      </c>
      <c r="V224" s="56">
        <f>(1000*CHOOSE(CONTROL!$C$42, 500, 500)*CHOOSE(CONTROL!$C$42, 0.275, 0.275)*CHOOSE(CONTROL!$C$42, 31, 31))/1000000</f>
        <v>4.2625000000000002</v>
      </c>
      <c r="W224" s="56">
        <f>(1000*CHOOSE(CONTROL!$C$42, 0.1146, 0.1146)*CHOOSE(CONTROL!$C$42, 121.5, 121.5)*CHOOSE(CONTROL!$C$42, 31, 31))/1000000</f>
        <v>0.43164089999999994</v>
      </c>
      <c r="X224" s="56">
        <f>(31*0.1790888*145000/1000000)+(31*0.2374*100000/1000000)</f>
        <v>1.5409441560000001</v>
      </c>
      <c r="Y224" s="56"/>
      <c r="Z224" s="17"/>
      <c r="AA224" s="55"/>
      <c r="AB224" s="48">
        <f>(B224*194.205+C224*267.466+D224*133.845+E224*153.484+F224*40+G224*85+H224*0+I224*100+J224*300)/(194.205+267.466+133.845+153.484+0+40+85+100+300)</f>
        <v>10.625723860204083</v>
      </c>
      <c r="AC224" s="45">
        <f>(M224*'RAP TEMPLATE-GAS AVAILABILITY'!O223+N224*'RAP TEMPLATE-GAS AVAILABILITY'!P223+O224*'RAP TEMPLATE-GAS AVAILABILITY'!Q223+P224*'RAP TEMPLATE-GAS AVAILABILITY'!R223)/('RAP TEMPLATE-GAS AVAILABILITY'!O223+'RAP TEMPLATE-GAS AVAILABILITY'!P223+'RAP TEMPLATE-GAS AVAILABILITY'!Q223+'RAP TEMPLATE-GAS AVAILABILITY'!R223)</f>
        <v>10.465799280575538</v>
      </c>
    </row>
    <row r="225" spans="1:29" ht="15.75" x14ac:dyDescent="0.25">
      <c r="A225" s="16">
        <v>47727</v>
      </c>
      <c r="B225" s="17">
        <f>CHOOSE(CONTROL!$C$42, 9.8782, 9.8782) * CHOOSE(CONTROL!$C$21, $C$9, 100%, $E$9)</f>
        <v>9.8781999999999996</v>
      </c>
      <c r="C225" s="17">
        <f>CHOOSE(CONTROL!$C$42, 9.8862, 9.8862) * CHOOSE(CONTROL!$C$21, $C$9, 100%, $E$9)</f>
        <v>9.8862000000000005</v>
      </c>
      <c r="D225" s="17">
        <f>CHOOSE(CONTROL!$C$42, 10.1573, 10.1573) * CHOOSE(CONTROL!$C$21, $C$9, 100%, $E$9)</f>
        <v>10.157299999999999</v>
      </c>
      <c r="E225" s="17">
        <f>CHOOSE(CONTROL!$C$42, 10.1888, 10.1888) * CHOOSE(CONTROL!$C$21, $C$9, 100%, $E$9)</f>
        <v>10.188800000000001</v>
      </c>
      <c r="F225" s="17">
        <f>CHOOSE(CONTROL!$C$42, 9.8974, 9.8974)*CHOOSE(CONTROL!$C$21, $C$9, 100%, $E$9)</f>
        <v>9.8973999999999993</v>
      </c>
      <c r="G225" s="17">
        <f>CHOOSE(CONTROL!$C$42, 9.9143, 9.9143)*CHOOSE(CONTROL!$C$21, $C$9, 100%, $E$9)</f>
        <v>9.9143000000000008</v>
      </c>
      <c r="H225" s="17">
        <f>CHOOSE(CONTROL!$C$42, 10.1774, 10.1774) * CHOOSE(CONTROL!$C$21, $C$9, 100%, $E$9)</f>
        <v>10.1774</v>
      </c>
      <c r="I225" s="17">
        <f>CHOOSE(CONTROL!$C$42, 9.929, 9.929)* CHOOSE(CONTROL!$C$21, $C$9, 100%, $E$9)</f>
        <v>9.9290000000000003</v>
      </c>
      <c r="J225" s="17">
        <f>CHOOSE(CONTROL!$C$42, 9.8904, 9.8904)* CHOOSE(CONTROL!$C$21, $C$9, 100%, $E$9)</f>
        <v>9.8903999999999996</v>
      </c>
      <c r="K225" s="52">
        <f>CHOOSE(CONTROL!$C$42, 9.9248, 9.9248) * CHOOSE(CONTROL!$C$21, $C$9, 100%, $E$9)</f>
        <v>9.9247999999999994</v>
      </c>
      <c r="L225" s="17">
        <f>CHOOSE(CONTROL!$C$42, 10.7644, 10.7644) * CHOOSE(CONTROL!$C$21, $C$9, 100%, $E$9)</f>
        <v>10.7644</v>
      </c>
      <c r="M225" s="17">
        <f>CHOOSE(CONTROL!$C$42, 9.7202, 9.7202) * CHOOSE(CONTROL!$C$21, $C$9, 100%, $E$9)</f>
        <v>9.7202000000000002</v>
      </c>
      <c r="N225" s="17">
        <f>CHOOSE(CONTROL!$C$42, 9.7368, 9.7368) * CHOOSE(CONTROL!$C$21, $C$9, 100%, $E$9)</f>
        <v>9.7368000000000006</v>
      </c>
      <c r="O225" s="17">
        <f>CHOOSE(CONTROL!$C$42, 10.002, 10.002) * CHOOSE(CONTROL!$C$21, $C$9, 100%, $E$9)</f>
        <v>10.002000000000001</v>
      </c>
      <c r="P225" s="17">
        <f>CHOOSE(CONTROL!$C$42, 9.7576, 9.7576) * CHOOSE(CONTROL!$C$21, $C$9, 100%, $E$9)</f>
        <v>9.7576000000000001</v>
      </c>
      <c r="Q225" s="17">
        <f>CHOOSE(CONTROL!$C$42, 10.5967, 10.5967) * CHOOSE(CONTROL!$C$21, $C$9, 100%, $E$9)</f>
        <v>10.5967</v>
      </c>
      <c r="R225" s="17">
        <f>CHOOSE(CONTROL!$C$42, 11.2102, 11.2102) * CHOOSE(CONTROL!$C$21, $C$9, 100%, $E$9)</f>
        <v>11.2102</v>
      </c>
      <c r="S225" s="17">
        <f>CHOOSE(CONTROL!$C$42, 9.4813, 9.4813) * CHOOSE(CONTROL!$C$21, $C$9, 100%, $E$9)</f>
        <v>9.4812999999999992</v>
      </c>
      <c r="T22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25" s="56">
        <f>(1000*CHOOSE(CONTROL!$C$42, 695, 695)*CHOOSE(CONTROL!$C$42, 0.5599, 0.5599)*CHOOSE(CONTROL!$C$42, 30, 30))/1000000</f>
        <v>11.673914999999997</v>
      </c>
      <c r="V225" s="56">
        <f>(1000*CHOOSE(CONTROL!$C$42, 500, 500)*CHOOSE(CONTROL!$C$42, 0.275, 0.275)*CHOOSE(CONTROL!$C$42, 30, 30))/1000000</f>
        <v>4.125</v>
      </c>
      <c r="W225" s="56">
        <f>(1000*CHOOSE(CONTROL!$C$42, 0.1146, 0.1146)*CHOOSE(CONTROL!$C$42, 121.5, 121.5)*CHOOSE(CONTROL!$C$42, 30, 30))/1000000</f>
        <v>0.417717</v>
      </c>
      <c r="X225" s="56">
        <f>(30*0.1790888*145000/1000000)+(30*0.2374*100000/1000000)</f>
        <v>1.4912362799999999</v>
      </c>
      <c r="Y225" s="56"/>
      <c r="Z225" s="17"/>
      <c r="AA225" s="55"/>
      <c r="AB225" s="48">
        <f>(B225*194.205+C225*267.466+D225*133.845+E225*153.484+F225*40+G225*85+H225*0+I225*100+J225*300)/(194.205+267.466+133.845+153.484+0+40+85+100+300)</f>
        <v>9.9564923845368902</v>
      </c>
      <c r="AC225" s="45">
        <f>(M225*'RAP TEMPLATE-GAS AVAILABILITY'!O224+N225*'RAP TEMPLATE-GAS AVAILABILITY'!P224+O225*'RAP TEMPLATE-GAS AVAILABILITY'!Q224+P225*'RAP TEMPLATE-GAS AVAILABILITY'!R224)/('RAP TEMPLATE-GAS AVAILABILITY'!O224+'RAP TEMPLATE-GAS AVAILABILITY'!P224+'RAP TEMPLATE-GAS AVAILABILITY'!Q224+'RAP TEMPLATE-GAS AVAILABILITY'!R224)</f>
        <v>9.808469064748202</v>
      </c>
    </row>
    <row r="226" spans="1:29" ht="15.75" x14ac:dyDescent="0.25">
      <c r="A226" s="16">
        <v>47757</v>
      </c>
      <c r="B226" s="17">
        <f>CHOOSE(CONTROL!$C$42, 9.6761, 9.6761) * CHOOSE(CONTROL!$C$21, $C$9, 100%, $E$9)</f>
        <v>9.6760999999999999</v>
      </c>
      <c r="C226" s="17">
        <f>CHOOSE(CONTROL!$C$42, 9.6815, 9.6815) * CHOOSE(CONTROL!$C$21, $C$9, 100%, $E$9)</f>
        <v>9.6814999999999998</v>
      </c>
      <c r="D226" s="17">
        <f>CHOOSE(CONTROL!$C$42, 9.9575, 9.9575) * CHOOSE(CONTROL!$C$21, $C$9, 100%, $E$9)</f>
        <v>9.9574999999999996</v>
      </c>
      <c r="E226" s="17">
        <f>CHOOSE(CONTROL!$C$42, 9.9866, 9.9866) * CHOOSE(CONTROL!$C$21, $C$9, 100%, $E$9)</f>
        <v>9.9865999999999993</v>
      </c>
      <c r="F226" s="17">
        <f>CHOOSE(CONTROL!$C$42, 9.6975, 9.6975)*CHOOSE(CONTROL!$C$21, $C$9, 100%, $E$9)</f>
        <v>9.6974999999999998</v>
      </c>
      <c r="G226" s="17">
        <f>CHOOSE(CONTROL!$C$42, 9.7143, 9.7143)*CHOOSE(CONTROL!$C$21, $C$9, 100%, $E$9)</f>
        <v>9.7142999999999997</v>
      </c>
      <c r="H226" s="17">
        <f>CHOOSE(CONTROL!$C$42, 9.9771, 9.9771) * CHOOSE(CONTROL!$C$21, $C$9, 100%, $E$9)</f>
        <v>9.9771000000000001</v>
      </c>
      <c r="I226" s="17">
        <f>CHOOSE(CONTROL!$C$42, 9.7281, 9.7281)* CHOOSE(CONTROL!$C$21, $C$9, 100%, $E$9)</f>
        <v>9.7280999999999995</v>
      </c>
      <c r="J226" s="17">
        <f>CHOOSE(CONTROL!$C$42, 9.6905, 9.6905)* CHOOSE(CONTROL!$C$21, $C$9, 100%, $E$9)</f>
        <v>9.6905000000000001</v>
      </c>
      <c r="K226" s="52">
        <f>CHOOSE(CONTROL!$C$42, 9.7238, 9.7238) * CHOOSE(CONTROL!$C$21, $C$9, 100%, $E$9)</f>
        <v>9.7238000000000007</v>
      </c>
      <c r="L226" s="17">
        <f>CHOOSE(CONTROL!$C$42, 10.5641, 10.5641) * CHOOSE(CONTROL!$C$21, $C$9, 100%, $E$9)</f>
        <v>10.5641</v>
      </c>
      <c r="M226" s="17">
        <f>CHOOSE(CONTROL!$C$42, 9.5239, 9.5239) * CHOOSE(CONTROL!$C$21, $C$9, 100%, $E$9)</f>
        <v>9.5238999999999994</v>
      </c>
      <c r="N226" s="17">
        <f>CHOOSE(CONTROL!$C$42, 9.5404, 9.5404) * CHOOSE(CONTROL!$C$21, $C$9, 100%, $E$9)</f>
        <v>9.5404</v>
      </c>
      <c r="O226" s="17">
        <f>CHOOSE(CONTROL!$C$42, 9.8053, 9.8053) * CHOOSE(CONTROL!$C$21, $C$9, 100%, $E$9)</f>
        <v>9.8053000000000008</v>
      </c>
      <c r="P226" s="17">
        <f>CHOOSE(CONTROL!$C$42, 9.5603, 9.5603) * CHOOSE(CONTROL!$C$21, $C$9, 100%, $E$9)</f>
        <v>9.5602999999999998</v>
      </c>
      <c r="Q226" s="17">
        <f>CHOOSE(CONTROL!$C$42, 10.4, 10.4) * CHOOSE(CONTROL!$C$21, $C$9, 100%, $E$9)</f>
        <v>10.4</v>
      </c>
      <c r="R226" s="17">
        <f>CHOOSE(CONTROL!$C$42, 11.013, 11.013) * CHOOSE(CONTROL!$C$21, $C$9, 100%, $E$9)</f>
        <v>11.013</v>
      </c>
      <c r="S226" s="17">
        <f>CHOOSE(CONTROL!$C$42, 9.2889, 9.2889) * CHOOSE(CONTROL!$C$21, $C$9, 100%, $E$9)</f>
        <v>9.2888999999999999</v>
      </c>
      <c r="T22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26" s="56">
        <f>(1000*CHOOSE(CONTROL!$C$42, 695, 695)*CHOOSE(CONTROL!$C$42, 0.5599, 0.5599)*CHOOSE(CONTROL!$C$42, 31, 31))/1000000</f>
        <v>12.063045499999998</v>
      </c>
      <c r="V226" s="56">
        <f>(1000*CHOOSE(CONTROL!$C$42, 500, 500)*CHOOSE(CONTROL!$C$42, 0.275, 0.275)*CHOOSE(CONTROL!$C$42, 31, 31))/1000000</f>
        <v>4.2625000000000002</v>
      </c>
      <c r="W226" s="56">
        <f>(1000*CHOOSE(CONTROL!$C$42, 0.1146, 0.1146)*CHOOSE(CONTROL!$C$42, 121.5, 121.5)*CHOOSE(CONTROL!$C$42, 31, 31))/1000000</f>
        <v>0.43164089999999994</v>
      </c>
      <c r="X226" s="56">
        <f>(31*0.1790888*145000/1000000)+(31*0.2374*100000/1000000)</f>
        <v>1.5409441560000001</v>
      </c>
      <c r="Y226" s="56"/>
      <c r="Z226" s="17"/>
      <c r="AA226" s="55"/>
      <c r="AB226" s="48">
        <f>(B226*131.881+C226*277.167+D226*79.08+E226*225.872+F226*40+G226*85+H226*0+I226*100+J226*300)/(131.881+277.167+79.08+225.872+0+40+85+100+300)</f>
        <v>9.7628684179176748</v>
      </c>
      <c r="AC226" s="45">
        <f>(M226*'RAP TEMPLATE-GAS AVAILABILITY'!O225+N226*'RAP TEMPLATE-GAS AVAILABILITY'!P225+O226*'RAP TEMPLATE-GAS AVAILABILITY'!Q225+P226*'RAP TEMPLATE-GAS AVAILABILITY'!R225)/('RAP TEMPLATE-GAS AVAILABILITY'!O225+'RAP TEMPLATE-GAS AVAILABILITY'!P225+'RAP TEMPLATE-GAS AVAILABILITY'!Q225+'RAP TEMPLATE-GAS AVAILABILITY'!R225)</f>
        <v>9.611889928057554</v>
      </c>
    </row>
    <row r="227" spans="1:29" ht="15.75" x14ac:dyDescent="0.25">
      <c r="A227" s="16">
        <v>47788</v>
      </c>
      <c r="B227" s="17">
        <f>CHOOSE(CONTROL!$C$42, 9.9304, 9.9304) * CHOOSE(CONTROL!$C$21, $C$9, 100%, $E$9)</f>
        <v>9.9304000000000006</v>
      </c>
      <c r="C227" s="17">
        <f>CHOOSE(CONTROL!$C$42, 9.9354, 9.9354) * CHOOSE(CONTROL!$C$21, $C$9, 100%, $E$9)</f>
        <v>9.9353999999999996</v>
      </c>
      <c r="D227" s="17">
        <f>CHOOSE(CONTROL!$C$42, 10.0305, 10.0305) * CHOOSE(CONTROL!$C$21, $C$9, 100%, $E$9)</f>
        <v>10.0305</v>
      </c>
      <c r="E227" s="17">
        <f>CHOOSE(CONTROL!$C$42, 10.0646, 10.0646) * CHOOSE(CONTROL!$C$21, $C$9, 100%, $E$9)</f>
        <v>10.0646</v>
      </c>
      <c r="F227" s="17">
        <f>CHOOSE(CONTROL!$C$42, 9.9543, 9.9543)*CHOOSE(CONTROL!$C$21, $C$9, 100%, $E$9)</f>
        <v>9.9542999999999999</v>
      </c>
      <c r="G227" s="17">
        <f>CHOOSE(CONTROL!$C$42, 9.9713, 9.9713)*CHOOSE(CONTROL!$C$21, $C$9, 100%, $E$9)</f>
        <v>9.9712999999999994</v>
      </c>
      <c r="H227" s="17">
        <f>CHOOSE(CONTROL!$C$42, 10.0538, 10.0538) * CHOOSE(CONTROL!$C$21, $C$9, 100%, $E$9)</f>
        <v>10.053800000000001</v>
      </c>
      <c r="I227" s="17">
        <f>CHOOSE(CONTROL!$C$42, 9.9814, 9.9814)* CHOOSE(CONTROL!$C$21, $C$9, 100%, $E$9)</f>
        <v>9.9814000000000007</v>
      </c>
      <c r="J227" s="17">
        <f>CHOOSE(CONTROL!$C$42, 9.9473, 9.9473)* CHOOSE(CONTROL!$C$21, $C$9, 100%, $E$9)</f>
        <v>9.9473000000000003</v>
      </c>
      <c r="K227" s="52">
        <f>CHOOSE(CONTROL!$C$42, 9.9772, 9.9772) * CHOOSE(CONTROL!$C$21, $C$9, 100%, $E$9)</f>
        <v>9.9771999999999998</v>
      </c>
      <c r="L227" s="17">
        <f>CHOOSE(CONTROL!$C$42, 10.6408, 10.6408) * CHOOSE(CONTROL!$C$21, $C$9, 100%, $E$9)</f>
        <v>10.6408</v>
      </c>
      <c r="M227" s="17">
        <f>CHOOSE(CONTROL!$C$42, 9.776, 9.776) * CHOOSE(CONTROL!$C$21, $C$9, 100%, $E$9)</f>
        <v>9.7759999999999998</v>
      </c>
      <c r="N227" s="17">
        <f>CHOOSE(CONTROL!$C$42, 9.7928, 9.7928) * CHOOSE(CONTROL!$C$21, $C$9, 100%, $E$9)</f>
        <v>9.7927999999999997</v>
      </c>
      <c r="O227" s="17">
        <f>CHOOSE(CONTROL!$C$42, 9.8806, 9.8806) * CHOOSE(CONTROL!$C$21, $C$9, 100%, $E$9)</f>
        <v>9.8805999999999994</v>
      </c>
      <c r="P227" s="17">
        <f>CHOOSE(CONTROL!$C$42, 9.8091, 9.8091) * CHOOSE(CONTROL!$C$21, $C$9, 100%, $E$9)</f>
        <v>9.8091000000000008</v>
      </c>
      <c r="Q227" s="17">
        <f>CHOOSE(CONTROL!$C$42, 10.4753, 10.4753) * CHOOSE(CONTROL!$C$21, $C$9, 100%, $E$9)</f>
        <v>10.475300000000001</v>
      </c>
      <c r="R227" s="17">
        <f>CHOOSE(CONTROL!$C$42, 11.0885, 11.0885) * CHOOSE(CONTROL!$C$21, $C$9, 100%, $E$9)</f>
        <v>11.0885</v>
      </c>
      <c r="S227" s="17">
        <f>CHOOSE(CONTROL!$C$42, 9.5335, 9.5335) * CHOOSE(CONTROL!$C$21, $C$9, 100%, $E$9)</f>
        <v>9.5335000000000001</v>
      </c>
      <c r="T22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27" s="56">
        <f>(1000*CHOOSE(CONTROL!$C$42, 695, 695)*CHOOSE(CONTROL!$C$42, 0.5599, 0.5599)*CHOOSE(CONTROL!$C$42, 30, 30))/1000000</f>
        <v>11.673914999999997</v>
      </c>
      <c r="V227" s="56">
        <f>(1000*CHOOSE(CONTROL!$C$42, 500, 500)*CHOOSE(CONTROL!$C$42, 0.275, 0.275)*CHOOSE(CONTROL!$C$42, 30, 30))/1000000</f>
        <v>4.125</v>
      </c>
      <c r="W227" s="56">
        <f>(1000*CHOOSE(CONTROL!$C$42, 0.1146, 0.1146)*CHOOSE(CONTROL!$C$42, 121.5, 121.5)*CHOOSE(CONTROL!$C$42, 30, 30))/1000000</f>
        <v>0.417717</v>
      </c>
      <c r="X227" s="56">
        <f>(30*0.2374*100000/1000000)</f>
        <v>0.71220000000000006</v>
      </c>
      <c r="Y227" s="56"/>
      <c r="Z227" s="17"/>
      <c r="AA227" s="55"/>
      <c r="AB227" s="48">
        <f>(B227*122.58+C227*297.941+D227*89.177+E227*140.302+F227*40+G227*60+H227*0+I227*100+J227*300)/(122.58+297.941+89.177+140.302+0+40+60+100+300)</f>
        <v>9.9676390009565203</v>
      </c>
      <c r="AC227" s="45">
        <f>(M227*'RAP TEMPLATE-GAS AVAILABILITY'!O226+N227*'RAP TEMPLATE-GAS AVAILABILITY'!P226+O227*'RAP TEMPLATE-GAS AVAILABILITY'!Q226+P227*'RAP TEMPLATE-GAS AVAILABILITY'!R226)/('RAP TEMPLATE-GAS AVAILABILITY'!O226+'RAP TEMPLATE-GAS AVAILABILITY'!P226+'RAP TEMPLATE-GAS AVAILABILITY'!Q226+'RAP TEMPLATE-GAS AVAILABILITY'!R226)</f>
        <v>9.8291381294964015</v>
      </c>
    </row>
    <row r="228" spans="1:29" ht="15.75" x14ac:dyDescent="0.25">
      <c r="A228" s="16">
        <v>47818</v>
      </c>
      <c r="B228" s="17">
        <f>CHOOSE(CONTROL!$C$42, 10.6068, 10.6068) * CHOOSE(CONTROL!$C$21, $C$9, 100%, $E$9)</f>
        <v>10.6068</v>
      </c>
      <c r="C228" s="17">
        <f>CHOOSE(CONTROL!$C$42, 10.6118, 10.6118) * CHOOSE(CONTROL!$C$21, $C$9, 100%, $E$9)</f>
        <v>10.611800000000001</v>
      </c>
      <c r="D228" s="17">
        <f>CHOOSE(CONTROL!$C$42, 10.7069, 10.7069) * CHOOSE(CONTROL!$C$21, $C$9, 100%, $E$9)</f>
        <v>10.706899999999999</v>
      </c>
      <c r="E228" s="17">
        <f>CHOOSE(CONTROL!$C$42, 10.741, 10.741) * CHOOSE(CONTROL!$C$21, $C$9, 100%, $E$9)</f>
        <v>10.741</v>
      </c>
      <c r="F228" s="17">
        <f>CHOOSE(CONTROL!$C$42, 10.633, 10.633)*CHOOSE(CONTROL!$C$21, $C$9, 100%, $E$9)</f>
        <v>10.632999999999999</v>
      </c>
      <c r="G228" s="17">
        <f>CHOOSE(CONTROL!$C$42, 10.6507, 10.6507)*CHOOSE(CONTROL!$C$21, $C$9, 100%, $E$9)</f>
        <v>10.650700000000001</v>
      </c>
      <c r="H228" s="17">
        <f>CHOOSE(CONTROL!$C$42, 10.7302, 10.7302) * CHOOSE(CONTROL!$C$21, $C$9, 100%, $E$9)</f>
        <v>10.7302</v>
      </c>
      <c r="I228" s="17">
        <f>CHOOSE(CONTROL!$C$42, 10.6599, 10.6599)* CHOOSE(CONTROL!$C$21, $C$9, 100%, $E$9)</f>
        <v>10.6599</v>
      </c>
      <c r="J228" s="17">
        <f>CHOOSE(CONTROL!$C$42, 10.626, 10.626)* CHOOSE(CONTROL!$C$21, $C$9, 100%, $E$9)</f>
        <v>10.625999999999999</v>
      </c>
      <c r="K228" s="52">
        <f>CHOOSE(CONTROL!$C$42, 10.6557, 10.6557) * CHOOSE(CONTROL!$C$21, $C$9, 100%, $E$9)</f>
        <v>10.6557</v>
      </c>
      <c r="L228" s="17">
        <f>CHOOSE(CONTROL!$C$42, 11.3172, 11.3172) * CHOOSE(CONTROL!$C$21, $C$9, 100%, $E$9)</f>
        <v>11.3172</v>
      </c>
      <c r="M228" s="17">
        <f>CHOOSE(CONTROL!$C$42, 10.4426, 10.4426) * CHOOSE(CONTROL!$C$21, $C$9, 100%, $E$9)</f>
        <v>10.442600000000001</v>
      </c>
      <c r="N228" s="17">
        <f>CHOOSE(CONTROL!$C$42, 10.4599, 10.4599) * CHOOSE(CONTROL!$C$21, $C$9, 100%, $E$9)</f>
        <v>10.459899999999999</v>
      </c>
      <c r="O228" s="17">
        <f>CHOOSE(CONTROL!$C$42, 10.5448, 10.5448) * CHOOSE(CONTROL!$C$21, $C$9, 100%, $E$9)</f>
        <v>10.5448</v>
      </c>
      <c r="P228" s="17">
        <f>CHOOSE(CONTROL!$C$42, 10.4754, 10.4754) * CHOOSE(CONTROL!$C$21, $C$9, 100%, $E$9)</f>
        <v>10.4754</v>
      </c>
      <c r="Q228" s="17">
        <f>CHOOSE(CONTROL!$C$42, 11.1395, 11.1395) * CHOOSE(CONTROL!$C$21, $C$9, 100%, $E$9)</f>
        <v>11.1395</v>
      </c>
      <c r="R228" s="17">
        <f>CHOOSE(CONTROL!$C$42, 11.7544, 11.7544) * CHOOSE(CONTROL!$C$21, $C$9, 100%, $E$9)</f>
        <v>11.7544</v>
      </c>
      <c r="S228" s="17">
        <f>CHOOSE(CONTROL!$C$42, 10.1835, 10.1835) * CHOOSE(CONTROL!$C$21, $C$9, 100%, $E$9)</f>
        <v>10.1835</v>
      </c>
      <c r="T22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28" s="56">
        <f>(1000*CHOOSE(CONTROL!$C$42, 695, 695)*CHOOSE(CONTROL!$C$42, 0.5599, 0.5599)*CHOOSE(CONTROL!$C$42, 31, 31))/1000000</f>
        <v>12.063045499999998</v>
      </c>
      <c r="V228" s="56">
        <f>(1000*CHOOSE(CONTROL!$C$42, 500, 500)*CHOOSE(CONTROL!$C$42, 0.275, 0.275)*CHOOSE(CONTROL!$C$42, 31, 31))/1000000</f>
        <v>4.2625000000000002</v>
      </c>
      <c r="W228" s="56">
        <f>(1000*CHOOSE(CONTROL!$C$42, 0.1146, 0.1146)*CHOOSE(CONTROL!$C$42, 121.5, 121.5)*CHOOSE(CONTROL!$C$42, 31, 31))/1000000</f>
        <v>0.43164089999999994</v>
      </c>
      <c r="X228" s="56">
        <f>(31*0.2374*100000/1000000)</f>
        <v>0.73594000000000004</v>
      </c>
      <c r="Y228" s="56"/>
      <c r="Z228" s="17"/>
      <c r="AA228" s="55"/>
      <c r="AB228" s="48">
        <f>(B228*122.58+C228*297.941+D228*89.177+E228*140.302+F228*40+G228*60+H228*0+I228*100+J228*300)/(122.58+297.941+89.177+140.302+0+40+60+100+300)</f>
        <v>10.645058131391306</v>
      </c>
      <c r="AC228" s="45">
        <f>(M228*'RAP TEMPLATE-GAS AVAILABILITY'!O227+N228*'RAP TEMPLATE-GAS AVAILABILITY'!P227+O228*'RAP TEMPLATE-GAS AVAILABILITY'!Q227+P228*'RAP TEMPLATE-GAS AVAILABILITY'!R227)/('RAP TEMPLATE-GAS AVAILABILITY'!O227+'RAP TEMPLATE-GAS AVAILABILITY'!P227+'RAP TEMPLATE-GAS AVAILABILITY'!Q227+'RAP TEMPLATE-GAS AVAILABILITY'!R227)</f>
        <v>10.494635971223021</v>
      </c>
    </row>
    <row r="229" spans="1:29" ht="15.75" x14ac:dyDescent="0.25">
      <c r="A229" s="16">
        <v>47849</v>
      </c>
      <c r="B229" s="17">
        <f>CHOOSE(CONTROL!$C$42, 11.4853, 11.4853) * CHOOSE(CONTROL!$C$21, $C$9, 100%, $E$9)</f>
        <v>11.485300000000001</v>
      </c>
      <c r="C229" s="17">
        <f>CHOOSE(CONTROL!$C$42, 11.4903, 11.4903) * CHOOSE(CONTROL!$C$21, $C$9, 100%, $E$9)</f>
        <v>11.4903</v>
      </c>
      <c r="D229" s="17">
        <f>CHOOSE(CONTROL!$C$42, 11.6088, 11.6088) * CHOOSE(CONTROL!$C$21, $C$9, 100%, $E$9)</f>
        <v>11.6088</v>
      </c>
      <c r="E229" s="17">
        <f>CHOOSE(CONTROL!$C$42, 11.6429, 11.6429) * CHOOSE(CONTROL!$C$21, $C$9, 100%, $E$9)</f>
        <v>11.642899999999999</v>
      </c>
      <c r="F229" s="17">
        <f>CHOOSE(CONTROL!$C$42, 11.5057, 11.5057)*CHOOSE(CONTROL!$C$21, $C$9, 100%, $E$9)</f>
        <v>11.505699999999999</v>
      </c>
      <c r="G229" s="17">
        <f>CHOOSE(CONTROL!$C$42, 11.5225, 11.5225)*CHOOSE(CONTROL!$C$21, $C$9, 100%, $E$9)</f>
        <v>11.522500000000001</v>
      </c>
      <c r="H229" s="17">
        <f>CHOOSE(CONTROL!$C$42, 11.6321, 11.6321) * CHOOSE(CONTROL!$C$21, $C$9, 100%, $E$9)</f>
        <v>11.632099999999999</v>
      </c>
      <c r="I229" s="17">
        <f>CHOOSE(CONTROL!$C$42, 11.5448, 11.5448)* CHOOSE(CONTROL!$C$21, $C$9, 100%, $E$9)</f>
        <v>11.5448</v>
      </c>
      <c r="J229" s="17">
        <f>CHOOSE(CONTROL!$C$42, 11.4987, 11.4987)* CHOOSE(CONTROL!$C$21, $C$9, 100%, $E$9)</f>
        <v>11.498699999999999</v>
      </c>
      <c r="K229" s="52">
        <f>CHOOSE(CONTROL!$C$42, 11.5406, 11.5406) * CHOOSE(CONTROL!$C$21, $C$9, 100%, $E$9)</f>
        <v>11.5406</v>
      </c>
      <c r="L229" s="17">
        <f>CHOOSE(CONTROL!$C$42, 12.2191, 12.2191) * CHOOSE(CONTROL!$C$21, $C$9, 100%, $E$9)</f>
        <v>12.219099999999999</v>
      </c>
      <c r="M229" s="17">
        <f>CHOOSE(CONTROL!$C$42, 11.2995, 11.2995) * CHOOSE(CONTROL!$C$21, $C$9, 100%, $E$9)</f>
        <v>11.2995</v>
      </c>
      <c r="N229" s="17">
        <f>CHOOSE(CONTROL!$C$42, 11.3161, 11.3161) * CHOOSE(CONTROL!$C$21, $C$9, 100%, $E$9)</f>
        <v>11.3161</v>
      </c>
      <c r="O229" s="17">
        <f>CHOOSE(CONTROL!$C$42, 11.4306, 11.4306) * CHOOSE(CONTROL!$C$21, $C$9, 100%, $E$9)</f>
        <v>11.4306</v>
      </c>
      <c r="P229" s="17">
        <f>CHOOSE(CONTROL!$C$42, 11.3443, 11.3443) * CHOOSE(CONTROL!$C$21, $C$9, 100%, $E$9)</f>
        <v>11.3443</v>
      </c>
      <c r="Q229" s="17">
        <f>CHOOSE(CONTROL!$C$42, 12.0253, 12.0253) * CHOOSE(CONTROL!$C$21, $C$9, 100%, $E$9)</f>
        <v>12.0253</v>
      </c>
      <c r="R229" s="17">
        <f>CHOOSE(CONTROL!$C$42, 12.6423, 12.6423) * CHOOSE(CONTROL!$C$21, $C$9, 100%, $E$9)</f>
        <v>12.642300000000001</v>
      </c>
      <c r="S229" s="17">
        <f>CHOOSE(CONTROL!$C$42, 11.0277, 11.0277) * CHOOSE(CONTROL!$C$21, $C$9, 100%, $E$9)</f>
        <v>11.027699999999999</v>
      </c>
      <c r="T22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29" s="56">
        <f>(1000*CHOOSE(CONTROL!$C$42, 695, 695)*CHOOSE(CONTROL!$C$42, 0.5599, 0.5599)*CHOOSE(CONTROL!$C$42, 31, 31))/1000000</f>
        <v>12.063045499999998</v>
      </c>
      <c r="V229" s="56">
        <f>(1000*CHOOSE(CONTROL!$C$42, 500, 500)*CHOOSE(CONTROL!$C$42, 0.275, 0.275)*CHOOSE(CONTROL!$C$42, 31, 31))/1000000</f>
        <v>4.2625000000000002</v>
      </c>
      <c r="W229" s="56">
        <f>(1000*CHOOSE(CONTROL!$C$42, 0.1146, 0.1146)*CHOOSE(CONTROL!$C$42, 121.5, 121.5)*CHOOSE(CONTROL!$C$42, 31, 31))/1000000</f>
        <v>0.43164089999999994</v>
      </c>
      <c r="X229" s="56">
        <f>(31*0.2374*100000/1000000)</f>
        <v>0.73594000000000004</v>
      </c>
      <c r="Y229" s="56"/>
      <c r="Z229" s="17"/>
      <c r="AA229" s="55"/>
      <c r="AB229" s="48">
        <f>(B229*122.58+C229*297.941+D229*89.177+E229*140.302+F229*40+G229*60+H229*0+I229*100+J229*300)/(122.58+297.941+89.177+140.302+0+40+60+100+300)</f>
        <v>11.526719704086956</v>
      </c>
      <c r="AC229" s="45">
        <f>(M229*'RAP TEMPLATE-GAS AVAILABILITY'!O228+N229*'RAP TEMPLATE-GAS AVAILABILITY'!P228+O229*'RAP TEMPLATE-GAS AVAILABILITY'!Q228+P229*'RAP TEMPLATE-GAS AVAILABILITY'!R228)/('RAP TEMPLATE-GAS AVAILABILITY'!O228+'RAP TEMPLATE-GAS AVAILABILITY'!P228+'RAP TEMPLATE-GAS AVAILABILITY'!Q228+'RAP TEMPLATE-GAS AVAILABILITY'!R228)</f>
        <v>11.366320863309353</v>
      </c>
    </row>
    <row r="230" spans="1:29" ht="15.75" x14ac:dyDescent="0.25">
      <c r="A230" s="16">
        <v>47880</v>
      </c>
      <c r="B230" s="17">
        <f>CHOOSE(CONTROL!$C$42, 11.6896, 11.6896) * CHOOSE(CONTROL!$C$21, $C$9, 100%, $E$9)</f>
        <v>11.6896</v>
      </c>
      <c r="C230" s="17">
        <f>CHOOSE(CONTROL!$C$42, 11.6946, 11.6946) * CHOOSE(CONTROL!$C$21, $C$9, 100%, $E$9)</f>
        <v>11.694599999999999</v>
      </c>
      <c r="D230" s="17">
        <f>CHOOSE(CONTROL!$C$42, 11.8131, 11.8131) * CHOOSE(CONTROL!$C$21, $C$9, 100%, $E$9)</f>
        <v>11.8131</v>
      </c>
      <c r="E230" s="17">
        <f>CHOOSE(CONTROL!$C$42, 11.8472, 11.8472) * CHOOSE(CONTROL!$C$21, $C$9, 100%, $E$9)</f>
        <v>11.847200000000001</v>
      </c>
      <c r="F230" s="17">
        <f>CHOOSE(CONTROL!$C$42, 11.7099, 11.7099)*CHOOSE(CONTROL!$C$21, $C$9, 100%, $E$9)</f>
        <v>11.709899999999999</v>
      </c>
      <c r="G230" s="17">
        <f>CHOOSE(CONTROL!$C$42, 11.7267, 11.7267)*CHOOSE(CONTROL!$C$21, $C$9, 100%, $E$9)</f>
        <v>11.726699999999999</v>
      </c>
      <c r="H230" s="17">
        <f>CHOOSE(CONTROL!$C$42, 11.8364, 11.8364) * CHOOSE(CONTROL!$C$21, $C$9, 100%, $E$9)</f>
        <v>11.836399999999999</v>
      </c>
      <c r="I230" s="17">
        <f>CHOOSE(CONTROL!$C$42, 11.7498, 11.7498)* CHOOSE(CONTROL!$C$21, $C$9, 100%, $E$9)</f>
        <v>11.7498</v>
      </c>
      <c r="J230" s="17">
        <f>CHOOSE(CONTROL!$C$42, 11.7029, 11.7029)* CHOOSE(CONTROL!$C$21, $C$9, 100%, $E$9)</f>
        <v>11.7029</v>
      </c>
      <c r="K230" s="52">
        <f>CHOOSE(CONTROL!$C$42, 11.7456, 11.7456) * CHOOSE(CONTROL!$C$21, $C$9, 100%, $E$9)</f>
        <v>11.7456</v>
      </c>
      <c r="L230" s="17">
        <f>CHOOSE(CONTROL!$C$42, 12.4234, 12.4234) * CHOOSE(CONTROL!$C$21, $C$9, 100%, $E$9)</f>
        <v>12.423400000000001</v>
      </c>
      <c r="M230" s="17">
        <f>CHOOSE(CONTROL!$C$42, 11.5001, 11.5001) * CHOOSE(CONTROL!$C$21, $C$9, 100%, $E$9)</f>
        <v>11.5001</v>
      </c>
      <c r="N230" s="17">
        <f>CHOOSE(CONTROL!$C$42, 11.5166, 11.5166) * CHOOSE(CONTROL!$C$21, $C$9, 100%, $E$9)</f>
        <v>11.5166</v>
      </c>
      <c r="O230" s="17">
        <f>CHOOSE(CONTROL!$C$42, 11.6312, 11.6312) * CHOOSE(CONTROL!$C$21, $C$9, 100%, $E$9)</f>
        <v>11.6312</v>
      </c>
      <c r="P230" s="17">
        <f>CHOOSE(CONTROL!$C$42, 11.5456, 11.5456) * CHOOSE(CONTROL!$C$21, $C$9, 100%, $E$9)</f>
        <v>11.5456</v>
      </c>
      <c r="Q230" s="17">
        <f>CHOOSE(CONTROL!$C$42, 12.2259, 12.2259) * CHOOSE(CONTROL!$C$21, $C$9, 100%, $E$9)</f>
        <v>12.225899999999999</v>
      </c>
      <c r="R230" s="17">
        <f>CHOOSE(CONTROL!$C$42, 12.8434, 12.8434) * CHOOSE(CONTROL!$C$21, $C$9, 100%, $E$9)</f>
        <v>12.843400000000001</v>
      </c>
      <c r="S230" s="17">
        <f>CHOOSE(CONTROL!$C$42, 11.2239, 11.2239) * CHOOSE(CONTROL!$C$21, $C$9, 100%, $E$9)</f>
        <v>11.2239</v>
      </c>
      <c r="T23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30" s="56">
        <f>(1000*CHOOSE(CONTROL!$C$42, 695, 695)*CHOOSE(CONTROL!$C$42, 0.5599, 0.5599)*CHOOSE(CONTROL!$C$42, 28, 28))/1000000</f>
        <v>10.895653999999999</v>
      </c>
      <c r="V230" s="56">
        <f>(1000*CHOOSE(CONTROL!$C$42, 500, 500)*CHOOSE(CONTROL!$C$42, 0.275, 0.275)*CHOOSE(CONTROL!$C$42, 28, 28))/1000000</f>
        <v>3.85</v>
      </c>
      <c r="W230" s="56">
        <f>(1000*CHOOSE(CONTROL!$C$42, 0.1146, 0.1146)*CHOOSE(CONTROL!$C$42, 121.5, 121.5)*CHOOSE(CONTROL!$C$42, 28, 28))/1000000</f>
        <v>0.38986920000000003</v>
      </c>
      <c r="X230" s="56">
        <f>(28*0.2374*100000/1000000)</f>
        <v>0.66471999999999998</v>
      </c>
      <c r="Y230" s="56"/>
      <c r="Z230" s="17"/>
      <c r="AA230" s="55"/>
      <c r="AB230" s="48">
        <f>(B230*122.58+C230*297.941+D230*89.177+E230*140.302+F230*40+G230*60+H230*0+I230*100+J230*300)/(122.58+297.941+89.177+140.302+0+40+60+100+300)</f>
        <v>11.731045791043478</v>
      </c>
      <c r="AC230" s="45">
        <f>(M230*'RAP TEMPLATE-GAS AVAILABILITY'!O229+N230*'RAP TEMPLATE-GAS AVAILABILITY'!P229+O230*'RAP TEMPLATE-GAS AVAILABILITY'!Q229+P230*'RAP TEMPLATE-GAS AVAILABILITY'!R229)/('RAP TEMPLATE-GAS AVAILABILITY'!O229+'RAP TEMPLATE-GAS AVAILABILITY'!P229+'RAP TEMPLATE-GAS AVAILABILITY'!Q229+'RAP TEMPLATE-GAS AVAILABILITY'!R229)</f>
        <v>11.567015827338128</v>
      </c>
    </row>
    <row r="231" spans="1:29" ht="15.75" x14ac:dyDescent="0.25">
      <c r="A231" s="16">
        <v>47908</v>
      </c>
      <c r="B231" s="17">
        <f>CHOOSE(CONTROL!$C$42, 11.3579, 11.3579) * CHOOSE(CONTROL!$C$21, $C$9, 100%, $E$9)</f>
        <v>11.357900000000001</v>
      </c>
      <c r="C231" s="17">
        <f>CHOOSE(CONTROL!$C$42, 11.363, 11.363) * CHOOSE(CONTROL!$C$21, $C$9, 100%, $E$9)</f>
        <v>11.363</v>
      </c>
      <c r="D231" s="17">
        <f>CHOOSE(CONTROL!$C$42, 11.4815, 11.4815) * CHOOSE(CONTROL!$C$21, $C$9, 100%, $E$9)</f>
        <v>11.4815</v>
      </c>
      <c r="E231" s="17">
        <f>CHOOSE(CONTROL!$C$42, 11.5156, 11.5156) * CHOOSE(CONTROL!$C$21, $C$9, 100%, $E$9)</f>
        <v>11.515599999999999</v>
      </c>
      <c r="F231" s="17">
        <f>CHOOSE(CONTROL!$C$42, 11.3777, 11.3777)*CHOOSE(CONTROL!$C$21, $C$9, 100%, $E$9)</f>
        <v>11.377700000000001</v>
      </c>
      <c r="G231" s="17">
        <f>CHOOSE(CONTROL!$C$42, 11.3943, 11.3943)*CHOOSE(CONTROL!$C$21, $C$9, 100%, $E$9)</f>
        <v>11.394299999999999</v>
      </c>
      <c r="H231" s="17">
        <f>CHOOSE(CONTROL!$C$42, 11.5048, 11.5048) * CHOOSE(CONTROL!$C$21, $C$9, 100%, $E$9)</f>
        <v>11.504799999999999</v>
      </c>
      <c r="I231" s="17">
        <f>CHOOSE(CONTROL!$C$42, 11.4171, 11.4171)* CHOOSE(CONTROL!$C$21, $C$9, 100%, $E$9)</f>
        <v>11.4171</v>
      </c>
      <c r="J231" s="17">
        <f>CHOOSE(CONTROL!$C$42, 11.3707, 11.3707)* CHOOSE(CONTROL!$C$21, $C$9, 100%, $E$9)</f>
        <v>11.370699999999999</v>
      </c>
      <c r="K231" s="52">
        <f>CHOOSE(CONTROL!$C$42, 11.4129, 11.4129) * CHOOSE(CONTROL!$C$21, $C$9, 100%, $E$9)</f>
        <v>11.4129</v>
      </c>
      <c r="L231" s="17">
        <f>CHOOSE(CONTROL!$C$42, 12.0918, 12.0918) * CHOOSE(CONTROL!$C$21, $C$9, 100%, $E$9)</f>
        <v>12.091799999999999</v>
      </c>
      <c r="M231" s="17">
        <f>CHOOSE(CONTROL!$C$42, 11.1738, 11.1738) * CHOOSE(CONTROL!$C$21, $C$9, 100%, $E$9)</f>
        <v>11.1738</v>
      </c>
      <c r="N231" s="17">
        <f>CHOOSE(CONTROL!$C$42, 11.1902, 11.1902) * CHOOSE(CONTROL!$C$21, $C$9, 100%, $E$9)</f>
        <v>11.190200000000001</v>
      </c>
      <c r="O231" s="17">
        <f>CHOOSE(CONTROL!$C$42, 11.3055, 11.3055) * CHOOSE(CONTROL!$C$21, $C$9, 100%, $E$9)</f>
        <v>11.3055</v>
      </c>
      <c r="P231" s="17">
        <f>CHOOSE(CONTROL!$C$42, 11.2189, 11.2189) * CHOOSE(CONTROL!$C$21, $C$9, 100%, $E$9)</f>
        <v>11.2189</v>
      </c>
      <c r="Q231" s="17">
        <f>CHOOSE(CONTROL!$C$42, 11.9002, 11.9002) * CHOOSE(CONTROL!$C$21, $C$9, 100%, $E$9)</f>
        <v>11.9002</v>
      </c>
      <c r="R231" s="17">
        <f>CHOOSE(CONTROL!$C$42, 12.517, 12.517) * CHOOSE(CONTROL!$C$21, $C$9, 100%, $E$9)</f>
        <v>12.516999999999999</v>
      </c>
      <c r="S231" s="17">
        <f>CHOOSE(CONTROL!$C$42, 10.9053, 10.9053) * CHOOSE(CONTROL!$C$21, $C$9, 100%, $E$9)</f>
        <v>10.9053</v>
      </c>
      <c r="T23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31" s="56">
        <f>(1000*CHOOSE(CONTROL!$C$42, 695, 695)*CHOOSE(CONTROL!$C$42, 0.5599, 0.5599)*CHOOSE(CONTROL!$C$42, 31, 31))/1000000</f>
        <v>12.063045499999998</v>
      </c>
      <c r="V231" s="56">
        <f>(1000*CHOOSE(CONTROL!$C$42, 500, 500)*CHOOSE(CONTROL!$C$42, 0.275, 0.275)*CHOOSE(CONTROL!$C$42, 31, 31))/1000000</f>
        <v>4.2625000000000002</v>
      </c>
      <c r="W231" s="56">
        <f>(1000*CHOOSE(CONTROL!$C$42, 0.1146, 0.1146)*CHOOSE(CONTROL!$C$42, 121.5, 121.5)*CHOOSE(CONTROL!$C$42, 31, 31))/1000000</f>
        <v>0.43164089999999994</v>
      </c>
      <c r="X231" s="56">
        <f>(31*0.2374*100000/1000000)</f>
        <v>0.73594000000000004</v>
      </c>
      <c r="Y231" s="56"/>
      <c r="Z231" s="17"/>
      <c r="AA231" s="55"/>
      <c r="AB231" s="48">
        <f>(B231*122.58+C231*297.941+D231*89.177+E231*140.302+F231*40+G231*60+H231*0+I231*100+J231*300)/(122.58+297.941+89.177+140.302+0+40+60+100+300)</f>
        <v>11.399120349304349</v>
      </c>
      <c r="AC231" s="45">
        <f>(M231*'RAP TEMPLATE-GAS AVAILABILITY'!O230+N231*'RAP TEMPLATE-GAS AVAILABILITY'!P230+O231*'RAP TEMPLATE-GAS AVAILABILITY'!Q230+P231*'RAP TEMPLATE-GAS AVAILABILITY'!R230)/('RAP TEMPLATE-GAS AVAILABILITY'!O230+'RAP TEMPLATE-GAS AVAILABILITY'!P230+'RAP TEMPLATE-GAS AVAILABILITY'!Q230+'RAP TEMPLATE-GAS AVAILABILITY'!R230)</f>
        <v>11.240924460431653</v>
      </c>
    </row>
    <row r="232" spans="1:29" ht="15.75" x14ac:dyDescent="0.25">
      <c r="A232" s="16">
        <v>47939</v>
      </c>
      <c r="B232" s="17">
        <f>CHOOSE(CONTROL!$C$42, 11.325, 11.325) * CHOOSE(CONTROL!$C$21, $C$9, 100%, $E$9)</f>
        <v>11.324999999999999</v>
      </c>
      <c r="C232" s="17">
        <f>CHOOSE(CONTROL!$C$42, 11.3295, 11.3295) * CHOOSE(CONTROL!$C$21, $C$9, 100%, $E$9)</f>
        <v>11.329499999999999</v>
      </c>
      <c r="D232" s="17">
        <f>CHOOSE(CONTROL!$C$42, 11.6037, 11.6037) * CHOOSE(CONTROL!$C$21, $C$9, 100%, $E$9)</f>
        <v>11.6037</v>
      </c>
      <c r="E232" s="17">
        <f>CHOOSE(CONTROL!$C$42, 11.6358, 11.6358) * CHOOSE(CONTROL!$C$21, $C$9, 100%, $E$9)</f>
        <v>11.6358</v>
      </c>
      <c r="F232" s="17">
        <f>CHOOSE(CONTROL!$C$42, 11.3443, 11.3443)*CHOOSE(CONTROL!$C$21, $C$9, 100%, $E$9)</f>
        <v>11.3443</v>
      </c>
      <c r="G232" s="17">
        <f>CHOOSE(CONTROL!$C$42, 11.3606, 11.3606)*CHOOSE(CONTROL!$C$21, $C$9, 100%, $E$9)</f>
        <v>11.3606</v>
      </c>
      <c r="H232" s="17">
        <f>CHOOSE(CONTROL!$C$42, 11.6256, 11.6256) * CHOOSE(CONTROL!$C$21, $C$9, 100%, $E$9)</f>
        <v>11.6256</v>
      </c>
      <c r="I232" s="17">
        <f>CHOOSE(CONTROL!$C$42, 11.3817, 11.3817)* CHOOSE(CONTROL!$C$21, $C$9, 100%, $E$9)</f>
        <v>11.3817</v>
      </c>
      <c r="J232" s="17">
        <f>CHOOSE(CONTROL!$C$42, 11.3373, 11.3373)* CHOOSE(CONTROL!$C$21, $C$9, 100%, $E$9)</f>
        <v>11.337300000000001</v>
      </c>
      <c r="K232" s="52">
        <f>CHOOSE(CONTROL!$C$42, 11.3775, 11.3775) * CHOOSE(CONTROL!$C$21, $C$9, 100%, $E$9)</f>
        <v>11.3775</v>
      </c>
      <c r="L232" s="17">
        <f>CHOOSE(CONTROL!$C$42, 12.2126, 12.2126) * CHOOSE(CONTROL!$C$21, $C$9, 100%, $E$9)</f>
        <v>12.2126</v>
      </c>
      <c r="M232" s="17">
        <f>CHOOSE(CONTROL!$C$42, 11.1411, 11.1411) * CHOOSE(CONTROL!$C$21, $C$9, 100%, $E$9)</f>
        <v>11.1411</v>
      </c>
      <c r="N232" s="17">
        <f>CHOOSE(CONTROL!$C$42, 11.1571, 11.1571) * CHOOSE(CONTROL!$C$21, $C$9, 100%, $E$9)</f>
        <v>11.1571</v>
      </c>
      <c r="O232" s="17">
        <f>CHOOSE(CONTROL!$C$42, 11.4241, 11.4241) * CHOOSE(CONTROL!$C$21, $C$9, 100%, $E$9)</f>
        <v>11.424099999999999</v>
      </c>
      <c r="P232" s="17">
        <f>CHOOSE(CONTROL!$C$42, 11.1841, 11.1841) * CHOOSE(CONTROL!$C$21, $C$9, 100%, $E$9)</f>
        <v>11.184100000000001</v>
      </c>
      <c r="Q232" s="17">
        <f>CHOOSE(CONTROL!$C$42, 12.0188, 12.0188) * CHOOSE(CONTROL!$C$21, $C$9, 100%, $E$9)</f>
        <v>12.018800000000001</v>
      </c>
      <c r="R232" s="17">
        <f>CHOOSE(CONTROL!$C$42, 12.6359, 12.6359) * CHOOSE(CONTROL!$C$21, $C$9, 100%, $E$9)</f>
        <v>12.635899999999999</v>
      </c>
      <c r="S232" s="17">
        <f>CHOOSE(CONTROL!$C$42, 10.8729, 10.8729) * CHOOSE(CONTROL!$C$21, $C$9, 100%, $E$9)</f>
        <v>10.8729</v>
      </c>
      <c r="T23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32" s="56">
        <f>(1000*CHOOSE(CONTROL!$C$42, 695, 695)*CHOOSE(CONTROL!$C$42, 0.5599, 0.5599)*CHOOSE(CONTROL!$C$42, 30, 30))/1000000</f>
        <v>11.673914999999997</v>
      </c>
      <c r="V232" s="56">
        <f>(1000*CHOOSE(CONTROL!$C$42, 500, 500)*CHOOSE(CONTROL!$C$42, 0.275, 0.275)*CHOOSE(CONTROL!$C$42, 30, 30))/1000000</f>
        <v>4.125</v>
      </c>
      <c r="W232" s="56">
        <f>(1000*CHOOSE(CONTROL!$C$42, 0.1146, 0.1146)*CHOOSE(CONTROL!$C$42, 121.5, 121.5)*CHOOSE(CONTROL!$C$42, 30, 30))/1000000</f>
        <v>0.417717</v>
      </c>
      <c r="X232" s="56">
        <f>(30*0.1790888*145000/1000000)+(30*0.2374*100000/1000000)</f>
        <v>1.4912362799999999</v>
      </c>
      <c r="Y232" s="56"/>
      <c r="Z232" s="17"/>
      <c r="AA232" s="55"/>
      <c r="AB232" s="48">
        <f>(B232*141.293+C232*267.993+D232*115.016+E232*189.698+F232*40+G232*85+H232*0+I232*100+J232*300)/(141.293+267.993+115.016+189.698+0+40+85+100+300)</f>
        <v>11.410050093704601</v>
      </c>
      <c r="AC232" s="45">
        <f>(M232*'RAP TEMPLATE-GAS AVAILABILITY'!O231+N232*'RAP TEMPLATE-GAS AVAILABILITY'!P231+O232*'RAP TEMPLATE-GAS AVAILABILITY'!Q231+P232*'RAP TEMPLATE-GAS AVAILABILITY'!R231)/('RAP TEMPLATE-GAS AVAILABILITY'!O231+'RAP TEMPLATE-GAS AVAILABILITY'!P231+'RAP TEMPLATE-GAS AVAILABILITY'!Q231+'RAP TEMPLATE-GAS AVAILABILITY'!R231)</f>
        <v>11.230373381294964</v>
      </c>
    </row>
    <row r="233" spans="1:29" ht="15.75" x14ac:dyDescent="0.25">
      <c r="A233" s="16">
        <v>47969</v>
      </c>
      <c r="B233" s="17">
        <f>CHOOSE(CONTROL!$C$42, 11.4262, 11.4262) * CHOOSE(CONTROL!$C$21, $C$9, 100%, $E$9)</f>
        <v>11.4262</v>
      </c>
      <c r="C233" s="17">
        <f>CHOOSE(CONTROL!$C$42, 11.4343, 11.4343) * CHOOSE(CONTROL!$C$21, $C$9, 100%, $E$9)</f>
        <v>11.4343</v>
      </c>
      <c r="D233" s="17">
        <f>CHOOSE(CONTROL!$C$42, 11.7053, 11.7053) * CHOOSE(CONTROL!$C$21, $C$9, 100%, $E$9)</f>
        <v>11.705299999999999</v>
      </c>
      <c r="E233" s="17">
        <f>CHOOSE(CONTROL!$C$42, 11.7368, 11.7368) * CHOOSE(CONTROL!$C$21, $C$9, 100%, $E$9)</f>
        <v>11.736800000000001</v>
      </c>
      <c r="F233" s="17">
        <f>CHOOSE(CONTROL!$C$42, 11.4444, 11.4444)*CHOOSE(CONTROL!$C$21, $C$9, 100%, $E$9)</f>
        <v>11.4444</v>
      </c>
      <c r="G233" s="17">
        <f>CHOOSE(CONTROL!$C$42, 11.461, 11.461)*CHOOSE(CONTROL!$C$21, $C$9, 100%, $E$9)</f>
        <v>11.461</v>
      </c>
      <c r="H233" s="17">
        <f>CHOOSE(CONTROL!$C$42, 11.7254, 11.7254) * CHOOSE(CONTROL!$C$21, $C$9, 100%, $E$9)</f>
        <v>11.7254</v>
      </c>
      <c r="I233" s="17">
        <f>CHOOSE(CONTROL!$C$42, 11.4819, 11.4819)* CHOOSE(CONTROL!$C$21, $C$9, 100%, $E$9)</f>
        <v>11.4819</v>
      </c>
      <c r="J233" s="17">
        <f>CHOOSE(CONTROL!$C$42, 11.4374, 11.4374)* CHOOSE(CONTROL!$C$21, $C$9, 100%, $E$9)</f>
        <v>11.4374</v>
      </c>
      <c r="K233" s="52">
        <f>CHOOSE(CONTROL!$C$42, 11.4777, 11.4777) * CHOOSE(CONTROL!$C$21, $C$9, 100%, $E$9)</f>
        <v>11.4777</v>
      </c>
      <c r="L233" s="17">
        <f>CHOOSE(CONTROL!$C$42, 12.3124, 12.3124) * CHOOSE(CONTROL!$C$21, $C$9, 100%, $E$9)</f>
        <v>12.3124</v>
      </c>
      <c r="M233" s="17">
        <f>CHOOSE(CONTROL!$C$42, 11.2394, 11.2394) * CHOOSE(CONTROL!$C$21, $C$9, 100%, $E$9)</f>
        <v>11.2394</v>
      </c>
      <c r="N233" s="17">
        <f>CHOOSE(CONTROL!$C$42, 11.2557, 11.2557) * CHOOSE(CONTROL!$C$21, $C$9, 100%, $E$9)</f>
        <v>11.255699999999999</v>
      </c>
      <c r="O233" s="17">
        <f>CHOOSE(CONTROL!$C$42, 11.5222, 11.5222) * CHOOSE(CONTROL!$C$21, $C$9, 100%, $E$9)</f>
        <v>11.5222</v>
      </c>
      <c r="P233" s="17">
        <f>CHOOSE(CONTROL!$C$42, 11.2825, 11.2825) * CHOOSE(CONTROL!$C$21, $C$9, 100%, $E$9)</f>
        <v>11.282500000000001</v>
      </c>
      <c r="Q233" s="17">
        <f>CHOOSE(CONTROL!$C$42, 12.1169, 12.1169) * CHOOSE(CONTROL!$C$21, $C$9, 100%, $E$9)</f>
        <v>12.116899999999999</v>
      </c>
      <c r="R233" s="17">
        <f>CHOOSE(CONTROL!$C$42, 12.7342, 12.7342) * CHOOSE(CONTROL!$C$21, $C$9, 100%, $E$9)</f>
        <v>12.7342</v>
      </c>
      <c r="S233" s="17">
        <f>CHOOSE(CONTROL!$C$42, 10.9688, 10.9688) * CHOOSE(CONTROL!$C$21, $C$9, 100%, $E$9)</f>
        <v>10.9688</v>
      </c>
      <c r="T23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33" s="56">
        <f>(1000*CHOOSE(CONTROL!$C$42, 695, 695)*CHOOSE(CONTROL!$C$42, 0.5599, 0.5599)*CHOOSE(CONTROL!$C$42, 31, 31))/1000000</f>
        <v>12.063045499999998</v>
      </c>
      <c r="V233" s="56">
        <f>(1000*CHOOSE(CONTROL!$C$42, 500, 500)*CHOOSE(CONTROL!$C$42, 0.275, 0.275)*CHOOSE(CONTROL!$C$42, 31, 31))/1000000</f>
        <v>4.2625000000000002</v>
      </c>
      <c r="W233" s="56">
        <f>(1000*CHOOSE(CONTROL!$C$42, 0.1146, 0.1146)*CHOOSE(CONTROL!$C$42, 121.5, 121.5)*CHOOSE(CONTROL!$C$42, 31, 31))/1000000</f>
        <v>0.43164089999999994</v>
      </c>
      <c r="X233" s="56">
        <f>(31*0.1790888*145000/1000000)+(31*0.2374*100000/1000000)</f>
        <v>1.5409441560000001</v>
      </c>
      <c r="Y233" s="56"/>
      <c r="Z233" s="17"/>
      <c r="AA233" s="55"/>
      <c r="AB233" s="48">
        <f>(B233*194.205+C233*267.466+D233*133.845+E233*153.484+F233*40+G233*85+H233*0+I233*100+J233*300)/(194.205+267.466+133.845+153.484+0+40+85+100+300)</f>
        <v>11.50454438343799</v>
      </c>
      <c r="AC233" s="45">
        <f>(M233*'RAP TEMPLATE-GAS AVAILABILITY'!O232+N233*'RAP TEMPLATE-GAS AVAILABILITY'!P232+O233*'RAP TEMPLATE-GAS AVAILABILITY'!Q232+P233*'RAP TEMPLATE-GAS AVAILABILITY'!R232)/('RAP TEMPLATE-GAS AVAILABILITY'!O232+'RAP TEMPLATE-GAS AVAILABILITY'!P232+'RAP TEMPLATE-GAS AVAILABILITY'!Q232+'RAP TEMPLATE-GAS AVAILABILITY'!R232)</f>
        <v>11.328700719424461</v>
      </c>
    </row>
    <row r="234" spans="1:29" ht="15.75" x14ac:dyDescent="0.25">
      <c r="A234" s="16">
        <v>48000</v>
      </c>
      <c r="B234" s="17">
        <f>CHOOSE(CONTROL!$C$42, 11.75, 11.75) * CHOOSE(CONTROL!$C$21, $C$9, 100%, $E$9)</f>
        <v>11.75</v>
      </c>
      <c r="C234" s="17">
        <f>CHOOSE(CONTROL!$C$42, 11.758, 11.758) * CHOOSE(CONTROL!$C$21, $C$9, 100%, $E$9)</f>
        <v>11.757999999999999</v>
      </c>
      <c r="D234" s="17">
        <f>CHOOSE(CONTROL!$C$42, 12.0291, 12.0291) * CHOOSE(CONTROL!$C$21, $C$9, 100%, $E$9)</f>
        <v>12.0291</v>
      </c>
      <c r="E234" s="17">
        <f>CHOOSE(CONTROL!$C$42, 12.0606, 12.0606) * CHOOSE(CONTROL!$C$21, $C$9, 100%, $E$9)</f>
        <v>12.060600000000001</v>
      </c>
      <c r="F234" s="17">
        <f>CHOOSE(CONTROL!$C$42, 11.7685, 11.7685)*CHOOSE(CONTROL!$C$21, $C$9, 100%, $E$9)</f>
        <v>11.7685</v>
      </c>
      <c r="G234" s="17">
        <f>CHOOSE(CONTROL!$C$42, 11.7852, 11.7852)*CHOOSE(CONTROL!$C$21, $C$9, 100%, $E$9)</f>
        <v>11.7852</v>
      </c>
      <c r="H234" s="17">
        <f>CHOOSE(CONTROL!$C$42, 12.0492, 12.0492) * CHOOSE(CONTROL!$C$21, $C$9, 100%, $E$9)</f>
        <v>12.049200000000001</v>
      </c>
      <c r="I234" s="17">
        <f>CHOOSE(CONTROL!$C$42, 11.8067, 11.8067)* CHOOSE(CONTROL!$C$21, $C$9, 100%, $E$9)</f>
        <v>11.806699999999999</v>
      </c>
      <c r="J234" s="17">
        <f>CHOOSE(CONTROL!$C$42, 11.7615, 11.7615)* CHOOSE(CONTROL!$C$21, $C$9, 100%, $E$9)</f>
        <v>11.7615</v>
      </c>
      <c r="K234" s="52">
        <f>CHOOSE(CONTROL!$C$42, 11.8025, 11.8025) * CHOOSE(CONTROL!$C$21, $C$9, 100%, $E$9)</f>
        <v>11.8025</v>
      </c>
      <c r="L234" s="17">
        <f>CHOOSE(CONTROL!$C$42, 12.6362, 12.6362) * CHOOSE(CONTROL!$C$21, $C$9, 100%, $E$9)</f>
        <v>12.636200000000001</v>
      </c>
      <c r="M234" s="17">
        <f>CHOOSE(CONTROL!$C$42, 11.5576, 11.5576) * CHOOSE(CONTROL!$C$21, $C$9, 100%, $E$9)</f>
        <v>11.557600000000001</v>
      </c>
      <c r="N234" s="17">
        <f>CHOOSE(CONTROL!$C$42, 11.574, 11.574) * CHOOSE(CONTROL!$C$21, $C$9, 100%, $E$9)</f>
        <v>11.574</v>
      </c>
      <c r="O234" s="17">
        <f>CHOOSE(CONTROL!$C$42, 11.8402, 11.8402) * CHOOSE(CONTROL!$C$21, $C$9, 100%, $E$9)</f>
        <v>11.840199999999999</v>
      </c>
      <c r="P234" s="17">
        <f>CHOOSE(CONTROL!$C$42, 11.6014, 11.6014) * CHOOSE(CONTROL!$C$21, $C$9, 100%, $E$9)</f>
        <v>11.6014</v>
      </c>
      <c r="Q234" s="17">
        <f>CHOOSE(CONTROL!$C$42, 12.4349, 12.4349) * CHOOSE(CONTROL!$C$21, $C$9, 100%, $E$9)</f>
        <v>12.434900000000001</v>
      </c>
      <c r="R234" s="17">
        <f>CHOOSE(CONTROL!$C$42, 13.053, 13.053) * CHOOSE(CONTROL!$C$21, $C$9, 100%, $E$9)</f>
        <v>13.053000000000001</v>
      </c>
      <c r="S234" s="17">
        <f>CHOOSE(CONTROL!$C$42, 11.28, 11.28) * CHOOSE(CONTROL!$C$21, $C$9, 100%, $E$9)</f>
        <v>11.28</v>
      </c>
      <c r="T23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34" s="56">
        <f>(1000*CHOOSE(CONTROL!$C$42, 695, 695)*CHOOSE(CONTROL!$C$42, 0.5599, 0.5599)*CHOOSE(CONTROL!$C$42, 30, 30))/1000000</f>
        <v>11.673914999999997</v>
      </c>
      <c r="V234" s="56">
        <f>(1000*CHOOSE(CONTROL!$C$42, 500, 500)*CHOOSE(CONTROL!$C$42, 0.275, 0.275)*CHOOSE(CONTROL!$C$42, 30, 30))/1000000</f>
        <v>4.125</v>
      </c>
      <c r="W234" s="56">
        <f>(1000*CHOOSE(CONTROL!$C$42, 0.1146, 0.1146)*CHOOSE(CONTROL!$C$42, 121.5, 121.5)*CHOOSE(CONTROL!$C$42, 30, 30))/1000000</f>
        <v>0.417717</v>
      </c>
      <c r="X234" s="56">
        <f>(30*0.1790888*145000/1000000)+(30*0.2374*100000/1000000)</f>
        <v>1.4912362799999999</v>
      </c>
      <c r="Y234" s="56"/>
      <c r="Z234" s="17"/>
      <c r="AA234" s="55"/>
      <c r="AB234" s="48">
        <f>(B234*194.205+C234*267.466+D234*133.845+E234*153.484+F234*40+G234*85+H234*0+I234*100+J234*300)/(194.205+267.466+133.845+153.484+0+40+85+100+300)</f>
        <v>11.828508632574568</v>
      </c>
      <c r="AC234" s="45">
        <f>(M234*'RAP TEMPLATE-GAS AVAILABILITY'!O233+N234*'RAP TEMPLATE-GAS AVAILABILITY'!P233+O234*'RAP TEMPLATE-GAS AVAILABILITY'!Q233+P234*'RAP TEMPLATE-GAS AVAILABILITY'!R233)/('RAP TEMPLATE-GAS AVAILABILITY'!O233+'RAP TEMPLATE-GAS AVAILABILITY'!P233+'RAP TEMPLATE-GAS AVAILABILITY'!Q233+'RAP TEMPLATE-GAS AVAILABILITY'!R233)</f>
        <v>11.64696834532374</v>
      </c>
    </row>
    <row r="235" spans="1:29" ht="15.75" x14ac:dyDescent="0.25">
      <c r="A235" s="16">
        <v>48030</v>
      </c>
      <c r="B235" s="17">
        <f>CHOOSE(CONTROL!$C$42, 11.5248, 11.5248) * CHOOSE(CONTROL!$C$21, $C$9, 100%, $E$9)</f>
        <v>11.524800000000001</v>
      </c>
      <c r="C235" s="17">
        <f>CHOOSE(CONTROL!$C$42, 11.5329, 11.5329) * CHOOSE(CONTROL!$C$21, $C$9, 100%, $E$9)</f>
        <v>11.5329</v>
      </c>
      <c r="D235" s="17">
        <f>CHOOSE(CONTROL!$C$42, 11.8039, 11.8039) * CHOOSE(CONTROL!$C$21, $C$9, 100%, $E$9)</f>
        <v>11.803900000000001</v>
      </c>
      <c r="E235" s="17">
        <f>CHOOSE(CONTROL!$C$42, 11.8354, 11.8354) * CHOOSE(CONTROL!$C$21, $C$9, 100%, $E$9)</f>
        <v>11.8354</v>
      </c>
      <c r="F235" s="17">
        <f>CHOOSE(CONTROL!$C$42, 11.5437, 11.5437)*CHOOSE(CONTROL!$C$21, $C$9, 100%, $E$9)</f>
        <v>11.543699999999999</v>
      </c>
      <c r="G235" s="17">
        <f>CHOOSE(CONTROL!$C$42, 11.5605, 11.5605)*CHOOSE(CONTROL!$C$21, $C$9, 100%, $E$9)</f>
        <v>11.560499999999999</v>
      </c>
      <c r="H235" s="17">
        <f>CHOOSE(CONTROL!$C$42, 11.824, 11.824) * CHOOSE(CONTROL!$C$21, $C$9, 100%, $E$9)</f>
        <v>11.824</v>
      </c>
      <c r="I235" s="17">
        <f>CHOOSE(CONTROL!$C$42, 11.5808, 11.5808)* CHOOSE(CONTROL!$C$21, $C$9, 100%, $E$9)</f>
        <v>11.5808</v>
      </c>
      <c r="J235" s="17">
        <f>CHOOSE(CONTROL!$C$42, 11.5367, 11.5367)* CHOOSE(CONTROL!$C$21, $C$9, 100%, $E$9)</f>
        <v>11.5367</v>
      </c>
      <c r="K235" s="52">
        <f>CHOOSE(CONTROL!$C$42, 11.5766, 11.5766) * CHOOSE(CONTROL!$C$21, $C$9, 100%, $E$9)</f>
        <v>11.576599999999999</v>
      </c>
      <c r="L235" s="17">
        <f>CHOOSE(CONTROL!$C$42, 12.411, 12.411) * CHOOSE(CONTROL!$C$21, $C$9, 100%, $E$9)</f>
        <v>12.411</v>
      </c>
      <c r="M235" s="17">
        <f>CHOOSE(CONTROL!$C$42, 11.3369, 11.3369) * CHOOSE(CONTROL!$C$21, $C$9, 100%, $E$9)</f>
        <v>11.3369</v>
      </c>
      <c r="N235" s="17">
        <f>CHOOSE(CONTROL!$C$42, 11.3534, 11.3534) * CHOOSE(CONTROL!$C$21, $C$9, 100%, $E$9)</f>
        <v>11.353400000000001</v>
      </c>
      <c r="O235" s="17">
        <f>CHOOSE(CONTROL!$C$42, 11.619, 11.619) * CHOOSE(CONTROL!$C$21, $C$9, 100%, $E$9)</f>
        <v>11.619</v>
      </c>
      <c r="P235" s="17">
        <f>CHOOSE(CONTROL!$C$42, 11.3796, 11.3796) * CHOOSE(CONTROL!$C$21, $C$9, 100%, $E$9)</f>
        <v>11.3796</v>
      </c>
      <c r="Q235" s="17">
        <f>CHOOSE(CONTROL!$C$42, 12.2137, 12.2137) * CHOOSE(CONTROL!$C$21, $C$9, 100%, $E$9)</f>
        <v>12.213699999999999</v>
      </c>
      <c r="R235" s="17">
        <f>CHOOSE(CONTROL!$C$42, 12.8313, 12.8313) * CHOOSE(CONTROL!$C$21, $C$9, 100%, $E$9)</f>
        <v>12.831300000000001</v>
      </c>
      <c r="S235" s="17">
        <f>CHOOSE(CONTROL!$C$42, 11.0636, 11.0636) * CHOOSE(CONTROL!$C$21, $C$9, 100%, $E$9)</f>
        <v>11.063599999999999</v>
      </c>
      <c r="T23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35" s="56">
        <f>(1000*CHOOSE(CONTROL!$C$42, 695, 695)*CHOOSE(CONTROL!$C$42, 0.5599, 0.5599)*CHOOSE(CONTROL!$C$42, 31, 31))/1000000</f>
        <v>12.063045499999998</v>
      </c>
      <c r="V235" s="56">
        <f>(1000*CHOOSE(CONTROL!$C$42, 500, 500)*CHOOSE(CONTROL!$C$42, 0.275, 0.275)*CHOOSE(CONTROL!$C$42, 31, 31))/1000000</f>
        <v>4.2625000000000002</v>
      </c>
      <c r="W235" s="56">
        <f>(1000*CHOOSE(CONTROL!$C$42, 0.1146, 0.1146)*CHOOSE(CONTROL!$C$42, 121.5, 121.5)*CHOOSE(CONTROL!$C$42, 31, 31))/1000000</f>
        <v>0.43164089999999994</v>
      </c>
      <c r="X235" s="56">
        <f>(31*0.1790888*145000/1000000)+(31*0.2374*100000/1000000)</f>
        <v>1.5409441560000001</v>
      </c>
      <c r="Y235" s="56"/>
      <c r="Z235" s="17"/>
      <c r="AA235" s="55"/>
      <c r="AB235" s="48">
        <f>(B235*194.205+C235*267.466+D235*133.845+E235*153.484+F235*40+G235*85+H235*0+I235*100+J235*300)/(194.205+267.466+133.845+153.484+0+40+85+100+300)</f>
        <v>11.603414791601255</v>
      </c>
      <c r="AC235" s="45">
        <f>(M235*'RAP TEMPLATE-GAS AVAILABILITY'!O234+N235*'RAP TEMPLATE-GAS AVAILABILITY'!P234+O235*'RAP TEMPLATE-GAS AVAILABILITY'!Q234+P235*'RAP TEMPLATE-GAS AVAILABILITY'!R234)/('RAP TEMPLATE-GAS AVAILABILITY'!O234+'RAP TEMPLATE-GAS AVAILABILITY'!P234+'RAP TEMPLATE-GAS AVAILABILITY'!Q234+'RAP TEMPLATE-GAS AVAILABILITY'!R234)</f>
        <v>11.425992805755396</v>
      </c>
    </row>
    <row r="236" spans="1:29" ht="15.75" x14ac:dyDescent="0.25">
      <c r="A236" s="16">
        <v>48061</v>
      </c>
      <c r="B236" s="17">
        <f>CHOOSE(CONTROL!$C$42, 10.9561, 10.9561) * CHOOSE(CONTROL!$C$21, $C$9, 100%, $E$9)</f>
        <v>10.956099999999999</v>
      </c>
      <c r="C236" s="17">
        <f>CHOOSE(CONTROL!$C$42, 10.9642, 10.9642) * CHOOSE(CONTROL!$C$21, $C$9, 100%, $E$9)</f>
        <v>10.9642</v>
      </c>
      <c r="D236" s="17">
        <f>CHOOSE(CONTROL!$C$42, 11.2352, 11.2352) * CHOOSE(CONTROL!$C$21, $C$9, 100%, $E$9)</f>
        <v>11.235200000000001</v>
      </c>
      <c r="E236" s="17">
        <f>CHOOSE(CONTROL!$C$42, 11.2667, 11.2667) * CHOOSE(CONTROL!$C$21, $C$9, 100%, $E$9)</f>
        <v>11.2667</v>
      </c>
      <c r="F236" s="17">
        <f>CHOOSE(CONTROL!$C$42, 10.9753, 10.9753)*CHOOSE(CONTROL!$C$21, $C$9, 100%, $E$9)</f>
        <v>10.975300000000001</v>
      </c>
      <c r="G236" s="17">
        <f>CHOOSE(CONTROL!$C$42, 10.9922, 10.9922)*CHOOSE(CONTROL!$C$21, $C$9, 100%, $E$9)</f>
        <v>10.9922</v>
      </c>
      <c r="H236" s="17">
        <f>CHOOSE(CONTROL!$C$42, 11.2553, 11.2553) * CHOOSE(CONTROL!$C$21, $C$9, 100%, $E$9)</f>
        <v>11.2553</v>
      </c>
      <c r="I236" s="17">
        <f>CHOOSE(CONTROL!$C$42, 11.0103, 11.0103)* CHOOSE(CONTROL!$C$21, $C$9, 100%, $E$9)</f>
        <v>11.010300000000001</v>
      </c>
      <c r="J236" s="17">
        <f>CHOOSE(CONTROL!$C$42, 10.9683, 10.9683)* CHOOSE(CONTROL!$C$21, $C$9, 100%, $E$9)</f>
        <v>10.968299999999999</v>
      </c>
      <c r="K236" s="52">
        <f>CHOOSE(CONTROL!$C$42, 11.0061, 11.0061) * CHOOSE(CONTROL!$C$21, $C$9, 100%, $E$9)</f>
        <v>11.0061</v>
      </c>
      <c r="L236" s="17">
        <f>CHOOSE(CONTROL!$C$42, 11.8423, 11.8423) * CHOOSE(CONTROL!$C$21, $C$9, 100%, $E$9)</f>
        <v>11.8423</v>
      </c>
      <c r="M236" s="17">
        <f>CHOOSE(CONTROL!$C$42, 10.7787, 10.7787) * CHOOSE(CONTROL!$C$21, $C$9, 100%, $E$9)</f>
        <v>10.778700000000001</v>
      </c>
      <c r="N236" s="17">
        <f>CHOOSE(CONTROL!$C$42, 10.7953, 10.7953) * CHOOSE(CONTROL!$C$21, $C$9, 100%, $E$9)</f>
        <v>10.795299999999999</v>
      </c>
      <c r="O236" s="17">
        <f>CHOOSE(CONTROL!$C$42, 11.0606, 11.0606) * CHOOSE(CONTROL!$C$21, $C$9, 100%, $E$9)</f>
        <v>11.060600000000001</v>
      </c>
      <c r="P236" s="17">
        <f>CHOOSE(CONTROL!$C$42, 10.8194, 10.8194) * CHOOSE(CONTROL!$C$21, $C$9, 100%, $E$9)</f>
        <v>10.8194</v>
      </c>
      <c r="Q236" s="17">
        <f>CHOOSE(CONTROL!$C$42, 11.6553, 11.6553) * CHOOSE(CONTROL!$C$21, $C$9, 100%, $E$9)</f>
        <v>11.6553</v>
      </c>
      <c r="R236" s="17">
        <f>CHOOSE(CONTROL!$C$42, 12.2714, 12.2714) * CHOOSE(CONTROL!$C$21, $C$9, 100%, $E$9)</f>
        <v>12.2714</v>
      </c>
      <c r="S236" s="17">
        <f>CHOOSE(CONTROL!$C$42, 10.5171, 10.5171) * CHOOSE(CONTROL!$C$21, $C$9, 100%, $E$9)</f>
        <v>10.517099999999999</v>
      </c>
      <c r="T23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36" s="56">
        <f>(1000*CHOOSE(CONTROL!$C$42, 695, 695)*CHOOSE(CONTROL!$C$42, 0.5599, 0.5599)*CHOOSE(CONTROL!$C$42, 31, 31))/1000000</f>
        <v>12.063045499999998</v>
      </c>
      <c r="V236" s="56">
        <f>(1000*CHOOSE(CONTROL!$C$42, 500, 500)*CHOOSE(CONTROL!$C$42, 0.275, 0.275)*CHOOSE(CONTROL!$C$42, 31, 31))/1000000</f>
        <v>4.2625000000000002</v>
      </c>
      <c r="W236" s="56">
        <f>(1000*CHOOSE(CONTROL!$C$42, 0.1146, 0.1146)*CHOOSE(CONTROL!$C$42, 121.5, 121.5)*CHOOSE(CONTROL!$C$42, 31, 31))/1000000</f>
        <v>0.43164089999999994</v>
      </c>
      <c r="X236" s="56">
        <f>(31*0.1790888*145000/1000000)+(31*0.2374*100000/1000000)</f>
        <v>1.5409441560000001</v>
      </c>
      <c r="Y236" s="56"/>
      <c r="Z236" s="17"/>
      <c r="AA236" s="55"/>
      <c r="AB236" s="48">
        <f>(B236*194.205+C236*267.466+D236*133.845+E236*153.484+F236*40+G236*85+H236*0+I236*100+J236*300)/(194.205+267.466+133.845+153.484+0+40+85+100+300)</f>
        <v>11.034680254709576</v>
      </c>
      <c r="AC236" s="45">
        <f>(M236*'RAP TEMPLATE-GAS AVAILABILITY'!O235+N236*'RAP TEMPLATE-GAS AVAILABILITY'!P235+O236*'RAP TEMPLATE-GAS AVAILABILITY'!Q235+P236*'RAP TEMPLATE-GAS AVAILABILITY'!R235)/('RAP TEMPLATE-GAS AVAILABILITY'!O235+'RAP TEMPLATE-GAS AVAILABILITY'!P235+'RAP TEMPLATE-GAS AVAILABILITY'!Q235+'RAP TEMPLATE-GAS AVAILABILITY'!R235)</f>
        <v>10.867471942446043</v>
      </c>
    </row>
    <row r="237" spans="1:29" ht="15.75" x14ac:dyDescent="0.25">
      <c r="A237" s="16">
        <v>48092</v>
      </c>
      <c r="B237" s="17">
        <f>CHOOSE(CONTROL!$C$42, 10.2611, 10.2611) * CHOOSE(CONTROL!$C$21, $C$9, 100%, $E$9)</f>
        <v>10.261100000000001</v>
      </c>
      <c r="C237" s="17">
        <f>CHOOSE(CONTROL!$C$42, 10.2691, 10.2691) * CHOOSE(CONTROL!$C$21, $C$9, 100%, $E$9)</f>
        <v>10.2691</v>
      </c>
      <c r="D237" s="17">
        <f>CHOOSE(CONTROL!$C$42, 10.5402, 10.5402) * CHOOSE(CONTROL!$C$21, $C$9, 100%, $E$9)</f>
        <v>10.5402</v>
      </c>
      <c r="E237" s="17">
        <f>CHOOSE(CONTROL!$C$42, 10.5716, 10.5716) * CHOOSE(CONTROL!$C$21, $C$9, 100%, $E$9)</f>
        <v>10.5716</v>
      </c>
      <c r="F237" s="17">
        <f>CHOOSE(CONTROL!$C$42, 10.2803, 10.2803)*CHOOSE(CONTROL!$C$21, $C$9, 100%, $E$9)</f>
        <v>10.2803</v>
      </c>
      <c r="G237" s="17">
        <f>CHOOSE(CONTROL!$C$42, 10.2972, 10.2972)*CHOOSE(CONTROL!$C$21, $C$9, 100%, $E$9)</f>
        <v>10.2972</v>
      </c>
      <c r="H237" s="17">
        <f>CHOOSE(CONTROL!$C$42, 10.5603, 10.5603) * CHOOSE(CONTROL!$C$21, $C$9, 100%, $E$9)</f>
        <v>10.5603</v>
      </c>
      <c r="I237" s="17">
        <f>CHOOSE(CONTROL!$C$42, 10.3131, 10.3131)* CHOOSE(CONTROL!$C$21, $C$9, 100%, $E$9)</f>
        <v>10.3131</v>
      </c>
      <c r="J237" s="17">
        <f>CHOOSE(CONTROL!$C$42, 10.2733, 10.2733)* CHOOSE(CONTROL!$C$21, $C$9, 100%, $E$9)</f>
        <v>10.273300000000001</v>
      </c>
      <c r="K237" s="52">
        <f>CHOOSE(CONTROL!$C$42, 10.3089, 10.3089) * CHOOSE(CONTROL!$C$21, $C$9, 100%, $E$9)</f>
        <v>10.3089</v>
      </c>
      <c r="L237" s="17">
        <f>CHOOSE(CONTROL!$C$42, 11.1473, 11.1473) * CHOOSE(CONTROL!$C$21, $C$9, 100%, $E$9)</f>
        <v>11.1473</v>
      </c>
      <c r="M237" s="17">
        <f>CHOOSE(CONTROL!$C$42, 10.0962, 10.0962) * CHOOSE(CONTROL!$C$21, $C$9, 100%, $E$9)</f>
        <v>10.0962</v>
      </c>
      <c r="N237" s="17">
        <f>CHOOSE(CONTROL!$C$42, 10.1128, 10.1128) * CHOOSE(CONTROL!$C$21, $C$9, 100%, $E$9)</f>
        <v>10.1128</v>
      </c>
      <c r="O237" s="17">
        <f>CHOOSE(CONTROL!$C$42, 10.378, 10.378) * CHOOSE(CONTROL!$C$21, $C$9, 100%, $E$9)</f>
        <v>10.378</v>
      </c>
      <c r="P237" s="17">
        <f>CHOOSE(CONTROL!$C$42, 10.1348, 10.1348) * CHOOSE(CONTROL!$C$21, $C$9, 100%, $E$9)</f>
        <v>10.1348</v>
      </c>
      <c r="Q237" s="17">
        <f>CHOOSE(CONTROL!$C$42, 10.9727, 10.9727) * CHOOSE(CONTROL!$C$21, $C$9, 100%, $E$9)</f>
        <v>10.9727</v>
      </c>
      <c r="R237" s="17">
        <f>CHOOSE(CONTROL!$C$42, 11.5872, 11.5872) * CHOOSE(CONTROL!$C$21, $C$9, 100%, $E$9)</f>
        <v>11.587199999999999</v>
      </c>
      <c r="S237" s="17">
        <f>CHOOSE(CONTROL!$C$42, 9.8493, 9.8493) * CHOOSE(CONTROL!$C$21, $C$9, 100%, $E$9)</f>
        <v>9.8492999999999995</v>
      </c>
      <c r="T23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37" s="56">
        <f>(1000*CHOOSE(CONTROL!$C$42, 695, 695)*CHOOSE(CONTROL!$C$42, 0.5599, 0.5599)*CHOOSE(CONTROL!$C$42, 30, 30))/1000000</f>
        <v>11.673914999999997</v>
      </c>
      <c r="V237" s="56">
        <f>(1000*CHOOSE(CONTROL!$C$42, 500, 500)*CHOOSE(CONTROL!$C$42, 0.275, 0.275)*CHOOSE(CONTROL!$C$42, 30, 30))/1000000</f>
        <v>4.125</v>
      </c>
      <c r="W237" s="56">
        <f>(1000*CHOOSE(CONTROL!$C$42, 0.1146, 0.1146)*CHOOSE(CONTROL!$C$42, 121.5, 121.5)*CHOOSE(CONTROL!$C$42, 30, 30))/1000000</f>
        <v>0.417717</v>
      </c>
      <c r="X237" s="56">
        <f>(30*0.1790888*145000/1000000)+(30*0.2374*100000/1000000)</f>
        <v>1.4912362799999999</v>
      </c>
      <c r="Y237" s="56"/>
      <c r="Z237" s="17"/>
      <c r="AA237" s="55"/>
      <c r="AB237" s="48">
        <f>(B237*194.205+C237*267.466+D237*133.845+E237*153.484+F237*40+G237*85+H237*0+I237*100+J237*300)/(194.205+267.466+133.845+153.484+0+40+85+100+300)</f>
        <v>10.339474528649921</v>
      </c>
      <c r="AC237" s="45">
        <f>(M237*'RAP TEMPLATE-GAS AVAILABILITY'!O236+N237*'RAP TEMPLATE-GAS AVAILABILITY'!P236+O237*'RAP TEMPLATE-GAS AVAILABILITY'!Q236+P237*'RAP TEMPLATE-GAS AVAILABILITY'!R236)/('RAP TEMPLATE-GAS AVAILABILITY'!O236+'RAP TEMPLATE-GAS AVAILABILITY'!P236+'RAP TEMPLATE-GAS AVAILABILITY'!Q236+'RAP TEMPLATE-GAS AVAILABILITY'!R236)</f>
        <v>10.184641726618704</v>
      </c>
    </row>
    <row r="238" spans="1:29" ht="15.75" x14ac:dyDescent="0.25">
      <c r="A238" s="16">
        <v>48122</v>
      </c>
      <c r="B238" s="17">
        <f>CHOOSE(CONTROL!$C$42, 10.0512, 10.0512) * CHOOSE(CONTROL!$C$21, $C$9, 100%, $E$9)</f>
        <v>10.0512</v>
      </c>
      <c r="C238" s="17">
        <f>CHOOSE(CONTROL!$C$42, 10.0566, 10.0566) * CHOOSE(CONTROL!$C$21, $C$9, 100%, $E$9)</f>
        <v>10.0566</v>
      </c>
      <c r="D238" s="17">
        <f>CHOOSE(CONTROL!$C$42, 10.3326, 10.3326) * CHOOSE(CONTROL!$C$21, $C$9, 100%, $E$9)</f>
        <v>10.332599999999999</v>
      </c>
      <c r="E238" s="17">
        <f>CHOOSE(CONTROL!$C$42, 10.3617, 10.3617) * CHOOSE(CONTROL!$C$21, $C$9, 100%, $E$9)</f>
        <v>10.361700000000001</v>
      </c>
      <c r="F238" s="17">
        <f>CHOOSE(CONTROL!$C$42, 10.0726, 10.0726)*CHOOSE(CONTROL!$C$21, $C$9, 100%, $E$9)</f>
        <v>10.0726</v>
      </c>
      <c r="G238" s="17">
        <f>CHOOSE(CONTROL!$C$42, 10.0894, 10.0894)*CHOOSE(CONTROL!$C$21, $C$9, 100%, $E$9)</f>
        <v>10.089399999999999</v>
      </c>
      <c r="H238" s="17">
        <f>CHOOSE(CONTROL!$C$42, 10.3522, 10.3522) * CHOOSE(CONTROL!$C$21, $C$9, 100%, $E$9)</f>
        <v>10.3522</v>
      </c>
      <c r="I238" s="17">
        <f>CHOOSE(CONTROL!$C$42, 10.1043, 10.1043)* CHOOSE(CONTROL!$C$21, $C$9, 100%, $E$9)</f>
        <v>10.1043</v>
      </c>
      <c r="J238" s="17">
        <f>CHOOSE(CONTROL!$C$42, 10.0656, 10.0656)* CHOOSE(CONTROL!$C$21, $C$9, 100%, $E$9)</f>
        <v>10.0656</v>
      </c>
      <c r="K238" s="52">
        <f>CHOOSE(CONTROL!$C$42, 10.1001, 10.1001) * CHOOSE(CONTROL!$C$21, $C$9, 100%, $E$9)</f>
        <v>10.100099999999999</v>
      </c>
      <c r="L238" s="17">
        <f>CHOOSE(CONTROL!$C$42, 10.9392, 10.9392) * CHOOSE(CONTROL!$C$21, $C$9, 100%, $E$9)</f>
        <v>10.9392</v>
      </c>
      <c r="M238" s="17">
        <f>CHOOSE(CONTROL!$C$42, 9.8923, 9.8923) * CHOOSE(CONTROL!$C$21, $C$9, 100%, $E$9)</f>
        <v>9.8923000000000005</v>
      </c>
      <c r="N238" s="17">
        <f>CHOOSE(CONTROL!$C$42, 9.9088, 9.9088) * CHOOSE(CONTROL!$C$21, $C$9, 100%, $E$9)</f>
        <v>9.9087999999999994</v>
      </c>
      <c r="O238" s="17">
        <f>CHOOSE(CONTROL!$C$42, 10.1737, 10.1737) * CHOOSE(CONTROL!$C$21, $C$9, 100%, $E$9)</f>
        <v>10.1737</v>
      </c>
      <c r="P238" s="17">
        <f>CHOOSE(CONTROL!$C$42, 9.9298, 9.9298) * CHOOSE(CONTROL!$C$21, $C$9, 100%, $E$9)</f>
        <v>9.9298000000000002</v>
      </c>
      <c r="Q238" s="17">
        <f>CHOOSE(CONTROL!$C$42, 10.7684, 10.7684) * CHOOSE(CONTROL!$C$21, $C$9, 100%, $E$9)</f>
        <v>10.7684</v>
      </c>
      <c r="R238" s="17">
        <f>CHOOSE(CONTROL!$C$42, 11.3823, 11.3823) * CHOOSE(CONTROL!$C$21, $C$9, 100%, $E$9)</f>
        <v>11.382300000000001</v>
      </c>
      <c r="S238" s="17">
        <f>CHOOSE(CONTROL!$C$42, 9.6493, 9.6493) * CHOOSE(CONTROL!$C$21, $C$9, 100%, $E$9)</f>
        <v>9.6493000000000002</v>
      </c>
      <c r="T23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38" s="56">
        <f>(1000*CHOOSE(CONTROL!$C$42, 695, 695)*CHOOSE(CONTROL!$C$42, 0.5599, 0.5599)*CHOOSE(CONTROL!$C$42, 31, 31))/1000000</f>
        <v>12.063045499999998</v>
      </c>
      <c r="V238" s="56">
        <f>(1000*CHOOSE(CONTROL!$C$42, 500, 500)*CHOOSE(CONTROL!$C$42, 0.275, 0.275)*CHOOSE(CONTROL!$C$42, 31, 31))/1000000</f>
        <v>4.2625000000000002</v>
      </c>
      <c r="W238" s="56">
        <f>(1000*CHOOSE(CONTROL!$C$42, 0.1146, 0.1146)*CHOOSE(CONTROL!$C$42, 121.5, 121.5)*CHOOSE(CONTROL!$C$42, 31, 31))/1000000</f>
        <v>0.43164089999999994</v>
      </c>
      <c r="X238" s="56">
        <f>(31*0.1790888*145000/1000000)+(31*0.2374*100000/1000000)</f>
        <v>1.5409441560000001</v>
      </c>
      <c r="Y238" s="56"/>
      <c r="Z238" s="17"/>
      <c r="AA238" s="55"/>
      <c r="AB238" s="48">
        <f>(B238*131.881+C238*277.167+D238*79.08+E238*225.872+F238*40+G238*85+H238*0+I238*100+J238*300)/(131.881+277.167+79.08+225.872+0+40+85+100+300)</f>
        <v>10.138057199192897</v>
      </c>
      <c r="AC238" s="45">
        <f>(M238*'RAP TEMPLATE-GAS AVAILABILITY'!O237+N238*'RAP TEMPLATE-GAS AVAILABILITY'!P237+O238*'RAP TEMPLATE-GAS AVAILABILITY'!Q237+P238*'RAP TEMPLATE-GAS AVAILABILITY'!R237)/('RAP TEMPLATE-GAS AVAILABILITY'!O237+'RAP TEMPLATE-GAS AVAILABILITY'!P237+'RAP TEMPLATE-GAS AVAILABILITY'!Q237+'RAP TEMPLATE-GAS AVAILABILITY'!R237)</f>
        <v>9.9804482014388487</v>
      </c>
    </row>
    <row r="239" spans="1:29" ht="15.75" x14ac:dyDescent="0.25">
      <c r="A239" s="16">
        <v>48153</v>
      </c>
      <c r="B239" s="17">
        <f>CHOOSE(CONTROL!$C$42, 10.3154, 10.3154) * CHOOSE(CONTROL!$C$21, $C$9, 100%, $E$9)</f>
        <v>10.3154</v>
      </c>
      <c r="C239" s="17">
        <f>CHOOSE(CONTROL!$C$42, 10.3204, 10.3204) * CHOOSE(CONTROL!$C$21, $C$9, 100%, $E$9)</f>
        <v>10.320399999999999</v>
      </c>
      <c r="D239" s="17">
        <f>CHOOSE(CONTROL!$C$42, 10.4155, 10.4155) * CHOOSE(CONTROL!$C$21, $C$9, 100%, $E$9)</f>
        <v>10.4155</v>
      </c>
      <c r="E239" s="17">
        <f>CHOOSE(CONTROL!$C$42, 10.4496, 10.4496) * CHOOSE(CONTROL!$C$21, $C$9, 100%, $E$9)</f>
        <v>10.4496</v>
      </c>
      <c r="F239" s="17">
        <f>CHOOSE(CONTROL!$C$42, 10.3393, 10.3393)*CHOOSE(CONTROL!$C$21, $C$9, 100%, $E$9)</f>
        <v>10.3393</v>
      </c>
      <c r="G239" s="17">
        <f>CHOOSE(CONTROL!$C$42, 10.3563, 10.3563)*CHOOSE(CONTROL!$C$21, $C$9, 100%, $E$9)</f>
        <v>10.356299999999999</v>
      </c>
      <c r="H239" s="17">
        <f>CHOOSE(CONTROL!$C$42, 10.4388, 10.4388) * CHOOSE(CONTROL!$C$21, $C$9, 100%, $E$9)</f>
        <v>10.438800000000001</v>
      </c>
      <c r="I239" s="17">
        <f>CHOOSE(CONTROL!$C$42, 10.3676, 10.3676)* CHOOSE(CONTROL!$C$21, $C$9, 100%, $E$9)</f>
        <v>10.367599999999999</v>
      </c>
      <c r="J239" s="17">
        <f>CHOOSE(CONTROL!$C$42, 10.3323, 10.3323)* CHOOSE(CONTROL!$C$21, $C$9, 100%, $E$9)</f>
        <v>10.3323</v>
      </c>
      <c r="K239" s="52">
        <f>CHOOSE(CONTROL!$C$42, 10.3634, 10.3634) * CHOOSE(CONTROL!$C$21, $C$9, 100%, $E$9)</f>
        <v>10.3634</v>
      </c>
      <c r="L239" s="17">
        <f>CHOOSE(CONTROL!$C$42, 11.0258, 11.0258) * CHOOSE(CONTROL!$C$21, $C$9, 100%, $E$9)</f>
        <v>11.0258</v>
      </c>
      <c r="M239" s="17">
        <f>CHOOSE(CONTROL!$C$42, 10.1541, 10.1541) * CHOOSE(CONTROL!$C$21, $C$9, 100%, $E$9)</f>
        <v>10.1541</v>
      </c>
      <c r="N239" s="17">
        <f>CHOOSE(CONTROL!$C$42, 10.1709, 10.1709) * CHOOSE(CONTROL!$C$21, $C$9, 100%, $E$9)</f>
        <v>10.1709</v>
      </c>
      <c r="O239" s="17">
        <f>CHOOSE(CONTROL!$C$42, 10.2587, 10.2587) * CHOOSE(CONTROL!$C$21, $C$9, 100%, $E$9)</f>
        <v>10.258699999999999</v>
      </c>
      <c r="P239" s="17">
        <f>CHOOSE(CONTROL!$C$42, 10.1883, 10.1883) * CHOOSE(CONTROL!$C$21, $C$9, 100%, $E$9)</f>
        <v>10.1883</v>
      </c>
      <c r="Q239" s="17">
        <f>CHOOSE(CONTROL!$C$42, 10.8534, 10.8534) * CHOOSE(CONTROL!$C$21, $C$9, 100%, $E$9)</f>
        <v>10.853400000000001</v>
      </c>
      <c r="R239" s="17">
        <f>CHOOSE(CONTROL!$C$42, 11.4675, 11.4675) * CHOOSE(CONTROL!$C$21, $C$9, 100%, $E$9)</f>
        <v>11.467499999999999</v>
      </c>
      <c r="S239" s="17">
        <f>CHOOSE(CONTROL!$C$42, 9.9035, 9.9035) * CHOOSE(CONTROL!$C$21, $C$9, 100%, $E$9)</f>
        <v>9.9034999999999993</v>
      </c>
      <c r="T23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39" s="56">
        <f>(1000*CHOOSE(CONTROL!$C$42, 695, 695)*CHOOSE(CONTROL!$C$42, 0.5599, 0.5599)*CHOOSE(CONTROL!$C$42, 30, 30))/1000000</f>
        <v>11.673914999999997</v>
      </c>
      <c r="V239" s="56">
        <f>(1000*CHOOSE(CONTROL!$C$42, 500, 500)*CHOOSE(CONTROL!$C$42, 0.275, 0.275)*CHOOSE(CONTROL!$C$42, 30, 30))/1000000</f>
        <v>4.125</v>
      </c>
      <c r="W239" s="56">
        <f>(1000*CHOOSE(CONTROL!$C$42, 0.1146, 0.1146)*CHOOSE(CONTROL!$C$42, 121.5, 121.5)*CHOOSE(CONTROL!$C$42, 30, 30))/1000000</f>
        <v>0.417717</v>
      </c>
      <c r="X239" s="56">
        <f>(30*0.2374*100000/1000000)</f>
        <v>0.71220000000000006</v>
      </c>
      <c r="Y239" s="56"/>
      <c r="Z239" s="17"/>
      <c r="AA239" s="55"/>
      <c r="AB239" s="48">
        <f>(B239*122.58+C239*297.941+D239*89.177+E239*140.302+F239*40+G239*60+H239*0+I239*100+J239*300)/(122.58+297.941+89.177+140.302+0+40+60+100+300)</f>
        <v>10.352743348782607</v>
      </c>
      <c r="AC239" s="45">
        <f>(M239*'RAP TEMPLATE-GAS AVAILABILITY'!O238+N239*'RAP TEMPLATE-GAS AVAILABILITY'!P238+O239*'RAP TEMPLATE-GAS AVAILABILITY'!Q238+P239*'RAP TEMPLATE-GAS AVAILABILITY'!R238)/('RAP TEMPLATE-GAS AVAILABILITY'!O238+'RAP TEMPLATE-GAS AVAILABILITY'!P238+'RAP TEMPLATE-GAS AVAILABILITY'!Q238+'RAP TEMPLATE-GAS AVAILABILITY'!R238)</f>
        <v>10.207396402877697</v>
      </c>
    </row>
    <row r="240" spans="1:29" ht="15.75" x14ac:dyDescent="0.25">
      <c r="A240" s="16">
        <v>48183</v>
      </c>
      <c r="B240" s="17">
        <f>CHOOSE(CONTROL!$C$42, 11.018, 11.018) * CHOOSE(CONTROL!$C$21, $C$9, 100%, $E$9)</f>
        <v>11.018000000000001</v>
      </c>
      <c r="C240" s="17">
        <f>CHOOSE(CONTROL!$C$42, 11.0231, 11.0231) * CHOOSE(CONTROL!$C$21, $C$9, 100%, $E$9)</f>
        <v>11.023099999999999</v>
      </c>
      <c r="D240" s="17">
        <f>CHOOSE(CONTROL!$C$42, 11.1181, 11.1181) * CHOOSE(CONTROL!$C$21, $C$9, 100%, $E$9)</f>
        <v>11.1181</v>
      </c>
      <c r="E240" s="17">
        <f>CHOOSE(CONTROL!$C$42, 11.1522, 11.1522) * CHOOSE(CONTROL!$C$21, $C$9, 100%, $E$9)</f>
        <v>11.152200000000001</v>
      </c>
      <c r="F240" s="17">
        <f>CHOOSE(CONTROL!$C$42, 11.0442, 11.0442)*CHOOSE(CONTROL!$C$21, $C$9, 100%, $E$9)</f>
        <v>11.0442</v>
      </c>
      <c r="G240" s="17">
        <f>CHOOSE(CONTROL!$C$42, 11.0619, 11.0619)*CHOOSE(CONTROL!$C$21, $C$9, 100%, $E$9)</f>
        <v>11.0619</v>
      </c>
      <c r="H240" s="17">
        <f>CHOOSE(CONTROL!$C$42, 11.1414, 11.1414) * CHOOSE(CONTROL!$C$21, $C$9, 100%, $E$9)</f>
        <v>11.141400000000001</v>
      </c>
      <c r="I240" s="17">
        <f>CHOOSE(CONTROL!$C$42, 11.0725, 11.0725)* CHOOSE(CONTROL!$C$21, $C$9, 100%, $E$9)</f>
        <v>11.0725</v>
      </c>
      <c r="J240" s="17">
        <f>CHOOSE(CONTROL!$C$42, 11.0372, 11.0372)* CHOOSE(CONTROL!$C$21, $C$9, 100%, $E$9)</f>
        <v>11.0372</v>
      </c>
      <c r="K240" s="52">
        <f>CHOOSE(CONTROL!$C$42, 11.0682, 11.0682) * CHOOSE(CONTROL!$C$21, $C$9, 100%, $E$9)</f>
        <v>11.068199999999999</v>
      </c>
      <c r="L240" s="17">
        <f>CHOOSE(CONTROL!$C$42, 11.7284, 11.7284) * CHOOSE(CONTROL!$C$21, $C$9, 100%, $E$9)</f>
        <v>11.728400000000001</v>
      </c>
      <c r="M240" s="17">
        <f>CHOOSE(CONTROL!$C$42, 10.8464, 10.8464) * CHOOSE(CONTROL!$C$21, $C$9, 100%, $E$9)</f>
        <v>10.846399999999999</v>
      </c>
      <c r="N240" s="17">
        <f>CHOOSE(CONTROL!$C$42, 10.8638, 10.8638) * CHOOSE(CONTROL!$C$21, $C$9, 100%, $E$9)</f>
        <v>10.863799999999999</v>
      </c>
      <c r="O240" s="17">
        <f>CHOOSE(CONTROL!$C$42, 10.9487, 10.9487) * CHOOSE(CONTROL!$C$21, $C$9, 100%, $E$9)</f>
        <v>10.948700000000001</v>
      </c>
      <c r="P240" s="17">
        <f>CHOOSE(CONTROL!$C$42, 10.8805, 10.8805) * CHOOSE(CONTROL!$C$21, $C$9, 100%, $E$9)</f>
        <v>10.8805</v>
      </c>
      <c r="Q240" s="17">
        <f>CHOOSE(CONTROL!$C$42, 11.5434, 11.5434) * CHOOSE(CONTROL!$C$21, $C$9, 100%, $E$9)</f>
        <v>11.5434</v>
      </c>
      <c r="R240" s="17">
        <f>CHOOSE(CONTROL!$C$42, 12.1592, 12.1592) * CHOOSE(CONTROL!$C$21, $C$9, 100%, $E$9)</f>
        <v>12.1592</v>
      </c>
      <c r="S240" s="17">
        <f>CHOOSE(CONTROL!$C$42, 10.5786, 10.5786) * CHOOSE(CONTROL!$C$21, $C$9, 100%, $E$9)</f>
        <v>10.5786</v>
      </c>
      <c r="T24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40" s="56">
        <f>(1000*CHOOSE(CONTROL!$C$42, 695, 695)*CHOOSE(CONTROL!$C$42, 0.5599, 0.5599)*CHOOSE(CONTROL!$C$42, 31, 31))/1000000</f>
        <v>12.063045499999998</v>
      </c>
      <c r="V240" s="56">
        <f>(1000*CHOOSE(CONTROL!$C$42, 500, 500)*CHOOSE(CONTROL!$C$42, 0.275, 0.275)*CHOOSE(CONTROL!$C$42, 31, 31))/1000000</f>
        <v>4.2625000000000002</v>
      </c>
      <c r="W240" s="56">
        <f>(1000*CHOOSE(CONTROL!$C$42, 0.1146, 0.1146)*CHOOSE(CONTROL!$C$42, 121.5, 121.5)*CHOOSE(CONTROL!$C$42, 31, 31))/1000000</f>
        <v>0.43164089999999994</v>
      </c>
      <c r="X240" s="56">
        <f>(31*0.2374*100000/1000000)</f>
        <v>0.73594000000000004</v>
      </c>
      <c r="Y240" s="56"/>
      <c r="Z240" s="17"/>
      <c r="AA240" s="55"/>
      <c r="AB240" s="48">
        <f>(B240*122.58+C240*297.941+D240*89.177+E240*140.302+F240*40+G240*60+H240*0+I240*100+J240*300)/(122.58+297.941+89.177+140.302+0+40+60+100+300)</f>
        <v>11.056405778434783</v>
      </c>
      <c r="AC240" s="45">
        <f>(M240*'RAP TEMPLATE-GAS AVAILABILITY'!O239+N240*'RAP TEMPLATE-GAS AVAILABILITY'!P239+O240*'RAP TEMPLATE-GAS AVAILABILITY'!Q239+P240*'RAP TEMPLATE-GAS AVAILABILITY'!R239)/('RAP TEMPLATE-GAS AVAILABILITY'!O239+'RAP TEMPLATE-GAS AVAILABILITY'!P239+'RAP TEMPLATE-GAS AVAILABILITY'!Q239+'RAP TEMPLATE-GAS AVAILABILITY'!R239)</f>
        <v>10.898674100719425</v>
      </c>
    </row>
    <row r="241" spans="1:29" ht="15.75" x14ac:dyDescent="0.25">
      <c r="A241" s="16">
        <v>48214</v>
      </c>
      <c r="B241" s="17">
        <f>CHOOSE(CONTROL!$C$42, 11.9306, 11.9306) * CHOOSE(CONTROL!$C$21, $C$9, 100%, $E$9)</f>
        <v>11.9306</v>
      </c>
      <c r="C241" s="17">
        <f>CHOOSE(CONTROL!$C$42, 11.9357, 11.9357) * CHOOSE(CONTROL!$C$21, $C$9, 100%, $E$9)</f>
        <v>11.935700000000001</v>
      </c>
      <c r="D241" s="17">
        <f>CHOOSE(CONTROL!$C$42, 12.0541, 12.0541) * CHOOSE(CONTROL!$C$21, $C$9, 100%, $E$9)</f>
        <v>12.0541</v>
      </c>
      <c r="E241" s="17">
        <f>CHOOSE(CONTROL!$C$42, 12.0882, 12.0882) * CHOOSE(CONTROL!$C$21, $C$9, 100%, $E$9)</f>
        <v>12.088200000000001</v>
      </c>
      <c r="F241" s="17">
        <f>CHOOSE(CONTROL!$C$42, 11.951, 11.951)*CHOOSE(CONTROL!$C$21, $C$9, 100%, $E$9)</f>
        <v>11.951000000000001</v>
      </c>
      <c r="G241" s="17">
        <f>CHOOSE(CONTROL!$C$42, 11.9678, 11.9678)*CHOOSE(CONTROL!$C$21, $C$9, 100%, $E$9)</f>
        <v>11.9678</v>
      </c>
      <c r="H241" s="17">
        <f>CHOOSE(CONTROL!$C$42, 12.0774, 12.0774) * CHOOSE(CONTROL!$C$21, $C$9, 100%, $E$9)</f>
        <v>12.077400000000001</v>
      </c>
      <c r="I241" s="17">
        <f>CHOOSE(CONTROL!$C$42, 11.9916, 11.9916)* CHOOSE(CONTROL!$C$21, $C$9, 100%, $E$9)</f>
        <v>11.9916</v>
      </c>
      <c r="J241" s="17">
        <f>CHOOSE(CONTROL!$C$42, 11.944, 11.944)* CHOOSE(CONTROL!$C$21, $C$9, 100%, $E$9)</f>
        <v>11.944000000000001</v>
      </c>
      <c r="K241" s="52">
        <f>CHOOSE(CONTROL!$C$42, 11.9874, 11.9874) * CHOOSE(CONTROL!$C$21, $C$9, 100%, $E$9)</f>
        <v>11.987399999999999</v>
      </c>
      <c r="L241" s="17">
        <f>CHOOSE(CONTROL!$C$42, 12.6644, 12.6644) * CHOOSE(CONTROL!$C$21, $C$9, 100%, $E$9)</f>
        <v>12.664400000000001</v>
      </c>
      <c r="M241" s="17">
        <f>CHOOSE(CONTROL!$C$42, 11.7369, 11.7369) * CHOOSE(CONTROL!$C$21, $C$9, 100%, $E$9)</f>
        <v>11.7369</v>
      </c>
      <c r="N241" s="17">
        <f>CHOOSE(CONTROL!$C$42, 11.7534, 11.7534) * CHOOSE(CONTROL!$C$21, $C$9, 100%, $E$9)</f>
        <v>11.753399999999999</v>
      </c>
      <c r="O241" s="17">
        <f>CHOOSE(CONTROL!$C$42, 11.8679, 11.8679) * CHOOSE(CONTROL!$C$21, $C$9, 100%, $E$9)</f>
        <v>11.867900000000001</v>
      </c>
      <c r="P241" s="17">
        <f>CHOOSE(CONTROL!$C$42, 11.783, 11.783) * CHOOSE(CONTROL!$C$21, $C$9, 100%, $E$9)</f>
        <v>11.782999999999999</v>
      </c>
      <c r="Q241" s="17">
        <f>CHOOSE(CONTROL!$C$42, 12.4626, 12.4626) * CHOOSE(CONTROL!$C$21, $C$9, 100%, $E$9)</f>
        <v>12.4626</v>
      </c>
      <c r="R241" s="17">
        <f>CHOOSE(CONTROL!$C$42, 13.0807, 13.0807) * CHOOSE(CONTROL!$C$21, $C$9, 100%, $E$9)</f>
        <v>13.0807</v>
      </c>
      <c r="S241" s="17">
        <f>CHOOSE(CONTROL!$C$42, 11.4556, 11.4556) * CHOOSE(CONTROL!$C$21, $C$9, 100%, $E$9)</f>
        <v>11.4556</v>
      </c>
      <c r="T24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41" s="56">
        <f>(1000*CHOOSE(CONTROL!$C$42, 695, 695)*CHOOSE(CONTROL!$C$42, 0.5599, 0.5599)*CHOOSE(CONTROL!$C$42, 31, 31))/1000000</f>
        <v>12.063045499999998</v>
      </c>
      <c r="V241" s="56">
        <f>(1000*CHOOSE(CONTROL!$C$42, 500, 500)*CHOOSE(CONTROL!$C$42, 0.275, 0.275)*CHOOSE(CONTROL!$C$42, 31, 31))/1000000</f>
        <v>4.2625000000000002</v>
      </c>
      <c r="W241" s="56">
        <f>(1000*CHOOSE(CONTROL!$C$42, 0.1146, 0.1146)*CHOOSE(CONTROL!$C$42, 121.5, 121.5)*CHOOSE(CONTROL!$C$42, 31, 31))/1000000</f>
        <v>0.43164089999999994</v>
      </c>
      <c r="X241" s="56">
        <f>(31*0.2374*100000/1000000)</f>
        <v>0.73594000000000004</v>
      </c>
      <c r="Y241" s="56"/>
      <c r="Z241" s="17"/>
      <c r="AA241" s="55"/>
      <c r="AB241" s="48">
        <f>(B241*122.58+C241*297.941+D241*89.177+E241*140.302+F241*40+G241*60+H241*0+I241*100+J241*300)/(122.58+297.941+89.177+140.302+0+40+60+100+300)</f>
        <v>11.972176046782609</v>
      </c>
      <c r="AC241" s="45">
        <f>(M241*'RAP TEMPLATE-GAS AVAILABILITY'!O240+N241*'RAP TEMPLATE-GAS AVAILABILITY'!P240+O241*'RAP TEMPLATE-GAS AVAILABILITY'!Q240+P241*'RAP TEMPLATE-GAS AVAILABILITY'!R240)/('RAP TEMPLATE-GAS AVAILABILITY'!O240+'RAP TEMPLATE-GAS AVAILABILITY'!P240+'RAP TEMPLATE-GAS AVAILABILITY'!Q240+'RAP TEMPLATE-GAS AVAILABILITY'!R240)</f>
        <v>11.803856834532375</v>
      </c>
    </row>
    <row r="242" spans="1:29" ht="15.75" x14ac:dyDescent="0.25">
      <c r="A242" s="16">
        <v>48245</v>
      </c>
      <c r="B242" s="17">
        <f>CHOOSE(CONTROL!$C$42, 12.1428, 12.1428) * CHOOSE(CONTROL!$C$21, $C$9, 100%, $E$9)</f>
        <v>12.142799999999999</v>
      </c>
      <c r="C242" s="17">
        <f>CHOOSE(CONTROL!$C$42, 12.1479, 12.1479) * CHOOSE(CONTROL!$C$21, $C$9, 100%, $E$9)</f>
        <v>12.1479</v>
      </c>
      <c r="D242" s="17">
        <f>CHOOSE(CONTROL!$C$42, 12.2663, 12.2663) * CHOOSE(CONTROL!$C$21, $C$9, 100%, $E$9)</f>
        <v>12.266299999999999</v>
      </c>
      <c r="E242" s="17">
        <f>CHOOSE(CONTROL!$C$42, 12.3004, 12.3004) * CHOOSE(CONTROL!$C$21, $C$9, 100%, $E$9)</f>
        <v>12.3004</v>
      </c>
      <c r="F242" s="17">
        <f>CHOOSE(CONTROL!$C$42, 12.1632, 12.1632)*CHOOSE(CONTROL!$C$21, $C$9, 100%, $E$9)</f>
        <v>12.1632</v>
      </c>
      <c r="G242" s="17">
        <f>CHOOSE(CONTROL!$C$42, 12.18, 12.18)*CHOOSE(CONTROL!$C$21, $C$9, 100%, $E$9)</f>
        <v>12.18</v>
      </c>
      <c r="H242" s="17">
        <f>CHOOSE(CONTROL!$C$42, 12.2896, 12.2896) * CHOOSE(CONTROL!$C$21, $C$9, 100%, $E$9)</f>
        <v>12.2896</v>
      </c>
      <c r="I242" s="17">
        <f>CHOOSE(CONTROL!$C$42, 12.2044, 12.2044)* CHOOSE(CONTROL!$C$21, $C$9, 100%, $E$9)</f>
        <v>12.2044</v>
      </c>
      <c r="J242" s="17">
        <f>CHOOSE(CONTROL!$C$42, 12.1562, 12.1562)* CHOOSE(CONTROL!$C$21, $C$9, 100%, $E$9)</f>
        <v>12.1562</v>
      </c>
      <c r="K242" s="52">
        <f>CHOOSE(CONTROL!$C$42, 12.2002, 12.2002) * CHOOSE(CONTROL!$C$21, $C$9, 100%, $E$9)</f>
        <v>12.200200000000001</v>
      </c>
      <c r="L242" s="17">
        <f>CHOOSE(CONTROL!$C$42, 12.8766, 12.8766) * CHOOSE(CONTROL!$C$21, $C$9, 100%, $E$9)</f>
        <v>12.8766</v>
      </c>
      <c r="M242" s="17">
        <f>CHOOSE(CONTROL!$C$42, 11.9452, 11.9452) * CHOOSE(CONTROL!$C$21, $C$9, 100%, $E$9)</f>
        <v>11.9452</v>
      </c>
      <c r="N242" s="17">
        <f>CHOOSE(CONTROL!$C$42, 11.9617, 11.9617) * CHOOSE(CONTROL!$C$21, $C$9, 100%, $E$9)</f>
        <v>11.9617</v>
      </c>
      <c r="O242" s="17">
        <f>CHOOSE(CONTROL!$C$42, 12.0763, 12.0763) * CHOOSE(CONTROL!$C$21, $C$9, 100%, $E$9)</f>
        <v>12.0763</v>
      </c>
      <c r="P242" s="17">
        <f>CHOOSE(CONTROL!$C$42, 11.992, 11.992) * CHOOSE(CONTROL!$C$21, $C$9, 100%, $E$9)</f>
        <v>11.992000000000001</v>
      </c>
      <c r="Q242" s="17">
        <f>CHOOSE(CONTROL!$C$42, 12.671, 12.671) * CHOOSE(CONTROL!$C$21, $C$9, 100%, $E$9)</f>
        <v>12.670999999999999</v>
      </c>
      <c r="R242" s="17">
        <f>CHOOSE(CONTROL!$C$42, 13.2896, 13.2896) * CHOOSE(CONTROL!$C$21, $C$9, 100%, $E$9)</f>
        <v>13.2896</v>
      </c>
      <c r="S242" s="17">
        <f>CHOOSE(CONTROL!$C$42, 11.6595, 11.6595) * CHOOSE(CONTROL!$C$21, $C$9, 100%, $E$9)</f>
        <v>11.6595</v>
      </c>
      <c r="T242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242" s="56">
        <f>(1000*CHOOSE(CONTROL!$C$42, 695, 695)*CHOOSE(CONTROL!$C$42, 0.5599, 0.5599)*CHOOSE(CONTROL!$C$42, 29, 29))/1000000</f>
        <v>11.284784499999999</v>
      </c>
      <c r="V242" s="56">
        <f>(1000*CHOOSE(CONTROL!$C$42, 500, 500)*CHOOSE(CONTROL!$C$42, 0.275, 0.275)*CHOOSE(CONTROL!$C$42, 29, 29))/1000000</f>
        <v>3.9874999999999998</v>
      </c>
      <c r="W242" s="56">
        <f>(1000*CHOOSE(CONTROL!$C$42, 0.1146, 0.1146)*CHOOSE(CONTROL!$C$42, 121.5, 121.5)*CHOOSE(CONTROL!$C$42, 29, 29))/1000000</f>
        <v>0.40379309999999996</v>
      </c>
      <c r="X242" s="56">
        <f>(29*0.2374*100000/1000000)</f>
        <v>0.68845999999999996</v>
      </c>
      <c r="Y242" s="56"/>
      <c r="Z242" s="17"/>
      <c r="AA242" s="55"/>
      <c r="AB242" s="48">
        <f>(B242*122.58+C242*297.941+D242*89.177+E242*140.302+F242*40+G242*60+H242*0+I242*100+J242*300)/(122.58+297.941+89.177+140.302+0+40+60+100+300)</f>
        <v>12.184428220695652</v>
      </c>
      <c r="AC242" s="45">
        <f>(M242*'RAP TEMPLATE-GAS AVAILABILITY'!O241+N242*'RAP TEMPLATE-GAS AVAILABILITY'!P241+O242*'RAP TEMPLATE-GAS AVAILABILITY'!Q241+P242*'RAP TEMPLATE-GAS AVAILABILITY'!R241)/('RAP TEMPLATE-GAS AVAILABILITY'!O241+'RAP TEMPLATE-GAS AVAILABILITY'!P241+'RAP TEMPLATE-GAS AVAILABILITY'!Q241+'RAP TEMPLATE-GAS AVAILABILITY'!R241)</f>
        <v>12.012302877697842</v>
      </c>
    </row>
    <row r="243" spans="1:29" ht="15.75" x14ac:dyDescent="0.25">
      <c r="A243" s="16">
        <v>48274</v>
      </c>
      <c r="B243" s="17">
        <f>CHOOSE(CONTROL!$C$42, 11.7983, 11.7983) * CHOOSE(CONTROL!$C$21, $C$9, 100%, $E$9)</f>
        <v>11.798299999999999</v>
      </c>
      <c r="C243" s="17">
        <f>CHOOSE(CONTROL!$C$42, 11.8034, 11.8034) * CHOOSE(CONTROL!$C$21, $C$9, 100%, $E$9)</f>
        <v>11.8034</v>
      </c>
      <c r="D243" s="17">
        <f>CHOOSE(CONTROL!$C$42, 11.9219, 11.9219) * CHOOSE(CONTROL!$C$21, $C$9, 100%, $E$9)</f>
        <v>11.921900000000001</v>
      </c>
      <c r="E243" s="17">
        <f>CHOOSE(CONTROL!$C$42, 11.956, 11.956) * CHOOSE(CONTROL!$C$21, $C$9, 100%, $E$9)</f>
        <v>11.956</v>
      </c>
      <c r="F243" s="17">
        <f>CHOOSE(CONTROL!$C$42, 11.818, 11.818)*CHOOSE(CONTROL!$C$21, $C$9, 100%, $E$9)</f>
        <v>11.818</v>
      </c>
      <c r="G243" s="17">
        <f>CHOOSE(CONTROL!$C$42, 11.8347, 11.8347)*CHOOSE(CONTROL!$C$21, $C$9, 100%, $E$9)</f>
        <v>11.8347</v>
      </c>
      <c r="H243" s="17">
        <f>CHOOSE(CONTROL!$C$42, 11.9452, 11.9452) * CHOOSE(CONTROL!$C$21, $C$9, 100%, $E$9)</f>
        <v>11.9452</v>
      </c>
      <c r="I243" s="17">
        <f>CHOOSE(CONTROL!$C$42, 11.8589, 11.8589)* CHOOSE(CONTROL!$C$21, $C$9, 100%, $E$9)</f>
        <v>11.8589</v>
      </c>
      <c r="J243" s="17">
        <f>CHOOSE(CONTROL!$C$42, 11.811, 11.811)* CHOOSE(CONTROL!$C$21, $C$9, 100%, $E$9)</f>
        <v>11.811</v>
      </c>
      <c r="K243" s="52">
        <f>CHOOSE(CONTROL!$C$42, 11.8547, 11.8547) * CHOOSE(CONTROL!$C$21, $C$9, 100%, $E$9)</f>
        <v>11.854699999999999</v>
      </c>
      <c r="L243" s="17">
        <f>CHOOSE(CONTROL!$C$42, 12.5322, 12.5322) * CHOOSE(CONTROL!$C$21, $C$9, 100%, $E$9)</f>
        <v>12.5322</v>
      </c>
      <c r="M243" s="17">
        <f>CHOOSE(CONTROL!$C$42, 11.6063, 11.6063) * CHOOSE(CONTROL!$C$21, $C$9, 100%, $E$9)</f>
        <v>11.606299999999999</v>
      </c>
      <c r="N243" s="17">
        <f>CHOOSE(CONTROL!$C$42, 11.6226, 11.6226) * CHOOSE(CONTROL!$C$21, $C$9, 100%, $E$9)</f>
        <v>11.6226</v>
      </c>
      <c r="O243" s="17">
        <f>CHOOSE(CONTROL!$C$42, 11.738, 11.738) * CHOOSE(CONTROL!$C$21, $C$9, 100%, $E$9)</f>
        <v>11.738</v>
      </c>
      <c r="P243" s="17">
        <f>CHOOSE(CONTROL!$C$42, 11.6527, 11.6527) * CHOOSE(CONTROL!$C$21, $C$9, 100%, $E$9)</f>
        <v>11.652699999999999</v>
      </c>
      <c r="Q243" s="17">
        <f>CHOOSE(CONTROL!$C$42, 12.3327, 12.3327) * CHOOSE(CONTROL!$C$21, $C$9, 100%, $E$9)</f>
        <v>12.332700000000001</v>
      </c>
      <c r="R243" s="17">
        <f>CHOOSE(CONTROL!$C$42, 12.9505, 12.9505) * CHOOSE(CONTROL!$C$21, $C$9, 100%, $E$9)</f>
        <v>12.9505</v>
      </c>
      <c r="S243" s="17">
        <f>CHOOSE(CONTROL!$C$42, 11.3285, 11.3285) * CHOOSE(CONTROL!$C$21, $C$9, 100%, $E$9)</f>
        <v>11.3285</v>
      </c>
      <c r="T24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43" s="56">
        <f>(1000*CHOOSE(CONTROL!$C$42, 695, 695)*CHOOSE(CONTROL!$C$42, 0.5599, 0.5599)*CHOOSE(CONTROL!$C$42, 31, 31))/1000000</f>
        <v>12.063045499999998</v>
      </c>
      <c r="V243" s="56">
        <f>(1000*CHOOSE(CONTROL!$C$42, 500, 500)*CHOOSE(CONTROL!$C$42, 0.275, 0.275)*CHOOSE(CONTROL!$C$42, 31, 31))/1000000</f>
        <v>4.2625000000000002</v>
      </c>
      <c r="W243" s="56">
        <f>(1000*CHOOSE(CONTROL!$C$42, 0.1146, 0.1146)*CHOOSE(CONTROL!$C$42, 121.5, 121.5)*CHOOSE(CONTROL!$C$42, 31, 31))/1000000</f>
        <v>0.43164089999999994</v>
      </c>
      <c r="X243" s="56">
        <f>(31*0.2374*100000/1000000)</f>
        <v>0.73594000000000004</v>
      </c>
      <c r="Y243" s="56"/>
      <c r="Z243" s="17"/>
      <c r="AA243" s="55"/>
      <c r="AB243" s="48">
        <f>(B243*122.58+C243*297.941+D243*89.177+E243*140.302+F243*40+G243*60+H243*0+I243*100+J243*300)/(122.58+297.941+89.177+140.302+0+40+60+100+300)</f>
        <v>11.83961252321739</v>
      </c>
      <c r="AC243" s="45">
        <f>(M243*'RAP TEMPLATE-GAS AVAILABILITY'!O242+N243*'RAP TEMPLATE-GAS AVAILABILITY'!P242+O243*'RAP TEMPLATE-GAS AVAILABILITY'!Q242+P243*'RAP TEMPLATE-GAS AVAILABILITY'!R242)/('RAP TEMPLATE-GAS AVAILABILITY'!O242+'RAP TEMPLATE-GAS AVAILABILITY'!P242+'RAP TEMPLATE-GAS AVAILABILITY'!Q242+'RAP TEMPLATE-GAS AVAILABILITY'!R242)</f>
        <v>11.673605755395682</v>
      </c>
    </row>
    <row r="244" spans="1:29" ht="15.75" x14ac:dyDescent="0.25">
      <c r="A244" s="16">
        <v>48305</v>
      </c>
      <c r="B244" s="17">
        <f>CHOOSE(CONTROL!$C$42, 11.7641, 11.7641) * CHOOSE(CONTROL!$C$21, $C$9, 100%, $E$9)</f>
        <v>11.764099999999999</v>
      </c>
      <c r="C244" s="17">
        <f>CHOOSE(CONTROL!$C$42, 11.7685, 11.7685) * CHOOSE(CONTROL!$C$21, $C$9, 100%, $E$9)</f>
        <v>11.7685</v>
      </c>
      <c r="D244" s="17">
        <f>CHOOSE(CONTROL!$C$42, 12.0427, 12.0427) * CHOOSE(CONTROL!$C$21, $C$9, 100%, $E$9)</f>
        <v>12.0427</v>
      </c>
      <c r="E244" s="17">
        <f>CHOOSE(CONTROL!$C$42, 12.0748, 12.0748) * CHOOSE(CONTROL!$C$21, $C$9, 100%, $E$9)</f>
        <v>12.0748</v>
      </c>
      <c r="F244" s="17">
        <f>CHOOSE(CONTROL!$C$42, 11.7834, 11.7834)*CHOOSE(CONTROL!$C$21, $C$9, 100%, $E$9)</f>
        <v>11.7834</v>
      </c>
      <c r="G244" s="17">
        <f>CHOOSE(CONTROL!$C$42, 11.7997, 11.7997)*CHOOSE(CONTROL!$C$21, $C$9, 100%, $E$9)</f>
        <v>11.7997</v>
      </c>
      <c r="H244" s="17">
        <f>CHOOSE(CONTROL!$C$42, 12.0646, 12.0646) * CHOOSE(CONTROL!$C$21, $C$9, 100%, $E$9)</f>
        <v>12.0646</v>
      </c>
      <c r="I244" s="17">
        <f>CHOOSE(CONTROL!$C$42, 11.8222, 11.8222)* CHOOSE(CONTROL!$C$21, $C$9, 100%, $E$9)</f>
        <v>11.8222</v>
      </c>
      <c r="J244" s="17">
        <f>CHOOSE(CONTROL!$C$42, 11.7764, 11.7764)* CHOOSE(CONTROL!$C$21, $C$9, 100%, $E$9)</f>
        <v>11.776400000000001</v>
      </c>
      <c r="K244" s="52">
        <f>CHOOSE(CONTROL!$C$42, 11.8179, 11.8179) * CHOOSE(CONTROL!$C$21, $C$9, 100%, $E$9)</f>
        <v>11.8179</v>
      </c>
      <c r="L244" s="17">
        <f>CHOOSE(CONTROL!$C$42, 12.6516, 12.6516) * CHOOSE(CONTROL!$C$21, $C$9, 100%, $E$9)</f>
        <v>12.6516</v>
      </c>
      <c r="M244" s="17">
        <f>CHOOSE(CONTROL!$C$42, 11.5722, 11.5722) * CHOOSE(CONTROL!$C$21, $C$9, 100%, $E$9)</f>
        <v>11.5722</v>
      </c>
      <c r="N244" s="17">
        <f>CHOOSE(CONTROL!$C$42, 11.5883, 11.5883) * CHOOSE(CONTROL!$C$21, $C$9, 100%, $E$9)</f>
        <v>11.5883</v>
      </c>
      <c r="O244" s="17">
        <f>CHOOSE(CONTROL!$C$42, 11.8553, 11.8553) * CHOOSE(CONTROL!$C$21, $C$9, 100%, $E$9)</f>
        <v>11.8553</v>
      </c>
      <c r="P244" s="17">
        <f>CHOOSE(CONTROL!$C$42, 11.6166, 11.6166) * CHOOSE(CONTROL!$C$21, $C$9, 100%, $E$9)</f>
        <v>11.6166</v>
      </c>
      <c r="Q244" s="17">
        <f>CHOOSE(CONTROL!$C$42, 12.45, 12.45) * CHOOSE(CONTROL!$C$21, $C$9, 100%, $E$9)</f>
        <v>12.45</v>
      </c>
      <c r="R244" s="17">
        <f>CHOOSE(CONTROL!$C$42, 13.0681, 13.0681) * CHOOSE(CONTROL!$C$21, $C$9, 100%, $E$9)</f>
        <v>13.068099999999999</v>
      </c>
      <c r="S244" s="17">
        <f>CHOOSE(CONTROL!$C$42, 11.2948, 11.2948) * CHOOSE(CONTROL!$C$21, $C$9, 100%, $E$9)</f>
        <v>11.2948</v>
      </c>
      <c r="T24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44" s="56">
        <f>(1000*CHOOSE(CONTROL!$C$42, 695, 695)*CHOOSE(CONTROL!$C$42, 0.5599, 0.5599)*CHOOSE(CONTROL!$C$42, 30, 30))/1000000</f>
        <v>11.673914999999997</v>
      </c>
      <c r="V244" s="56">
        <f>(1000*CHOOSE(CONTROL!$C$42, 500, 500)*CHOOSE(CONTROL!$C$42, 0.275, 0.275)*CHOOSE(CONTROL!$C$42, 30, 30))/1000000</f>
        <v>4.125</v>
      </c>
      <c r="W244" s="56">
        <f>(1000*CHOOSE(CONTROL!$C$42, 0.1146, 0.1146)*CHOOSE(CONTROL!$C$42, 121.5, 121.5)*CHOOSE(CONTROL!$C$42, 30, 30))/1000000</f>
        <v>0.417717</v>
      </c>
      <c r="X244" s="56">
        <f>(30*0.1790888*145000/1000000)+(30*0.2374*100000/1000000)</f>
        <v>1.4912362799999999</v>
      </c>
      <c r="Y244" s="56"/>
      <c r="Z244" s="17"/>
      <c r="AA244" s="55"/>
      <c r="AB244" s="48">
        <f>(B244*141.293+C244*267.993+D244*115.016+E244*189.698+F244*40+G244*85+H244*0+I244*100+J244*300)/(141.293+267.993+115.016+189.698+0+40+85+100+300)</f>
        <v>11.84921686472962</v>
      </c>
      <c r="AC244" s="45">
        <f>(M244*'RAP TEMPLATE-GAS AVAILABILITY'!O243+N244*'RAP TEMPLATE-GAS AVAILABILITY'!P243+O244*'RAP TEMPLATE-GAS AVAILABILITY'!Q243+P244*'RAP TEMPLATE-GAS AVAILABILITY'!R243)/('RAP TEMPLATE-GAS AVAILABILITY'!O243+'RAP TEMPLATE-GAS AVAILABILITY'!P243+'RAP TEMPLATE-GAS AVAILABILITY'!Q243+'RAP TEMPLATE-GAS AVAILABILITY'!R243)</f>
        <v>11.661725899280574</v>
      </c>
    </row>
    <row r="245" spans="1:29" ht="15.75" x14ac:dyDescent="0.25">
      <c r="A245" s="16">
        <v>48335</v>
      </c>
      <c r="B245" s="17">
        <f>CHOOSE(CONTROL!$C$42, 11.8692, 11.8692) * CHOOSE(CONTROL!$C$21, $C$9, 100%, $E$9)</f>
        <v>11.869199999999999</v>
      </c>
      <c r="C245" s="17">
        <f>CHOOSE(CONTROL!$C$42, 11.8772, 11.8772) * CHOOSE(CONTROL!$C$21, $C$9, 100%, $E$9)</f>
        <v>11.8772</v>
      </c>
      <c r="D245" s="17">
        <f>CHOOSE(CONTROL!$C$42, 12.1483, 12.1483) * CHOOSE(CONTROL!$C$21, $C$9, 100%, $E$9)</f>
        <v>12.148300000000001</v>
      </c>
      <c r="E245" s="17">
        <f>CHOOSE(CONTROL!$C$42, 12.1797, 12.1797) * CHOOSE(CONTROL!$C$21, $C$9, 100%, $E$9)</f>
        <v>12.1797</v>
      </c>
      <c r="F245" s="17">
        <f>CHOOSE(CONTROL!$C$42, 11.8873, 11.8873)*CHOOSE(CONTROL!$C$21, $C$9, 100%, $E$9)</f>
        <v>11.8873</v>
      </c>
      <c r="G245" s="17">
        <f>CHOOSE(CONTROL!$C$42, 11.904, 11.904)*CHOOSE(CONTROL!$C$21, $C$9, 100%, $E$9)</f>
        <v>11.904</v>
      </c>
      <c r="H245" s="17">
        <f>CHOOSE(CONTROL!$C$42, 12.1684, 12.1684) * CHOOSE(CONTROL!$C$21, $C$9, 100%, $E$9)</f>
        <v>12.1684</v>
      </c>
      <c r="I245" s="17">
        <f>CHOOSE(CONTROL!$C$42, 11.9262, 11.9262)* CHOOSE(CONTROL!$C$21, $C$9, 100%, $E$9)</f>
        <v>11.9262</v>
      </c>
      <c r="J245" s="17">
        <f>CHOOSE(CONTROL!$C$42, 11.8803, 11.8803)* CHOOSE(CONTROL!$C$21, $C$9, 100%, $E$9)</f>
        <v>11.8803</v>
      </c>
      <c r="K245" s="52">
        <f>CHOOSE(CONTROL!$C$42, 11.922, 11.922) * CHOOSE(CONTROL!$C$21, $C$9, 100%, $E$9)</f>
        <v>11.922000000000001</v>
      </c>
      <c r="L245" s="17">
        <f>CHOOSE(CONTROL!$C$42, 12.7554, 12.7554) * CHOOSE(CONTROL!$C$21, $C$9, 100%, $E$9)</f>
        <v>12.7554</v>
      </c>
      <c r="M245" s="17">
        <f>CHOOSE(CONTROL!$C$42, 11.6743, 11.6743) * CHOOSE(CONTROL!$C$21, $C$9, 100%, $E$9)</f>
        <v>11.674300000000001</v>
      </c>
      <c r="N245" s="17">
        <f>CHOOSE(CONTROL!$C$42, 11.6907, 11.6907) * CHOOSE(CONTROL!$C$21, $C$9, 100%, $E$9)</f>
        <v>11.6907</v>
      </c>
      <c r="O245" s="17">
        <f>CHOOSE(CONTROL!$C$42, 11.9572, 11.9572) * CHOOSE(CONTROL!$C$21, $C$9, 100%, $E$9)</f>
        <v>11.9572</v>
      </c>
      <c r="P245" s="17">
        <f>CHOOSE(CONTROL!$C$42, 11.7188, 11.7188) * CHOOSE(CONTROL!$C$21, $C$9, 100%, $E$9)</f>
        <v>11.7188</v>
      </c>
      <c r="Q245" s="17">
        <f>CHOOSE(CONTROL!$C$42, 12.5519, 12.5519) * CHOOSE(CONTROL!$C$21, $C$9, 100%, $E$9)</f>
        <v>12.5519</v>
      </c>
      <c r="R245" s="17">
        <f>CHOOSE(CONTROL!$C$42, 13.1703, 13.1703) * CHOOSE(CONTROL!$C$21, $C$9, 100%, $E$9)</f>
        <v>13.170299999999999</v>
      </c>
      <c r="S245" s="17">
        <f>CHOOSE(CONTROL!$C$42, 11.3945, 11.3945) * CHOOSE(CONTROL!$C$21, $C$9, 100%, $E$9)</f>
        <v>11.394500000000001</v>
      </c>
      <c r="T24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45" s="56">
        <f>(1000*CHOOSE(CONTROL!$C$42, 695, 695)*CHOOSE(CONTROL!$C$42, 0.5599, 0.5599)*CHOOSE(CONTROL!$C$42, 31, 31))/1000000</f>
        <v>12.063045499999998</v>
      </c>
      <c r="V245" s="56">
        <f>(1000*CHOOSE(CONTROL!$C$42, 500, 500)*CHOOSE(CONTROL!$C$42, 0.275, 0.275)*CHOOSE(CONTROL!$C$42, 31, 31))/1000000</f>
        <v>4.2625000000000002</v>
      </c>
      <c r="W245" s="56">
        <f>(1000*CHOOSE(CONTROL!$C$42, 0.1146, 0.1146)*CHOOSE(CONTROL!$C$42, 121.5, 121.5)*CHOOSE(CONTROL!$C$42, 31, 31))/1000000</f>
        <v>0.43164089999999994</v>
      </c>
      <c r="X245" s="56">
        <f>(31*0.1790888*145000/1000000)+(31*0.2374*100000/1000000)</f>
        <v>1.5409441560000001</v>
      </c>
      <c r="Y245" s="56"/>
      <c r="Z245" s="17"/>
      <c r="AA245" s="55"/>
      <c r="AB245" s="48">
        <f>(B245*194.205+C245*267.466+D245*133.845+E245*153.484+F245*40+G245*85+H245*0+I245*100+J245*300)/(194.205+267.466+133.845+153.484+0+40+85+100+300)</f>
        <v>11.947586695054946</v>
      </c>
      <c r="AC245" s="45">
        <f>(M245*'RAP TEMPLATE-GAS AVAILABILITY'!O244+N245*'RAP TEMPLATE-GAS AVAILABILITY'!P244+O245*'RAP TEMPLATE-GAS AVAILABILITY'!Q244+P245*'RAP TEMPLATE-GAS AVAILABILITY'!R244)/('RAP TEMPLATE-GAS AVAILABILITY'!O244+'RAP TEMPLATE-GAS AVAILABILITY'!P244+'RAP TEMPLATE-GAS AVAILABILITY'!Q244+'RAP TEMPLATE-GAS AVAILABILITY'!R244)</f>
        <v>11.763853237410071</v>
      </c>
    </row>
    <row r="246" spans="1:29" ht="15.75" x14ac:dyDescent="0.25">
      <c r="A246" s="16">
        <v>48366</v>
      </c>
      <c r="B246" s="17">
        <f>CHOOSE(CONTROL!$C$42, 12.2055, 12.2055) * CHOOSE(CONTROL!$C$21, $C$9, 100%, $E$9)</f>
        <v>12.205500000000001</v>
      </c>
      <c r="C246" s="17">
        <f>CHOOSE(CONTROL!$C$42, 12.2136, 12.2136) * CHOOSE(CONTROL!$C$21, $C$9, 100%, $E$9)</f>
        <v>12.2136</v>
      </c>
      <c r="D246" s="17">
        <f>CHOOSE(CONTROL!$C$42, 12.4846, 12.4846) * CHOOSE(CONTROL!$C$21, $C$9, 100%, $E$9)</f>
        <v>12.4846</v>
      </c>
      <c r="E246" s="17">
        <f>CHOOSE(CONTROL!$C$42, 12.5161, 12.5161) * CHOOSE(CONTROL!$C$21, $C$9, 100%, $E$9)</f>
        <v>12.5161</v>
      </c>
      <c r="F246" s="17">
        <f>CHOOSE(CONTROL!$C$42, 12.224, 12.224)*CHOOSE(CONTROL!$C$21, $C$9, 100%, $E$9)</f>
        <v>12.224</v>
      </c>
      <c r="G246" s="17">
        <f>CHOOSE(CONTROL!$C$42, 12.2407, 12.2407)*CHOOSE(CONTROL!$C$21, $C$9, 100%, $E$9)</f>
        <v>12.2407</v>
      </c>
      <c r="H246" s="17">
        <f>CHOOSE(CONTROL!$C$42, 12.5047, 12.5047) * CHOOSE(CONTROL!$C$21, $C$9, 100%, $E$9)</f>
        <v>12.5047</v>
      </c>
      <c r="I246" s="17">
        <f>CHOOSE(CONTROL!$C$42, 12.2636, 12.2636)* CHOOSE(CONTROL!$C$21, $C$9, 100%, $E$9)</f>
        <v>12.2636</v>
      </c>
      <c r="J246" s="17">
        <f>CHOOSE(CONTROL!$C$42, 12.217, 12.217)* CHOOSE(CONTROL!$C$21, $C$9, 100%, $E$9)</f>
        <v>12.217000000000001</v>
      </c>
      <c r="K246" s="52">
        <f>CHOOSE(CONTROL!$C$42, 12.2594, 12.2594) * CHOOSE(CONTROL!$C$21, $C$9, 100%, $E$9)</f>
        <v>12.259399999999999</v>
      </c>
      <c r="L246" s="17">
        <f>CHOOSE(CONTROL!$C$42, 13.0917, 13.0917) * CHOOSE(CONTROL!$C$21, $C$9, 100%, $E$9)</f>
        <v>13.091699999999999</v>
      </c>
      <c r="M246" s="17">
        <f>CHOOSE(CONTROL!$C$42, 12.0049, 12.0049) * CHOOSE(CONTROL!$C$21, $C$9, 100%, $E$9)</f>
        <v>12.004899999999999</v>
      </c>
      <c r="N246" s="17">
        <f>CHOOSE(CONTROL!$C$42, 12.0213, 12.0213) * CHOOSE(CONTROL!$C$21, $C$9, 100%, $E$9)</f>
        <v>12.0213</v>
      </c>
      <c r="O246" s="17">
        <f>CHOOSE(CONTROL!$C$42, 12.2875, 12.2875) * CHOOSE(CONTROL!$C$21, $C$9, 100%, $E$9)</f>
        <v>12.2875</v>
      </c>
      <c r="P246" s="17">
        <f>CHOOSE(CONTROL!$C$42, 12.0501, 12.0501) * CHOOSE(CONTROL!$C$21, $C$9, 100%, $E$9)</f>
        <v>12.0501</v>
      </c>
      <c r="Q246" s="17">
        <f>CHOOSE(CONTROL!$C$42, 12.8822, 12.8822) * CHOOSE(CONTROL!$C$21, $C$9, 100%, $E$9)</f>
        <v>12.882199999999999</v>
      </c>
      <c r="R246" s="17">
        <f>CHOOSE(CONTROL!$C$42, 13.5014, 13.5014) * CHOOSE(CONTROL!$C$21, $C$9, 100%, $E$9)</f>
        <v>13.5014</v>
      </c>
      <c r="S246" s="17">
        <f>CHOOSE(CONTROL!$C$42, 11.7177, 11.7177) * CHOOSE(CONTROL!$C$21, $C$9, 100%, $E$9)</f>
        <v>11.717700000000001</v>
      </c>
      <c r="T24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46" s="56">
        <f>(1000*CHOOSE(CONTROL!$C$42, 695, 695)*CHOOSE(CONTROL!$C$42, 0.5599, 0.5599)*CHOOSE(CONTROL!$C$42, 30, 30))/1000000</f>
        <v>11.673914999999997</v>
      </c>
      <c r="V246" s="56">
        <f>(1000*CHOOSE(CONTROL!$C$42, 500, 500)*CHOOSE(CONTROL!$C$42, 0.275, 0.275)*CHOOSE(CONTROL!$C$42, 30, 30))/1000000</f>
        <v>4.125</v>
      </c>
      <c r="W246" s="56">
        <f>(1000*CHOOSE(CONTROL!$C$42, 0.1146, 0.1146)*CHOOSE(CONTROL!$C$42, 121.5, 121.5)*CHOOSE(CONTROL!$C$42, 30, 30))/1000000</f>
        <v>0.417717</v>
      </c>
      <c r="X246" s="56">
        <f>(30*0.1790888*145000/1000000)+(30*0.2374*100000/1000000)</f>
        <v>1.4912362799999999</v>
      </c>
      <c r="Y246" s="56"/>
      <c r="Z246" s="17"/>
      <c r="AA246" s="55"/>
      <c r="AB246" s="48">
        <f>(B246*194.205+C246*267.466+D246*133.845+E246*153.484+F246*40+G246*85+H246*0+I246*100+J246*300)/(194.205+267.466+133.845+153.484+0+40+85+100+300)</f>
        <v>12.284139516875982</v>
      </c>
      <c r="AC246" s="45">
        <f>(M246*'RAP TEMPLATE-GAS AVAILABILITY'!O245+N246*'RAP TEMPLATE-GAS AVAILABILITY'!P245+O246*'RAP TEMPLATE-GAS AVAILABILITY'!Q245+P246*'RAP TEMPLATE-GAS AVAILABILITY'!R245)/('RAP TEMPLATE-GAS AVAILABILITY'!O245+'RAP TEMPLATE-GAS AVAILABILITY'!P245+'RAP TEMPLATE-GAS AVAILABILITY'!Q245+'RAP TEMPLATE-GAS AVAILABILITY'!R245)</f>
        <v>12.094469784172661</v>
      </c>
    </row>
    <row r="247" spans="1:29" ht="15.75" x14ac:dyDescent="0.25">
      <c r="A247" s="16">
        <v>48396</v>
      </c>
      <c r="B247" s="17">
        <f>CHOOSE(CONTROL!$C$42, 11.9716, 11.9716) * CHOOSE(CONTROL!$C$21, $C$9, 100%, $E$9)</f>
        <v>11.9716</v>
      </c>
      <c r="C247" s="17">
        <f>CHOOSE(CONTROL!$C$42, 11.9796, 11.9796) * CHOOSE(CONTROL!$C$21, $C$9, 100%, $E$9)</f>
        <v>11.9796</v>
      </c>
      <c r="D247" s="17">
        <f>CHOOSE(CONTROL!$C$42, 12.2507, 12.2507) * CHOOSE(CONTROL!$C$21, $C$9, 100%, $E$9)</f>
        <v>12.2507</v>
      </c>
      <c r="E247" s="17">
        <f>CHOOSE(CONTROL!$C$42, 12.2821, 12.2821) * CHOOSE(CONTROL!$C$21, $C$9, 100%, $E$9)</f>
        <v>12.2821</v>
      </c>
      <c r="F247" s="17">
        <f>CHOOSE(CONTROL!$C$42, 11.9905, 11.9905)*CHOOSE(CONTROL!$C$21, $C$9, 100%, $E$9)</f>
        <v>11.990500000000001</v>
      </c>
      <c r="G247" s="17">
        <f>CHOOSE(CONTROL!$C$42, 12.0073, 12.0073)*CHOOSE(CONTROL!$C$21, $C$9, 100%, $E$9)</f>
        <v>12.007300000000001</v>
      </c>
      <c r="H247" s="17">
        <f>CHOOSE(CONTROL!$C$42, 12.2708, 12.2708) * CHOOSE(CONTROL!$C$21, $C$9, 100%, $E$9)</f>
        <v>12.270799999999999</v>
      </c>
      <c r="I247" s="17">
        <f>CHOOSE(CONTROL!$C$42, 12.029, 12.029)* CHOOSE(CONTROL!$C$21, $C$9, 100%, $E$9)</f>
        <v>12.029</v>
      </c>
      <c r="J247" s="17">
        <f>CHOOSE(CONTROL!$C$42, 11.9835, 11.9835)* CHOOSE(CONTROL!$C$21, $C$9, 100%, $E$9)</f>
        <v>11.983499999999999</v>
      </c>
      <c r="K247" s="52">
        <f>CHOOSE(CONTROL!$C$42, 12.0247, 12.0247) * CHOOSE(CONTROL!$C$21, $C$9, 100%, $E$9)</f>
        <v>12.024699999999999</v>
      </c>
      <c r="L247" s="17">
        <f>CHOOSE(CONTROL!$C$42, 12.8578, 12.8578) * CHOOSE(CONTROL!$C$21, $C$9, 100%, $E$9)</f>
        <v>12.857799999999999</v>
      </c>
      <c r="M247" s="17">
        <f>CHOOSE(CONTROL!$C$42, 11.7756, 11.7756) * CHOOSE(CONTROL!$C$21, $C$9, 100%, $E$9)</f>
        <v>11.775600000000001</v>
      </c>
      <c r="N247" s="17">
        <f>CHOOSE(CONTROL!$C$42, 11.7921, 11.7921) * CHOOSE(CONTROL!$C$21, $C$9, 100%, $E$9)</f>
        <v>11.7921</v>
      </c>
      <c r="O247" s="17">
        <f>CHOOSE(CONTROL!$C$42, 12.0578, 12.0578) * CHOOSE(CONTROL!$C$21, $C$9, 100%, $E$9)</f>
        <v>12.0578</v>
      </c>
      <c r="P247" s="17">
        <f>CHOOSE(CONTROL!$C$42, 11.8197, 11.8197) * CHOOSE(CONTROL!$C$21, $C$9, 100%, $E$9)</f>
        <v>11.819699999999999</v>
      </c>
      <c r="Q247" s="17">
        <f>CHOOSE(CONTROL!$C$42, 12.6525, 12.6525) * CHOOSE(CONTROL!$C$21, $C$9, 100%, $E$9)</f>
        <v>12.6525</v>
      </c>
      <c r="R247" s="17">
        <f>CHOOSE(CONTROL!$C$42, 13.2711, 13.2711) * CHOOSE(CONTROL!$C$21, $C$9, 100%, $E$9)</f>
        <v>13.271100000000001</v>
      </c>
      <c r="S247" s="17">
        <f>CHOOSE(CONTROL!$C$42, 11.4929, 11.4929) * CHOOSE(CONTROL!$C$21, $C$9, 100%, $E$9)</f>
        <v>11.492900000000001</v>
      </c>
      <c r="T24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47" s="56">
        <f>(1000*CHOOSE(CONTROL!$C$42, 695, 695)*CHOOSE(CONTROL!$C$42, 0.5599, 0.5599)*CHOOSE(CONTROL!$C$42, 31, 31))/1000000</f>
        <v>12.063045499999998</v>
      </c>
      <c r="V247" s="56">
        <f>(1000*CHOOSE(CONTROL!$C$42, 500, 500)*CHOOSE(CONTROL!$C$42, 0.275, 0.275)*CHOOSE(CONTROL!$C$42, 31, 31))/1000000</f>
        <v>4.2625000000000002</v>
      </c>
      <c r="W247" s="56">
        <f>(1000*CHOOSE(CONTROL!$C$42, 0.1146, 0.1146)*CHOOSE(CONTROL!$C$42, 121.5, 121.5)*CHOOSE(CONTROL!$C$42, 31, 31))/1000000</f>
        <v>0.43164089999999994</v>
      </c>
      <c r="X247" s="56">
        <f>(31*0.1790888*145000/1000000)+(31*0.2374*100000/1000000)</f>
        <v>1.5409441560000001</v>
      </c>
      <c r="Y247" s="56"/>
      <c r="Z247" s="17"/>
      <c r="AA247" s="55"/>
      <c r="AB247" s="48">
        <f>(B247*194.205+C247*267.466+D247*133.845+E247*153.484+F247*40+G247*85+H247*0+I247*100+J247*300)/(194.205+267.466+133.845+153.484+0+40+85+100+300)</f>
        <v>12.05029164010989</v>
      </c>
      <c r="AC247" s="45">
        <f>(M247*'RAP TEMPLATE-GAS AVAILABILITY'!O246+N247*'RAP TEMPLATE-GAS AVAILABILITY'!P246+O247*'RAP TEMPLATE-GAS AVAILABILITY'!Q246+P247*'RAP TEMPLATE-GAS AVAILABILITY'!R246)/('RAP TEMPLATE-GAS AVAILABILITY'!O246+'RAP TEMPLATE-GAS AVAILABILITY'!P246+'RAP TEMPLATE-GAS AVAILABILITY'!Q246+'RAP TEMPLATE-GAS AVAILABILITY'!R246)</f>
        <v>11.864922302158272</v>
      </c>
    </row>
    <row r="248" spans="1:29" ht="15.75" x14ac:dyDescent="0.25">
      <c r="A248" s="16">
        <v>48427</v>
      </c>
      <c r="B248" s="17">
        <f>CHOOSE(CONTROL!$C$42, 11.3809, 11.3809) * CHOOSE(CONTROL!$C$21, $C$9, 100%, $E$9)</f>
        <v>11.3809</v>
      </c>
      <c r="C248" s="17">
        <f>CHOOSE(CONTROL!$C$42, 11.3889, 11.3889) * CHOOSE(CONTROL!$C$21, $C$9, 100%, $E$9)</f>
        <v>11.3889</v>
      </c>
      <c r="D248" s="17">
        <f>CHOOSE(CONTROL!$C$42, 11.6599, 11.6599) * CHOOSE(CONTROL!$C$21, $C$9, 100%, $E$9)</f>
        <v>11.6599</v>
      </c>
      <c r="E248" s="17">
        <f>CHOOSE(CONTROL!$C$42, 11.6914, 11.6914) * CHOOSE(CONTROL!$C$21, $C$9, 100%, $E$9)</f>
        <v>11.6914</v>
      </c>
      <c r="F248" s="17">
        <f>CHOOSE(CONTROL!$C$42, 11.4, 11.4)*CHOOSE(CONTROL!$C$21, $C$9, 100%, $E$9)</f>
        <v>11.4</v>
      </c>
      <c r="G248" s="17">
        <f>CHOOSE(CONTROL!$C$42, 11.4169, 11.4169)*CHOOSE(CONTROL!$C$21, $C$9, 100%, $E$9)</f>
        <v>11.4169</v>
      </c>
      <c r="H248" s="17">
        <f>CHOOSE(CONTROL!$C$42, 11.68, 11.68) * CHOOSE(CONTROL!$C$21, $C$9, 100%, $E$9)</f>
        <v>11.68</v>
      </c>
      <c r="I248" s="17">
        <f>CHOOSE(CONTROL!$C$42, 11.4364, 11.4364)* CHOOSE(CONTROL!$C$21, $C$9, 100%, $E$9)</f>
        <v>11.436400000000001</v>
      </c>
      <c r="J248" s="17">
        <f>CHOOSE(CONTROL!$C$42, 11.393, 11.393)* CHOOSE(CONTROL!$C$21, $C$9, 100%, $E$9)</f>
        <v>11.393000000000001</v>
      </c>
      <c r="K248" s="52">
        <f>CHOOSE(CONTROL!$C$42, 11.4321, 11.4321) * CHOOSE(CONTROL!$C$21, $C$9, 100%, $E$9)</f>
        <v>11.4321</v>
      </c>
      <c r="L248" s="17">
        <f>CHOOSE(CONTROL!$C$42, 12.267, 12.267) * CHOOSE(CONTROL!$C$21, $C$9, 100%, $E$9)</f>
        <v>12.266999999999999</v>
      </c>
      <c r="M248" s="17">
        <f>CHOOSE(CONTROL!$C$42, 11.1957, 11.1957) * CHOOSE(CONTROL!$C$21, $C$9, 100%, $E$9)</f>
        <v>11.1957</v>
      </c>
      <c r="N248" s="17">
        <f>CHOOSE(CONTROL!$C$42, 11.2123, 11.2123) * CHOOSE(CONTROL!$C$21, $C$9, 100%, $E$9)</f>
        <v>11.212300000000001</v>
      </c>
      <c r="O248" s="17">
        <f>CHOOSE(CONTROL!$C$42, 11.4776, 11.4776) * CHOOSE(CONTROL!$C$21, $C$9, 100%, $E$9)</f>
        <v>11.477600000000001</v>
      </c>
      <c r="P248" s="17">
        <f>CHOOSE(CONTROL!$C$42, 11.2378, 11.2378) * CHOOSE(CONTROL!$C$21, $C$9, 100%, $E$9)</f>
        <v>11.2378</v>
      </c>
      <c r="Q248" s="17">
        <f>CHOOSE(CONTROL!$C$42, 12.0723, 12.0723) * CHOOSE(CONTROL!$C$21, $C$9, 100%, $E$9)</f>
        <v>12.0723</v>
      </c>
      <c r="R248" s="17">
        <f>CHOOSE(CONTROL!$C$42, 12.6895, 12.6895) * CHOOSE(CONTROL!$C$21, $C$9, 100%, $E$9)</f>
        <v>12.689500000000001</v>
      </c>
      <c r="S248" s="17">
        <f>CHOOSE(CONTROL!$C$42, 10.9252, 10.9252) * CHOOSE(CONTROL!$C$21, $C$9, 100%, $E$9)</f>
        <v>10.9252</v>
      </c>
      <c r="T24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48" s="56">
        <f>(1000*CHOOSE(CONTROL!$C$42, 695, 695)*CHOOSE(CONTROL!$C$42, 0.5599, 0.5599)*CHOOSE(CONTROL!$C$42, 31, 31))/1000000</f>
        <v>12.063045499999998</v>
      </c>
      <c r="V248" s="56">
        <f>(1000*CHOOSE(CONTROL!$C$42, 500, 500)*CHOOSE(CONTROL!$C$42, 0.275, 0.275)*CHOOSE(CONTROL!$C$42, 31, 31))/1000000</f>
        <v>4.2625000000000002</v>
      </c>
      <c r="W248" s="56">
        <f>(1000*CHOOSE(CONTROL!$C$42, 0.1146, 0.1146)*CHOOSE(CONTROL!$C$42, 121.5, 121.5)*CHOOSE(CONTROL!$C$42, 31, 31))/1000000</f>
        <v>0.43164089999999994</v>
      </c>
      <c r="X248" s="56">
        <f>(31*0.1790888*145000/1000000)+(31*0.2374*100000/1000000)</f>
        <v>1.5409441560000001</v>
      </c>
      <c r="Y248" s="56"/>
      <c r="Z248" s="17"/>
      <c r="AA248" s="55"/>
      <c r="AB248" s="48">
        <f>(B248*194.205+C248*267.466+D248*133.845+E248*153.484+F248*40+G248*85+H248*0+I248*100+J248*300)/(194.205+267.466+133.845+153.484+0+40+85+100+300)</f>
        <v>11.45950538854003</v>
      </c>
      <c r="AC248" s="45">
        <f>(M248*'RAP TEMPLATE-GAS AVAILABILITY'!O247+N248*'RAP TEMPLATE-GAS AVAILABILITY'!P247+O248*'RAP TEMPLATE-GAS AVAILABILITY'!Q247+P248*'RAP TEMPLATE-GAS AVAILABILITY'!R247)/('RAP TEMPLATE-GAS AVAILABILITY'!O247+'RAP TEMPLATE-GAS AVAILABILITY'!P247+'RAP TEMPLATE-GAS AVAILABILITY'!Q247+'RAP TEMPLATE-GAS AVAILABILITY'!R247)</f>
        <v>11.284673381294965</v>
      </c>
    </row>
    <row r="249" spans="1:29" ht="15.75" x14ac:dyDescent="0.25">
      <c r="A249" s="16">
        <v>48458</v>
      </c>
      <c r="B249" s="17">
        <f>CHOOSE(CONTROL!$C$42, 10.6588, 10.6588) * CHOOSE(CONTROL!$C$21, $C$9, 100%, $E$9)</f>
        <v>10.658799999999999</v>
      </c>
      <c r="C249" s="17">
        <f>CHOOSE(CONTROL!$C$42, 10.6669, 10.6669) * CHOOSE(CONTROL!$C$21, $C$9, 100%, $E$9)</f>
        <v>10.6669</v>
      </c>
      <c r="D249" s="17">
        <f>CHOOSE(CONTROL!$C$42, 10.9379, 10.9379) * CHOOSE(CONTROL!$C$21, $C$9, 100%, $E$9)</f>
        <v>10.937900000000001</v>
      </c>
      <c r="E249" s="17">
        <f>CHOOSE(CONTROL!$C$42, 10.9694, 10.9694) * CHOOSE(CONTROL!$C$21, $C$9, 100%, $E$9)</f>
        <v>10.9694</v>
      </c>
      <c r="F249" s="17">
        <f>CHOOSE(CONTROL!$C$42, 10.678, 10.678)*CHOOSE(CONTROL!$C$21, $C$9, 100%, $E$9)</f>
        <v>10.678000000000001</v>
      </c>
      <c r="G249" s="17">
        <f>CHOOSE(CONTROL!$C$42, 10.6949, 10.6949)*CHOOSE(CONTROL!$C$21, $C$9, 100%, $E$9)</f>
        <v>10.694900000000001</v>
      </c>
      <c r="H249" s="17">
        <f>CHOOSE(CONTROL!$C$42, 10.958, 10.958) * CHOOSE(CONTROL!$C$21, $C$9, 100%, $E$9)</f>
        <v>10.958</v>
      </c>
      <c r="I249" s="17">
        <f>CHOOSE(CONTROL!$C$42, 10.7121, 10.7121)* CHOOSE(CONTROL!$C$21, $C$9, 100%, $E$9)</f>
        <v>10.7121</v>
      </c>
      <c r="J249" s="17">
        <f>CHOOSE(CONTROL!$C$42, 10.671, 10.671)* CHOOSE(CONTROL!$C$21, $C$9, 100%, $E$9)</f>
        <v>10.670999999999999</v>
      </c>
      <c r="K249" s="52">
        <f>CHOOSE(CONTROL!$C$42, 10.7079, 10.7079) * CHOOSE(CONTROL!$C$21, $C$9, 100%, $E$9)</f>
        <v>10.7079</v>
      </c>
      <c r="L249" s="17">
        <f>CHOOSE(CONTROL!$C$42, 11.545, 11.545) * CHOOSE(CONTROL!$C$21, $C$9, 100%, $E$9)</f>
        <v>11.545</v>
      </c>
      <c r="M249" s="17">
        <f>CHOOSE(CONTROL!$C$42, 10.4868, 10.4868) * CHOOSE(CONTROL!$C$21, $C$9, 100%, $E$9)</f>
        <v>10.486800000000001</v>
      </c>
      <c r="N249" s="17">
        <f>CHOOSE(CONTROL!$C$42, 10.5034, 10.5034) * CHOOSE(CONTROL!$C$21, $C$9, 100%, $E$9)</f>
        <v>10.503399999999999</v>
      </c>
      <c r="O249" s="17">
        <f>CHOOSE(CONTROL!$C$42, 10.7686, 10.7686) * CHOOSE(CONTROL!$C$21, $C$9, 100%, $E$9)</f>
        <v>10.768599999999999</v>
      </c>
      <c r="P249" s="17">
        <f>CHOOSE(CONTROL!$C$42, 10.5266, 10.5266) * CHOOSE(CONTROL!$C$21, $C$9, 100%, $E$9)</f>
        <v>10.5266</v>
      </c>
      <c r="Q249" s="17">
        <f>CHOOSE(CONTROL!$C$42, 11.3633, 11.3633) * CHOOSE(CONTROL!$C$21, $C$9, 100%, $E$9)</f>
        <v>11.363300000000001</v>
      </c>
      <c r="R249" s="17">
        <f>CHOOSE(CONTROL!$C$42, 11.9787, 11.9787) * CHOOSE(CONTROL!$C$21, $C$9, 100%, $E$9)</f>
        <v>11.9787</v>
      </c>
      <c r="S249" s="17">
        <f>CHOOSE(CONTROL!$C$42, 10.2314, 10.2314) * CHOOSE(CONTROL!$C$21, $C$9, 100%, $E$9)</f>
        <v>10.231400000000001</v>
      </c>
      <c r="T24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49" s="56">
        <f>(1000*CHOOSE(CONTROL!$C$42, 695, 695)*CHOOSE(CONTROL!$C$42, 0.5599, 0.5599)*CHOOSE(CONTROL!$C$42, 30, 30))/1000000</f>
        <v>11.673914999999997</v>
      </c>
      <c r="V249" s="56">
        <f>(1000*CHOOSE(CONTROL!$C$42, 500, 500)*CHOOSE(CONTROL!$C$42, 0.275, 0.275)*CHOOSE(CONTROL!$C$42, 30, 30))/1000000</f>
        <v>4.125</v>
      </c>
      <c r="W249" s="56">
        <f>(1000*CHOOSE(CONTROL!$C$42, 0.1146, 0.1146)*CHOOSE(CONTROL!$C$42, 121.5, 121.5)*CHOOSE(CONTROL!$C$42, 30, 30))/1000000</f>
        <v>0.417717</v>
      </c>
      <c r="X249" s="56">
        <f>(30*0.1790888*145000/1000000)+(30*0.2374*100000/1000000)</f>
        <v>1.4912362799999999</v>
      </c>
      <c r="Y249" s="56"/>
      <c r="Z249" s="17"/>
      <c r="AA249" s="55"/>
      <c r="AB249" s="48">
        <f>(B249*194.205+C249*267.466+D249*133.845+E249*153.484+F249*40+G249*85+H249*0+I249*100+J249*300)/(194.205+267.466+133.845+153.484+0+40+85+100+300)</f>
        <v>10.737309611067504</v>
      </c>
      <c r="AC249" s="45">
        <f>(M249*'RAP TEMPLATE-GAS AVAILABILITY'!O248+N249*'RAP TEMPLATE-GAS AVAILABILITY'!P248+O249*'RAP TEMPLATE-GAS AVAILABILITY'!Q248+P249*'RAP TEMPLATE-GAS AVAILABILITY'!R248)/('RAP TEMPLATE-GAS AVAILABILITY'!O248+'RAP TEMPLATE-GAS AVAILABILITY'!P248+'RAP TEMPLATE-GAS AVAILABILITY'!Q248+'RAP TEMPLATE-GAS AVAILABILITY'!R248)</f>
        <v>10.575414388489209</v>
      </c>
    </row>
    <row r="250" spans="1:29" ht="15.75" x14ac:dyDescent="0.25">
      <c r="A250" s="16">
        <v>48488</v>
      </c>
      <c r="B250" s="17">
        <f>CHOOSE(CONTROL!$C$42, 10.4409, 10.4409) * CHOOSE(CONTROL!$C$21, $C$9, 100%, $E$9)</f>
        <v>10.440899999999999</v>
      </c>
      <c r="C250" s="17">
        <f>CHOOSE(CONTROL!$C$42, 10.4462, 10.4462) * CHOOSE(CONTROL!$C$21, $C$9, 100%, $E$9)</f>
        <v>10.446199999999999</v>
      </c>
      <c r="D250" s="17">
        <f>CHOOSE(CONTROL!$C$42, 10.7222, 10.7222) * CHOOSE(CONTROL!$C$21, $C$9, 100%, $E$9)</f>
        <v>10.722200000000001</v>
      </c>
      <c r="E250" s="17">
        <f>CHOOSE(CONTROL!$C$42, 10.7514, 10.7514) * CHOOSE(CONTROL!$C$21, $C$9, 100%, $E$9)</f>
        <v>10.7514</v>
      </c>
      <c r="F250" s="17">
        <f>CHOOSE(CONTROL!$C$42, 10.4623, 10.4623)*CHOOSE(CONTROL!$C$21, $C$9, 100%, $E$9)</f>
        <v>10.462300000000001</v>
      </c>
      <c r="G250" s="17">
        <f>CHOOSE(CONTROL!$C$42, 10.4791, 10.4791)*CHOOSE(CONTROL!$C$21, $C$9, 100%, $E$9)</f>
        <v>10.479100000000001</v>
      </c>
      <c r="H250" s="17">
        <f>CHOOSE(CONTROL!$C$42, 10.7418, 10.7418) * CHOOSE(CONTROL!$C$21, $C$9, 100%, $E$9)</f>
        <v>10.7418</v>
      </c>
      <c r="I250" s="17">
        <f>CHOOSE(CONTROL!$C$42, 10.4952, 10.4952)* CHOOSE(CONTROL!$C$21, $C$9, 100%, $E$9)</f>
        <v>10.495200000000001</v>
      </c>
      <c r="J250" s="17">
        <f>CHOOSE(CONTROL!$C$42, 10.4553, 10.4553)* CHOOSE(CONTROL!$C$21, $C$9, 100%, $E$9)</f>
        <v>10.455299999999999</v>
      </c>
      <c r="K250" s="52">
        <f>CHOOSE(CONTROL!$C$42, 10.491, 10.491) * CHOOSE(CONTROL!$C$21, $C$9, 100%, $E$9)</f>
        <v>10.491</v>
      </c>
      <c r="L250" s="17">
        <f>CHOOSE(CONTROL!$C$42, 11.3288, 11.3288) * CHOOSE(CONTROL!$C$21, $C$9, 100%, $E$9)</f>
        <v>11.328799999999999</v>
      </c>
      <c r="M250" s="17">
        <f>CHOOSE(CONTROL!$C$42, 10.2749, 10.2749) * CHOOSE(CONTROL!$C$21, $C$9, 100%, $E$9)</f>
        <v>10.274900000000001</v>
      </c>
      <c r="N250" s="17">
        <f>CHOOSE(CONTROL!$C$42, 10.2914, 10.2914) * CHOOSE(CONTROL!$C$21, $C$9, 100%, $E$9)</f>
        <v>10.291399999999999</v>
      </c>
      <c r="O250" s="17">
        <f>CHOOSE(CONTROL!$C$42, 10.5563, 10.5563) * CHOOSE(CONTROL!$C$21, $C$9, 100%, $E$9)</f>
        <v>10.5563</v>
      </c>
      <c r="P250" s="17">
        <f>CHOOSE(CONTROL!$C$42, 10.3136, 10.3136) * CHOOSE(CONTROL!$C$21, $C$9, 100%, $E$9)</f>
        <v>10.313599999999999</v>
      </c>
      <c r="Q250" s="17">
        <f>CHOOSE(CONTROL!$C$42, 11.151, 11.151) * CHOOSE(CONTROL!$C$21, $C$9, 100%, $E$9)</f>
        <v>11.151</v>
      </c>
      <c r="R250" s="17">
        <f>CHOOSE(CONTROL!$C$42, 11.7659, 11.7659) * CHOOSE(CONTROL!$C$21, $C$9, 100%, $E$9)</f>
        <v>11.7659</v>
      </c>
      <c r="S250" s="17">
        <f>CHOOSE(CONTROL!$C$42, 10.0237, 10.0237) * CHOOSE(CONTROL!$C$21, $C$9, 100%, $E$9)</f>
        <v>10.0237</v>
      </c>
      <c r="T25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50" s="56">
        <f>(1000*CHOOSE(CONTROL!$C$42, 695, 695)*CHOOSE(CONTROL!$C$42, 0.5599, 0.5599)*CHOOSE(CONTROL!$C$42, 31, 31))/1000000</f>
        <v>12.063045499999998</v>
      </c>
      <c r="V250" s="56">
        <f>(1000*CHOOSE(CONTROL!$C$42, 500, 500)*CHOOSE(CONTROL!$C$42, 0.275, 0.275)*CHOOSE(CONTROL!$C$42, 31, 31))/1000000</f>
        <v>4.2625000000000002</v>
      </c>
      <c r="W250" s="56">
        <f>(1000*CHOOSE(CONTROL!$C$42, 0.1146, 0.1146)*CHOOSE(CONTROL!$C$42, 121.5, 121.5)*CHOOSE(CONTROL!$C$42, 31, 31))/1000000</f>
        <v>0.43164089999999994</v>
      </c>
      <c r="X250" s="56">
        <f>(31*0.1790888*145000/1000000)+(31*0.2374*100000/1000000)</f>
        <v>1.5409441560000001</v>
      </c>
      <c r="Y250" s="56"/>
      <c r="Z250" s="17"/>
      <c r="AA250" s="55"/>
      <c r="AB250" s="48">
        <f>(B250*131.881+C250*277.167+D250*79.08+E250*225.872+F250*40+G250*85+H250*0+I250*100+J250*300)/(131.881+277.167+79.08+225.872+0+40+85+100+300)</f>
        <v>10.527825298708638</v>
      </c>
      <c r="AC250" s="45">
        <f>(M250*'RAP TEMPLATE-GAS AVAILABILITY'!O249+N250*'RAP TEMPLATE-GAS AVAILABILITY'!P249+O250*'RAP TEMPLATE-GAS AVAILABILITY'!Q249+P250*'RAP TEMPLATE-GAS AVAILABILITY'!R249)/('RAP TEMPLATE-GAS AVAILABILITY'!O249+'RAP TEMPLATE-GAS AVAILABILITY'!P249+'RAP TEMPLATE-GAS AVAILABILITY'!Q249+'RAP TEMPLATE-GAS AVAILABILITY'!R249)</f>
        <v>10.363220863309353</v>
      </c>
    </row>
    <row r="251" spans="1:29" ht="15.75" x14ac:dyDescent="0.25">
      <c r="A251" s="16">
        <v>48519</v>
      </c>
      <c r="B251" s="17">
        <f>CHOOSE(CONTROL!$C$42, 10.7153, 10.7153) * CHOOSE(CONTROL!$C$21, $C$9, 100%, $E$9)</f>
        <v>10.715299999999999</v>
      </c>
      <c r="C251" s="17">
        <f>CHOOSE(CONTROL!$C$42, 10.7203, 10.7203) * CHOOSE(CONTROL!$C$21, $C$9, 100%, $E$9)</f>
        <v>10.7203</v>
      </c>
      <c r="D251" s="17">
        <f>CHOOSE(CONTROL!$C$42, 10.8154, 10.8154) * CHOOSE(CONTROL!$C$21, $C$9, 100%, $E$9)</f>
        <v>10.8154</v>
      </c>
      <c r="E251" s="17">
        <f>CHOOSE(CONTROL!$C$42, 10.8495, 10.8495) * CHOOSE(CONTROL!$C$21, $C$9, 100%, $E$9)</f>
        <v>10.849500000000001</v>
      </c>
      <c r="F251" s="17">
        <f>CHOOSE(CONTROL!$C$42, 10.7392, 10.7392)*CHOOSE(CONTROL!$C$21, $C$9, 100%, $E$9)</f>
        <v>10.7392</v>
      </c>
      <c r="G251" s="17">
        <f>CHOOSE(CONTROL!$C$42, 10.7563, 10.7563)*CHOOSE(CONTROL!$C$21, $C$9, 100%, $E$9)</f>
        <v>10.7563</v>
      </c>
      <c r="H251" s="17">
        <f>CHOOSE(CONTROL!$C$42, 10.8387, 10.8387) * CHOOSE(CONTROL!$C$21, $C$9, 100%, $E$9)</f>
        <v>10.838699999999999</v>
      </c>
      <c r="I251" s="17">
        <f>CHOOSE(CONTROL!$C$42, 10.7688, 10.7688)* CHOOSE(CONTROL!$C$21, $C$9, 100%, $E$9)</f>
        <v>10.768800000000001</v>
      </c>
      <c r="J251" s="17">
        <f>CHOOSE(CONTROL!$C$42, 10.7322, 10.7322)* CHOOSE(CONTROL!$C$21, $C$9, 100%, $E$9)</f>
        <v>10.732200000000001</v>
      </c>
      <c r="K251" s="52">
        <f>CHOOSE(CONTROL!$C$42, 10.7646, 10.7646) * CHOOSE(CONTROL!$C$21, $C$9, 100%, $E$9)</f>
        <v>10.7646</v>
      </c>
      <c r="L251" s="17">
        <f>CHOOSE(CONTROL!$C$42, 11.4257, 11.4257) * CHOOSE(CONTROL!$C$21, $C$9, 100%, $E$9)</f>
        <v>11.425700000000001</v>
      </c>
      <c r="M251" s="17">
        <f>CHOOSE(CONTROL!$C$42, 10.5468, 10.5468) * CHOOSE(CONTROL!$C$21, $C$9, 100%, $E$9)</f>
        <v>10.546799999999999</v>
      </c>
      <c r="N251" s="17">
        <f>CHOOSE(CONTROL!$C$42, 10.5636, 10.5636) * CHOOSE(CONTROL!$C$21, $C$9, 100%, $E$9)</f>
        <v>10.563599999999999</v>
      </c>
      <c r="O251" s="17">
        <f>CHOOSE(CONTROL!$C$42, 10.6514, 10.6514) * CHOOSE(CONTROL!$C$21, $C$9, 100%, $E$9)</f>
        <v>10.651400000000001</v>
      </c>
      <c r="P251" s="17">
        <f>CHOOSE(CONTROL!$C$42, 10.5823, 10.5823) * CHOOSE(CONTROL!$C$21, $C$9, 100%, $E$9)</f>
        <v>10.5823</v>
      </c>
      <c r="Q251" s="17">
        <f>CHOOSE(CONTROL!$C$42, 11.2461, 11.2461) * CHOOSE(CONTROL!$C$21, $C$9, 100%, $E$9)</f>
        <v>11.2461</v>
      </c>
      <c r="R251" s="17">
        <f>CHOOSE(CONTROL!$C$42, 11.8612, 11.8612) * CHOOSE(CONTROL!$C$21, $C$9, 100%, $E$9)</f>
        <v>11.8612</v>
      </c>
      <c r="S251" s="17">
        <f>CHOOSE(CONTROL!$C$42, 10.2878, 10.2878) * CHOOSE(CONTROL!$C$21, $C$9, 100%, $E$9)</f>
        <v>10.287800000000001</v>
      </c>
      <c r="T25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51" s="56">
        <f>(1000*CHOOSE(CONTROL!$C$42, 695, 695)*CHOOSE(CONTROL!$C$42, 0.5599, 0.5599)*CHOOSE(CONTROL!$C$42, 30, 30))/1000000</f>
        <v>11.673914999999997</v>
      </c>
      <c r="V251" s="56">
        <f>(1000*CHOOSE(CONTROL!$C$42, 500, 500)*CHOOSE(CONTROL!$C$42, 0.275, 0.275)*CHOOSE(CONTROL!$C$42, 30, 30))/1000000</f>
        <v>4.125</v>
      </c>
      <c r="W251" s="56">
        <f>(1000*CHOOSE(CONTROL!$C$42, 0.1146, 0.1146)*CHOOSE(CONTROL!$C$42, 121.5, 121.5)*CHOOSE(CONTROL!$C$42, 30, 30))/1000000</f>
        <v>0.417717</v>
      </c>
      <c r="X251" s="56">
        <f>(30*0.2374*100000/1000000)</f>
        <v>0.71220000000000006</v>
      </c>
      <c r="Y251" s="56"/>
      <c r="Z251" s="17"/>
      <c r="AA251" s="55"/>
      <c r="AB251" s="48">
        <f>(B251*122.58+C251*297.941+D251*89.177+E251*140.302+F251*40+G251*60+H251*0+I251*100+J251*300)/(122.58+297.941+89.177+140.302+0+40+60+100+300)</f>
        <v>10.752761609652175</v>
      </c>
      <c r="AC251" s="45">
        <f>(M251*'RAP TEMPLATE-GAS AVAILABILITY'!O250+N251*'RAP TEMPLATE-GAS AVAILABILITY'!P250+O251*'RAP TEMPLATE-GAS AVAILABILITY'!Q250+P251*'RAP TEMPLATE-GAS AVAILABILITY'!R250)/('RAP TEMPLATE-GAS AVAILABILITY'!O250+'RAP TEMPLATE-GAS AVAILABILITY'!P250+'RAP TEMPLATE-GAS AVAILABILITY'!Q250+'RAP TEMPLATE-GAS AVAILABILITY'!R250)</f>
        <v>10.60028345323741</v>
      </c>
    </row>
    <row r="252" spans="1:29" ht="15.75" x14ac:dyDescent="0.25">
      <c r="A252" s="16">
        <v>48549</v>
      </c>
      <c r="B252" s="17">
        <f>CHOOSE(CONTROL!$C$42, 11.4452, 11.4452) * CHOOSE(CONTROL!$C$21, $C$9, 100%, $E$9)</f>
        <v>11.4452</v>
      </c>
      <c r="C252" s="17">
        <f>CHOOSE(CONTROL!$C$42, 11.4503, 11.4503) * CHOOSE(CONTROL!$C$21, $C$9, 100%, $E$9)</f>
        <v>11.4503</v>
      </c>
      <c r="D252" s="17">
        <f>CHOOSE(CONTROL!$C$42, 11.5453, 11.5453) * CHOOSE(CONTROL!$C$21, $C$9, 100%, $E$9)</f>
        <v>11.545299999999999</v>
      </c>
      <c r="E252" s="17">
        <f>CHOOSE(CONTROL!$C$42, 11.5794, 11.5794) * CHOOSE(CONTROL!$C$21, $C$9, 100%, $E$9)</f>
        <v>11.5794</v>
      </c>
      <c r="F252" s="17">
        <f>CHOOSE(CONTROL!$C$42, 11.4714, 11.4714)*CHOOSE(CONTROL!$C$21, $C$9, 100%, $E$9)</f>
        <v>11.471399999999999</v>
      </c>
      <c r="G252" s="17">
        <f>CHOOSE(CONTROL!$C$42, 11.4891, 11.4891)*CHOOSE(CONTROL!$C$21, $C$9, 100%, $E$9)</f>
        <v>11.489100000000001</v>
      </c>
      <c r="H252" s="17">
        <f>CHOOSE(CONTROL!$C$42, 11.5686, 11.5686) * CHOOSE(CONTROL!$C$21, $C$9, 100%, $E$9)</f>
        <v>11.5686</v>
      </c>
      <c r="I252" s="17">
        <f>CHOOSE(CONTROL!$C$42, 11.501, 11.501)* CHOOSE(CONTROL!$C$21, $C$9, 100%, $E$9)</f>
        <v>11.500999999999999</v>
      </c>
      <c r="J252" s="17">
        <f>CHOOSE(CONTROL!$C$42, 11.4644, 11.4644)* CHOOSE(CONTROL!$C$21, $C$9, 100%, $E$9)</f>
        <v>11.464399999999999</v>
      </c>
      <c r="K252" s="52">
        <f>CHOOSE(CONTROL!$C$42, 11.4968, 11.4968) * CHOOSE(CONTROL!$C$21, $C$9, 100%, $E$9)</f>
        <v>11.4968</v>
      </c>
      <c r="L252" s="17">
        <f>CHOOSE(CONTROL!$C$42, 12.1556, 12.1556) * CHOOSE(CONTROL!$C$21, $C$9, 100%, $E$9)</f>
        <v>12.1556</v>
      </c>
      <c r="M252" s="17">
        <f>CHOOSE(CONTROL!$C$42, 11.2659, 11.2659) * CHOOSE(CONTROL!$C$21, $C$9, 100%, $E$9)</f>
        <v>11.2659</v>
      </c>
      <c r="N252" s="17">
        <f>CHOOSE(CONTROL!$C$42, 11.2833, 11.2833) * CHOOSE(CONTROL!$C$21, $C$9, 100%, $E$9)</f>
        <v>11.283300000000001</v>
      </c>
      <c r="O252" s="17">
        <f>CHOOSE(CONTROL!$C$42, 11.3682, 11.3682) * CHOOSE(CONTROL!$C$21, $C$9, 100%, $E$9)</f>
        <v>11.3682</v>
      </c>
      <c r="P252" s="17">
        <f>CHOOSE(CONTROL!$C$42, 11.3013, 11.3013) * CHOOSE(CONTROL!$C$21, $C$9, 100%, $E$9)</f>
        <v>11.301299999999999</v>
      </c>
      <c r="Q252" s="17">
        <f>CHOOSE(CONTROL!$C$42, 11.9629, 11.9629) * CHOOSE(CONTROL!$C$21, $C$9, 100%, $E$9)</f>
        <v>11.962899999999999</v>
      </c>
      <c r="R252" s="17">
        <f>CHOOSE(CONTROL!$C$42, 12.5798, 12.5798) * CHOOSE(CONTROL!$C$21, $C$9, 100%, $E$9)</f>
        <v>12.579800000000001</v>
      </c>
      <c r="S252" s="17">
        <f>CHOOSE(CONTROL!$C$42, 10.9891, 10.9891) * CHOOSE(CONTROL!$C$21, $C$9, 100%, $E$9)</f>
        <v>10.989100000000001</v>
      </c>
      <c r="T25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52" s="56">
        <f>(1000*CHOOSE(CONTROL!$C$42, 695, 695)*CHOOSE(CONTROL!$C$42, 0.5599, 0.5599)*CHOOSE(CONTROL!$C$42, 31, 31))/1000000</f>
        <v>12.063045499999998</v>
      </c>
      <c r="V252" s="56">
        <f>(1000*CHOOSE(CONTROL!$C$42, 500, 500)*CHOOSE(CONTROL!$C$42, 0.275, 0.275)*CHOOSE(CONTROL!$C$42, 31, 31))/1000000</f>
        <v>4.2625000000000002</v>
      </c>
      <c r="W252" s="56">
        <f>(1000*CHOOSE(CONTROL!$C$42, 0.1146, 0.1146)*CHOOSE(CONTROL!$C$42, 121.5, 121.5)*CHOOSE(CONTROL!$C$42, 31, 31))/1000000</f>
        <v>0.43164089999999994</v>
      </c>
      <c r="X252" s="56">
        <f>(31*0.2374*100000/1000000)</f>
        <v>0.73594000000000004</v>
      </c>
      <c r="Y252" s="56"/>
      <c r="Z252" s="17"/>
      <c r="AA252" s="55"/>
      <c r="AB252" s="48">
        <f>(B252*122.58+C252*297.941+D252*89.177+E252*140.302+F252*40+G252*60+H252*0+I252*100+J252*300)/(122.58+297.941+89.177+140.302+0+40+60+100+300)</f>
        <v>11.483718821913044</v>
      </c>
      <c r="AC252" s="45">
        <f>(M252*'RAP TEMPLATE-GAS AVAILABILITY'!O251+N252*'RAP TEMPLATE-GAS AVAILABILITY'!P251+O252*'RAP TEMPLATE-GAS AVAILABILITY'!Q251+P252*'RAP TEMPLATE-GAS AVAILABILITY'!R251)/('RAP TEMPLATE-GAS AVAILABILITY'!O251+'RAP TEMPLATE-GAS AVAILABILITY'!P251+'RAP TEMPLATE-GAS AVAILABILITY'!Q251+'RAP TEMPLATE-GAS AVAILABILITY'!R251)</f>
        <v>11.318361151079138</v>
      </c>
    </row>
    <row r="253" spans="1:29" ht="15.75" x14ac:dyDescent="0.25">
      <c r="A253" s="16">
        <v>48580</v>
      </c>
      <c r="B253" s="17">
        <f>CHOOSE(CONTROL!$C$42, 12.3932, 12.3932) * CHOOSE(CONTROL!$C$21, $C$9, 100%, $E$9)</f>
        <v>12.3932</v>
      </c>
      <c r="C253" s="17">
        <f>CHOOSE(CONTROL!$C$42, 12.3983, 12.3983) * CHOOSE(CONTROL!$C$21, $C$9, 100%, $E$9)</f>
        <v>12.398300000000001</v>
      </c>
      <c r="D253" s="17">
        <f>CHOOSE(CONTROL!$C$42, 12.5167, 12.5167) * CHOOSE(CONTROL!$C$21, $C$9, 100%, $E$9)</f>
        <v>12.5167</v>
      </c>
      <c r="E253" s="17">
        <f>CHOOSE(CONTROL!$C$42, 12.5508, 12.5508) * CHOOSE(CONTROL!$C$21, $C$9, 100%, $E$9)</f>
        <v>12.550800000000001</v>
      </c>
      <c r="F253" s="17">
        <f>CHOOSE(CONTROL!$C$42, 12.4136, 12.4136)*CHOOSE(CONTROL!$C$21, $C$9, 100%, $E$9)</f>
        <v>12.413600000000001</v>
      </c>
      <c r="G253" s="17">
        <f>CHOOSE(CONTROL!$C$42, 12.4304, 12.4304)*CHOOSE(CONTROL!$C$21, $C$9, 100%, $E$9)</f>
        <v>12.430400000000001</v>
      </c>
      <c r="H253" s="17">
        <f>CHOOSE(CONTROL!$C$42, 12.54, 12.54) * CHOOSE(CONTROL!$C$21, $C$9, 100%, $E$9)</f>
        <v>12.54</v>
      </c>
      <c r="I253" s="17">
        <f>CHOOSE(CONTROL!$C$42, 12.4556, 12.4556)* CHOOSE(CONTROL!$C$21, $C$9, 100%, $E$9)</f>
        <v>12.4556</v>
      </c>
      <c r="J253" s="17">
        <f>CHOOSE(CONTROL!$C$42, 12.4066, 12.4066)* CHOOSE(CONTROL!$C$21, $C$9, 100%, $E$9)</f>
        <v>12.406599999999999</v>
      </c>
      <c r="K253" s="52">
        <f>CHOOSE(CONTROL!$C$42, 12.4514, 12.4514) * CHOOSE(CONTROL!$C$21, $C$9, 100%, $E$9)</f>
        <v>12.4514</v>
      </c>
      <c r="L253" s="17">
        <f>CHOOSE(CONTROL!$C$42, 13.127, 13.127) * CHOOSE(CONTROL!$C$21, $C$9, 100%, $E$9)</f>
        <v>13.127000000000001</v>
      </c>
      <c r="M253" s="17">
        <f>CHOOSE(CONTROL!$C$42, 12.1911, 12.1911) * CHOOSE(CONTROL!$C$21, $C$9, 100%, $E$9)</f>
        <v>12.1911</v>
      </c>
      <c r="N253" s="17">
        <f>CHOOSE(CONTROL!$C$42, 12.2077, 12.2077) * CHOOSE(CONTROL!$C$21, $C$9, 100%, $E$9)</f>
        <v>12.207700000000001</v>
      </c>
      <c r="O253" s="17">
        <f>CHOOSE(CONTROL!$C$42, 12.3222, 12.3222) * CHOOSE(CONTROL!$C$21, $C$9, 100%, $E$9)</f>
        <v>12.3222</v>
      </c>
      <c r="P253" s="17">
        <f>CHOOSE(CONTROL!$C$42, 12.2387, 12.2387) * CHOOSE(CONTROL!$C$21, $C$9, 100%, $E$9)</f>
        <v>12.2387</v>
      </c>
      <c r="Q253" s="17">
        <f>CHOOSE(CONTROL!$C$42, 12.9169, 12.9169) * CHOOSE(CONTROL!$C$21, $C$9, 100%, $E$9)</f>
        <v>12.9169</v>
      </c>
      <c r="R253" s="17">
        <f>CHOOSE(CONTROL!$C$42, 13.5362, 13.5362) * CHOOSE(CONTROL!$C$21, $C$9, 100%, $E$9)</f>
        <v>13.536199999999999</v>
      </c>
      <c r="S253" s="17">
        <f>CHOOSE(CONTROL!$C$42, 11.9001, 11.9001) * CHOOSE(CONTROL!$C$21, $C$9, 100%, $E$9)</f>
        <v>11.9001</v>
      </c>
      <c r="T25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53" s="56">
        <f>(1000*CHOOSE(CONTROL!$C$42, 695, 695)*CHOOSE(CONTROL!$C$42, 0.5599, 0.5599)*CHOOSE(CONTROL!$C$42, 31, 31))/1000000</f>
        <v>12.063045499999998</v>
      </c>
      <c r="V253" s="56">
        <f>(1000*CHOOSE(CONTROL!$C$42, 500, 500)*CHOOSE(CONTROL!$C$42, 0.275, 0.275)*CHOOSE(CONTROL!$C$42, 31, 31))/1000000</f>
        <v>4.2625000000000002</v>
      </c>
      <c r="W253" s="56">
        <f>(1000*CHOOSE(CONTROL!$C$42, 0.1146, 0.1146)*CHOOSE(CONTROL!$C$42, 121.5, 121.5)*CHOOSE(CONTROL!$C$42, 31, 31))/1000000</f>
        <v>0.43164089999999994</v>
      </c>
      <c r="X253" s="56">
        <f>(31*0.2374*100000/1000000)</f>
        <v>0.73594000000000004</v>
      </c>
      <c r="Y253" s="56"/>
      <c r="Z253" s="17"/>
      <c r="AA253" s="55"/>
      <c r="AB253" s="48">
        <f>(B253*122.58+C253*297.941+D253*89.177+E253*140.302+F253*40+G253*60+H253*0+I253*100+J253*300)/(122.58+297.941+89.177+140.302+0+40+60+100+300)</f>
        <v>12.434897785913043</v>
      </c>
      <c r="AC253" s="45">
        <f>(M253*'RAP TEMPLATE-GAS AVAILABILITY'!O252+N253*'RAP TEMPLATE-GAS AVAILABILITY'!P252+O253*'RAP TEMPLATE-GAS AVAILABILITY'!Q252+P253*'RAP TEMPLATE-GAS AVAILABILITY'!R252)/('RAP TEMPLATE-GAS AVAILABILITY'!O252+'RAP TEMPLATE-GAS AVAILABILITY'!P252+'RAP TEMPLATE-GAS AVAILABILITY'!Q252+'RAP TEMPLATE-GAS AVAILABILITY'!R252)</f>
        <v>12.258323741007194</v>
      </c>
    </row>
    <row r="254" spans="1:29" ht="15.75" x14ac:dyDescent="0.25">
      <c r="A254" s="16">
        <v>48611</v>
      </c>
      <c r="B254" s="17">
        <f>CHOOSE(CONTROL!$C$42, 12.6137, 12.6137) * CHOOSE(CONTROL!$C$21, $C$9, 100%, $E$9)</f>
        <v>12.6137</v>
      </c>
      <c r="C254" s="17">
        <f>CHOOSE(CONTROL!$C$42, 12.6187, 12.6187) * CHOOSE(CONTROL!$C$21, $C$9, 100%, $E$9)</f>
        <v>12.6187</v>
      </c>
      <c r="D254" s="17">
        <f>CHOOSE(CONTROL!$C$42, 12.7372, 12.7372) * CHOOSE(CONTROL!$C$21, $C$9, 100%, $E$9)</f>
        <v>12.7372</v>
      </c>
      <c r="E254" s="17">
        <f>CHOOSE(CONTROL!$C$42, 12.7713, 12.7713) * CHOOSE(CONTROL!$C$21, $C$9, 100%, $E$9)</f>
        <v>12.7713</v>
      </c>
      <c r="F254" s="17">
        <f>CHOOSE(CONTROL!$C$42, 12.634, 12.634)*CHOOSE(CONTROL!$C$21, $C$9, 100%, $E$9)</f>
        <v>12.634</v>
      </c>
      <c r="G254" s="17">
        <f>CHOOSE(CONTROL!$C$42, 12.6508, 12.6508)*CHOOSE(CONTROL!$C$21, $C$9, 100%, $E$9)</f>
        <v>12.6508</v>
      </c>
      <c r="H254" s="17">
        <f>CHOOSE(CONTROL!$C$42, 12.7605, 12.7605) * CHOOSE(CONTROL!$C$21, $C$9, 100%, $E$9)</f>
        <v>12.7605</v>
      </c>
      <c r="I254" s="17">
        <f>CHOOSE(CONTROL!$C$42, 12.6768, 12.6768)* CHOOSE(CONTROL!$C$21, $C$9, 100%, $E$9)</f>
        <v>12.6768</v>
      </c>
      <c r="J254" s="17">
        <f>CHOOSE(CONTROL!$C$42, 12.627, 12.627)* CHOOSE(CONTROL!$C$21, $C$9, 100%, $E$9)</f>
        <v>12.627000000000001</v>
      </c>
      <c r="K254" s="52">
        <f>CHOOSE(CONTROL!$C$42, 12.6725, 12.6725) * CHOOSE(CONTROL!$C$21, $C$9, 100%, $E$9)</f>
        <v>12.672499999999999</v>
      </c>
      <c r="L254" s="17">
        <f>CHOOSE(CONTROL!$C$42, 13.3475, 13.3475) * CHOOSE(CONTROL!$C$21, $C$9, 100%, $E$9)</f>
        <v>13.3475</v>
      </c>
      <c r="M254" s="17">
        <f>CHOOSE(CONTROL!$C$42, 12.4076, 12.4076) * CHOOSE(CONTROL!$C$21, $C$9, 100%, $E$9)</f>
        <v>12.4076</v>
      </c>
      <c r="N254" s="17">
        <f>CHOOSE(CONTROL!$C$42, 12.4241, 12.4241) * CHOOSE(CONTROL!$C$21, $C$9, 100%, $E$9)</f>
        <v>12.424099999999999</v>
      </c>
      <c r="O254" s="17">
        <f>CHOOSE(CONTROL!$C$42, 12.5386, 12.5386) * CHOOSE(CONTROL!$C$21, $C$9, 100%, $E$9)</f>
        <v>12.538600000000001</v>
      </c>
      <c r="P254" s="17">
        <f>CHOOSE(CONTROL!$C$42, 12.4558, 12.4558) * CHOOSE(CONTROL!$C$21, $C$9, 100%, $E$9)</f>
        <v>12.4558</v>
      </c>
      <c r="Q254" s="17">
        <f>CHOOSE(CONTROL!$C$42, 13.1333, 13.1333) * CHOOSE(CONTROL!$C$21, $C$9, 100%, $E$9)</f>
        <v>13.1333</v>
      </c>
      <c r="R254" s="17">
        <f>CHOOSE(CONTROL!$C$42, 13.7532, 13.7532) * CHOOSE(CONTROL!$C$21, $C$9, 100%, $E$9)</f>
        <v>13.7532</v>
      </c>
      <c r="S254" s="17">
        <f>CHOOSE(CONTROL!$C$42, 12.1119, 12.1119) * CHOOSE(CONTROL!$C$21, $C$9, 100%, $E$9)</f>
        <v>12.1119</v>
      </c>
      <c r="T25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54" s="56">
        <f>(1000*CHOOSE(CONTROL!$C$42, 695, 695)*CHOOSE(CONTROL!$C$42, 0.5599, 0.5599)*CHOOSE(CONTROL!$C$42, 28, 28))/1000000</f>
        <v>10.895653999999999</v>
      </c>
      <c r="V254" s="56">
        <f>(1000*CHOOSE(CONTROL!$C$42, 500, 500)*CHOOSE(CONTROL!$C$42, 0.275, 0.275)*CHOOSE(CONTROL!$C$42, 28, 28))/1000000</f>
        <v>3.85</v>
      </c>
      <c r="W254" s="56">
        <f>(1000*CHOOSE(CONTROL!$C$42, 0.1146, 0.1146)*CHOOSE(CONTROL!$C$42, 121.5, 121.5)*CHOOSE(CONTROL!$C$42, 28, 28))/1000000</f>
        <v>0.38986920000000003</v>
      </c>
      <c r="X254" s="56">
        <f>(28*0.2374*100000/1000000)</f>
        <v>0.66471999999999998</v>
      </c>
      <c r="Y254" s="56"/>
      <c r="Z254" s="17"/>
      <c r="AA254" s="55"/>
      <c r="AB254" s="48">
        <f>(B254*122.58+C254*297.941+D254*89.177+E254*140.302+F254*40+G254*60+H254*0+I254*100+J254*300)/(122.58+297.941+89.177+140.302+0+40+60+100+300)</f>
        <v>12.655397964956522</v>
      </c>
      <c r="AC254" s="45">
        <f>(M254*'RAP TEMPLATE-GAS AVAILABILITY'!O253+N254*'RAP TEMPLATE-GAS AVAILABILITY'!P253+O254*'RAP TEMPLATE-GAS AVAILABILITY'!Q253+P254*'RAP TEMPLATE-GAS AVAILABILITY'!R253)/('RAP TEMPLATE-GAS AVAILABILITY'!O253+'RAP TEMPLATE-GAS AVAILABILITY'!P253+'RAP TEMPLATE-GAS AVAILABILITY'!Q253+'RAP TEMPLATE-GAS AVAILABILITY'!R253)</f>
        <v>12.474858992805755</v>
      </c>
    </row>
    <row r="255" spans="1:29" ht="15.75" x14ac:dyDescent="0.25">
      <c r="A255" s="16">
        <v>48639</v>
      </c>
      <c r="B255" s="17">
        <f>CHOOSE(CONTROL!$C$42, 12.2558, 12.2558) * CHOOSE(CONTROL!$C$21, $C$9, 100%, $E$9)</f>
        <v>12.255800000000001</v>
      </c>
      <c r="C255" s="17">
        <f>CHOOSE(CONTROL!$C$42, 12.2609, 12.2609) * CHOOSE(CONTROL!$C$21, $C$9, 100%, $E$9)</f>
        <v>12.260899999999999</v>
      </c>
      <c r="D255" s="17">
        <f>CHOOSE(CONTROL!$C$42, 12.3793, 12.3793) * CHOOSE(CONTROL!$C$21, $C$9, 100%, $E$9)</f>
        <v>12.379300000000001</v>
      </c>
      <c r="E255" s="17">
        <f>CHOOSE(CONTROL!$C$42, 12.4134, 12.4134) * CHOOSE(CONTROL!$C$21, $C$9, 100%, $E$9)</f>
        <v>12.413399999999999</v>
      </c>
      <c r="F255" s="17">
        <f>CHOOSE(CONTROL!$C$42, 12.2755, 12.2755)*CHOOSE(CONTROL!$C$21, $C$9, 100%, $E$9)</f>
        <v>12.275499999999999</v>
      </c>
      <c r="G255" s="17">
        <f>CHOOSE(CONTROL!$C$42, 12.2922, 12.2922)*CHOOSE(CONTROL!$C$21, $C$9, 100%, $E$9)</f>
        <v>12.292199999999999</v>
      </c>
      <c r="H255" s="17">
        <f>CHOOSE(CONTROL!$C$42, 12.4026, 12.4026) * CHOOSE(CONTROL!$C$21, $C$9, 100%, $E$9)</f>
        <v>12.4026</v>
      </c>
      <c r="I255" s="17">
        <f>CHOOSE(CONTROL!$C$42, 12.3178, 12.3178)* CHOOSE(CONTROL!$C$21, $C$9, 100%, $E$9)</f>
        <v>12.3178</v>
      </c>
      <c r="J255" s="17">
        <f>CHOOSE(CONTROL!$C$42, 12.2685, 12.2685)* CHOOSE(CONTROL!$C$21, $C$9, 100%, $E$9)</f>
        <v>12.2685</v>
      </c>
      <c r="K255" s="52">
        <f>CHOOSE(CONTROL!$C$42, 12.3136, 12.3136) * CHOOSE(CONTROL!$C$21, $C$9, 100%, $E$9)</f>
        <v>12.313599999999999</v>
      </c>
      <c r="L255" s="17">
        <f>CHOOSE(CONTROL!$C$42, 12.9896, 12.9896) * CHOOSE(CONTROL!$C$21, $C$9, 100%, $E$9)</f>
        <v>12.989599999999999</v>
      </c>
      <c r="M255" s="17">
        <f>CHOOSE(CONTROL!$C$42, 12.0555, 12.0555) * CHOOSE(CONTROL!$C$21, $C$9, 100%, $E$9)</f>
        <v>12.0555</v>
      </c>
      <c r="N255" s="17">
        <f>CHOOSE(CONTROL!$C$42, 12.0719, 12.0719) * CHOOSE(CONTROL!$C$21, $C$9, 100%, $E$9)</f>
        <v>12.071899999999999</v>
      </c>
      <c r="O255" s="17">
        <f>CHOOSE(CONTROL!$C$42, 12.1872, 12.1872) * CHOOSE(CONTROL!$C$21, $C$9, 100%, $E$9)</f>
        <v>12.187200000000001</v>
      </c>
      <c r="P255" s="17">
        <f>CHOOSE(CONTROL!$C$42, 12.1033, 12.1033) * CHOOSE(CONTROL!$C$21, $C$9, 100%, $E$9)</f>
        <v>12.103300000000001</v>
      </c>
      <c r="Q255" s="17">
        <f>CHOOSE(CONTROL!$C$42, 12.7819, 12.7819) * CHOOSE(CONTROL!$C$21, $C$9, 100%, $E$9)</f>
        <v>12.7819</v>
      </c>
      <c r="R255" s="17">
        <f>CHOOSE(CONTROL!$C$42, 13.4009, 13.4009) * CHOOSE(CONTROL!$C$21, $C$9, 100%, $E$9)</f>
        <v>13.4009</v>
      </c>
      <c r="S255" s="17">
        <f>CHOOSE(CONTROL!$C$42, 11.7681, 11.7681) * CHOOSE(CONTROL!$C$21, $C$9, 100%, $E$9)</f>
        <v>11.7681</v>
      </c>
      <c r="T25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55" s="56">
        <f>(1000*CHOOSE(CONTROL!$C$42, 695, 695)*CHOOSE(CONTROL!$C$42, 0.5599, 0.5599)*CHOOSE(CONTROL!$C$42, 31, 31))/1000000</f>
        <v>12.063045499999998</v>
      </c>
      <c r="V255" s="56">
        <f>(1000*CHOOSE(CONTROL!$C$42, 500, 500)*CHOOSE(CONTROL!$C$42, 0.275, 0.275)*CHOOSE(CONTROL!$C$42, 31, 31))/1000000</f>
        <v>4.2625000000000002</v>
      </c>
      <c r="W255" s="56">
        <f>(1000*CHOOSE(CONTROL!$C$42, 0.1146, 0.1146)*CHOOSE(CONTROL!$C$42, 121.5, 121.5)*CHOOSE(CONTROL!$C$42, 31, 31))/1000000</f>
        <v>0.43164089999999994</v>
      </c>
      <c r="X255" s="56">
        <f>(31*0.2374*100000/1000000)</f>
        <v>0.73594000000000004</v>
      </c>
      <c r="Y255" s="56"/>
      <c r="Z255" s="17"/>
      <c r="AA255" s="55"/>
      <c r="AB255" s="48">
        <f>(B255*122.58+C255*297.941+D255*89.177+E255*140.302+F255*40+G255*60+H255*0+I255*100+J255*300)/(122.58+297.941+89.177+140.302+0+40+60+100+300)</f>
        <v>12.297214307652174</v>
      </c>
      <c r="AC255" s="45">
        <f>(M255*'RAP TEMPLATE-GAS AVAILABILITY'!O254+N255*'RAP TEMPLATE-GAS AVAILABILITY'!P254+O255*'RAP TEMPLATE-GAS AVAILABILITY'!Q254+P255*'RAP TEMPLATE-GAS AVAILABILITY'!R254)/('RAP TEMPLATE-GAS AVAILABILITY'!O254+'RAP TEMPLATE-GAS AVAILABILITY'!P254+'RAP TEMPLATE-GAS AVAILABILITY'!Q254+'RAP TEMPLATE-GAS AVAILABILITY'!R254)</f>
        <v>12.123012949640289</v>
      </c>
    </row>
    <row r="256" spans="1:29" ht="15.75" x14ac:dyDescent="0.25">
      <c r="A256" s="16">
        <v>48670</v>
      </c>
      <c r="B256" s="17">
        <f>CHOOSE(CONTROL!$C$42, 12.2202, 12.2202) * CHOOSE(CONTROL!$C$21, $C$9, 100%, $E$9)</f>
        <v>12.2202</v>
      </c>
      <c r="C256" s="17">
        <f>CHOOSE(CONTROL!$C$42, 12.2246, 12.2246) * CHOOSE(CONTROL!$C$21, $C$9, 100%, $E$9)</f>
        <v>12.224600000000001</v>
      </c>
      <c r="D256" s="17">
        <f>CHOOSE(CONTROL!$C$42, 12.4988, 12.4988) * CHOOSE(CONTROL!$C$21, $C$9, 100%, $E$9)</f>
        <v>12.498799999999999</v>
      </c>
      <c r="E256" s="17">
        <f>CHOOSE(CONTROL!$C$42, 12.531, 12.531) * CHOOSE(CONTROL!$C$21, $C$9, 100%, $E$9)</f>
        <v>12.531000000000001</v>
      </c>
      <c r="F256" s="17">
        <f>CHOOSE(CONTROL!$C$42, 12.2395, 12.2395)*CHOOSE(CONTROL!$C$21, $C$9, 100%, $E$9)</f>
        <v>12.2395</v>
      </c>
      <c r="G256" s="17">
        <f>CHOOSE(CONTROL!$C$42, 12.2558, 12.2558)*CHOOSE(CONTROL!$C$21, $C$9, 100%, $E$9)</f>
        <v>12.255800000000001</v>
      </c>
      <c r="H256" s="17">
        <f>CHOOSE(CONTROL!$C$42, 12.5207, 12.5207) * CHOOSE(CONTROL!$C$21, $C$9, 100%, $E$9)</f>
        <v>12.5207</v>
      </c>
      <c r="I256" s="17">
        <f>CHOOSE(CONTROL!$C$42, 12.2797, 12.2797)* CHOOSE(CONTROL!$C$21, $C$9, 100%, $E$9)</f>
        <v>12.2797</v>
      </c>
      <c r="J256" s="17">
        <f>CHOOSE(CONTROL!$C$42, 12.2325, 12.2325)* CHOOSE(CONTROL!$C$21, $C$9, 100%, $E$9)</f>
        <v>12.2325</v>
      </c>
      <c r="K256" s="52">
        <f>CHOOSE(CONTROL!$C$42, 12.2755, 12.2755) * CHOOSE(CONTROL!$C$21, $C$9, 100%, $E$9)</f>
        <v>12.275499999999999</v>
      </c>
      <c r="L256" s="17">
        <f>CHOOSE(CONTROL!$C$42, 13.1077, 13.1077) * CHOOSE(CONTROL!$C$21, $C$9, 100%, $E$9)</f>
        <v>13.107699999999999</v>
      </c>
      <c r="M256" s="17">
        <f>CHOOSE(CONTROL!$C$42, 12.0201, 12.0201) * CHOOSE(CONTROL!$C$21, $C$9, 100%, $E$9)</f>
        <v>12.020099999999999</v>
      </c>
      <c r="N256" s="17">
        <f>CHOOSE(CONTROL!$C$42, 12.0362, 12.0362) * CHOOSE(CONTROL!$C$21, $C$9, 100%, $E$9)</f>
        <v>12.036199999999999</v>
      </c>
      <c r="O256" s="17">
        <f>CHOOSE(CONTROL!$C$42, 12.3032, 12.3032) * CHOOSE(CONTROL!$C$21, $C$9, 100%, $E$9)</f>
        <v>12.3032</v>
      </c>
      <c r="P256" s="17">
        <f>CHOOSE(CONTROL!$C$42, 12.0659, 12.0659) * CHOOSE(CONTROL!$C$21, $C$9, 100%, $E$9)</f>
        <v>12.065899999999999</v>
      </c>
      <c r="Q256" s="17">
        <f>CHOOSE(CONTROL!$C$42, 12.8979, 12.8979) * CHOOSE(CONTROL!$C$21, $C$9, 100%, $E$9)</f>
        <v>12.8979</v>
      </c>
      <c r="R256" s="17">
        <f>CHOOSE(CONTROL!$C$42, 13.5172, 13.5172) * CHOOSE(CONTROL!$C$21, $C$9, 100%, $E$9)</f>
        <v>13.517200000000001</v>
      </c>
      <c r="S256" s="17">
        <f>CHOOSE(CONTROL!$C$42, 11.7331, 11.7331) * CHOOSE(CONTROL!$C$21, $C$9, 100%, $E$9)</f>
        <v>11.7331</v>
      </c>
      <c r="T25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56" s="56">
        <f>(1000*CHOOSE(CONTROL!$C$42, 695, 695)*CHOOSE(CONTROL!$C$42, 0.5599, 0.5599)*CHOOSE(CONTROL!$C$42, 30, 30))/1000000</f>
        <v>11.673914999999997</v>
      </c>
      <c r="V256" s="56">
        <f>(1000*CHOOSE(CONTROL!$C$42, 500, 500)*CHOOSE(CONTROL!$C$42, 0.275, 0.275)*CHOOSE(CONTROL!$C$42, 30, 30))/1000000</f>
        <v>4.125</v>
      </c>
      <c r="W256" s="56">
        <f>(1000*CHOOSE(CONTROL!$C$42, 0.1146, 0.1146)*CHOOSE(CONTROL!$C$42, 121.5, 121.5)*CHOOSE(CONTROL!$C$42, 30, 30))/1000000</f>
        <v>0.417717</v>
      </c>
      <c r="X256" s="56">
        <f>(30*0.1790888*145000/1000000)+(30*0.2374*100000/1000000)</f>
        <v>1.4912362799999999</v>
      </c>
      <c r="Y256" s="56"/>
      <c r="Z256" s="17"/>
      <c r="AA256" s="55"/>
      <c r="AB256" s="48">
        <f>(B256*141.293+C256*267.993+D256*115.016+E256*189.698+F256*40+G256*85+H256*0+I256*100+J256*300)/(141.293+267.993+115.016+189.698+0+40+85+100+300)</f>
        <v>12.305445169652947</v>
      </c>
      <c r="AC256" s="45">
        <f>(M256*'RAP TEMPLATE-GAS AVAILABILITY'!O255+N256*'RAP TEMPLATE-GAS AVAILABILITY'!P255+O256*'RAP TEMPLATE-GAS AVAILABILITY'!Q255+P256*'RAP TEMPLATE-GAS AVAILABILITY'!R255)/('RAP TEMPLATE-GAS AVAILABILITY'!O255+'RAP TEMPLATE-GAS AVAILABILITY'!P255+'RAP TEMPLATE-GAS AVAILABILITY'!Q255+'RAP TEMPLATE-GAS AVAILABILITY'!R255)</f>
        <v>12.109827338129497</v>
      </c>
    </row>
    <row r="257" spans="1:29" ht="15.75" x14ac:dyDescent="0.25">
      <c r="A257" s="16">
        <v>48700</v>
      </c>
      <c r="B257" s="17">
        <f>CHOOSE(CONTROL!$C$42, 12.3293, 12.3293) * CHOOSE(CONTROL!$C$21, $C$9, 100%, $E$9)</f>
        <v>12.3293</v>
      </c>
      <c r="C257" s="17">
        <f>CHOOSE(CONTROL!$C$42, 12.3373, 12.3373) * CHOOSE(CONTROL!$C$21, $C$9, 100%, $E$9)</f>
        <v>12.337300000000001</v>
      </c>
      <c r="D257" s="17">
        <f>CHOOSE(CONTROL!$C$42, 12.6084, 12.6084) * CHOOSE(CONTROL!$C$21, $C$9, 100%, $E$9)</f>
        <v>12.6084</v>
      </c>
      <c r="E257" s="17">
        <f>CHOOSE(CONTROL!$C$42, 12.6399, 12.6399) * CHOOSE(CONTROL!$C$21, $C$9, 100%, $E$9)</f>
        <v>12.639900000000001</v>
      </c>
      <c r="F257" s="17">
        <f>CHOOSE(CONTROL!$C$42, 12.3475, 12.3475)*CHOOSE(CONTROL!$C$21, $C$9, 100%, $E$9)</f>
        <v>12.3475</v>
      </c>
      <c r="G257" s="17">
        <f>CHOOSE(CONTROL!$C$42, 12.3641, 12.3641)*CHOOSE(CONTROL!$C$21, $C$9, 100%, $E$9)</f>
        <v>12.364100000000001</v>
      </c>
      <c r="H257" s="17">
        <f>CHOOSE(CONTROL!$C$42, 12.6285, 12.6285) * CHOOSE(CONTROL!$C$21, $C$9, 100%, $E$9)</f>
        <v>12.628500000000001</v>
      </c>
      <c r="I257" s="17">
        <f>CHOOSE(CONTROL!$C$42, 12.3878, 12.3878)* CHOOSE(CONTROL!$C$21, $C$9, 100%, $E$9)</f>
        <v>12.3878</v>
      </c>
      <c r="J257" s="17">
        <f>CHOOSE(CONTROL!$C$42, 12.3405, 12.3405)* CHOOSE(CONTROL!$C$21, $C$9, 100%, $E$9)</f>
        <v>12.3405</v>
      </c>
      <c r="K257" s="52">
        <f>CHOOSE(CONTROL!$C$42, 12.3836, 12.3836) * CHOOSE(CONTROL!$C$21, $C$9, 100%, $E$9)</f>
        <v>12.383599999999999</v>
      </c>
      <c r="L257" s="17">
        <f>CHOOSE(CONTROL!$C$42, 13.2155, 13.2155) * CHOOSE(CONTROL!$C$21, $C$9, 100%, $E$9)</f>
        <v>13.2155</v>
      </c>
      <c r="M257" s="17">
        <f>CHOOSE(CONTROL!$C$42, 12.1262, 12.1262) * CHOOSE(CONTROL!$C$21, $C$9, 100%, $E$9)</f>
        <v>12.126200000000001</v>
      </c>
      <c r="N257" s="17">
        <f>CHOOSE(CONTROL!$C$42, 12.1425, 12.1425) * CHOOSE(CONTROL!$C$21, $C$9, 100%, $E$9)</f>
        <v>12.1425</v>
      </c>
      <c r="O257" s="17">
        <f>CHOOSE(CONTROL!$C$42, 12.409, 12.409) * CHOOSE(CONTROL!$C$21, $C$9, 100%, $E$9)</f>
        <v>12.409000000000001</v>
      </c>
      <c r="P257" s="17">
        <f>CHOOSE(CONTROL!$C$42, 12.1721, 12.1721) * CHOOSE(CONTROL!$C$21, $C$9, 100%, $E$9)</f>
        <v>12.1721</v>
      </c>
      <c r="Q257" s="17">
        <f>CHOOSE(CONTROL!$C$42, 13.0037, 13.0037) * CHOOSE(CONTROL!$C$21, $C$9, 100%, $E$9)</f>
        <v>13.0037</v>
      </c>
      <c r="R257" s="17">
        <f>CHOOSE(CONTROL!$C$42, 13.6233, 13.6233) * CHOOSE(CONTROL!$C$21, $C$9, 100%, $E$9)</f>
        <v>13.6233</v>
      </c>
      <c r="S257" s="17">
        <f>CHOOSE(CONTROL!$C$42, 11.8366, 11.8366) * CHOOSE(CONTROL!$C$21, $C$9, 100%, $E$9)</f>
        <v>11.836600000000001</v>
      </c>
      <c r="T25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57" s="56">
        <f>(1000*CHOOSE(CONTROL!$C$42, 695, 695)*CHOOSE(CONTROL!$C$42, 0.5599, 0.5599)*CHOOSE(CONTROL!$C$42, 31, 31))/1000000</f>
        <v>12.063045499999998</v>
      </c>
      <c r="V257" s="56">
        <f>(1000*CHOOSE(CONTROL!$C$42, 500, 500)*CHOOSE(CONTROL!$C$42, 0.275, 0.275)*CHOOSE(CONTROL!$C$42, 31, 31))/1000000</f>
        <v>4.2625000000000002</v>
      </c>
      <c r="W257" s="56">
        <f>(1000*CHOOSE(CONTROL!$C$42, 0.1146, 0.1146)*CHOOSE(CONTROL!$C$42, 121.5, 121.5)*CHOOSE(CONTROL!$C$42, 31, 31))/1000000</f>
        <v>0.43164089999999994</v>
      </c>
      <c r="X257" s="56">
        <f>(31*0.1790888*145000/1000000)+(31*0.2374*100000/1000000)</f>
        <v>1.5409441560000001</v>
      </c>
      <c r="Y257" s="56"/>
      <c r="Z257" s="17"/>
      <c r="AA257" s="55"/>
      <c r="AB257" s="48">
        <f>(B257*194.205+C257*267.466+D257*133.845+E257*153.484+F257*40+G257*85+H257*0+I257*100+J257*300)/(194.205+267.466+133.845+153.484+0+40+85+100+300)</f>
        <v>12.407843169466249</v>
      </c>
      <c r="AC257" s="45">
        <f>(M257*'RAP TEMPLATE-GAS AVAILABILITY'!O256+N257*'RAP TEMPLATE-GAS AVAILABILITY'!P256+O257*'RAP TEMPLATE-GAS AVAILABILITY'!Q256+P257*'RAP TEMPLATE-GAS AVAILABILITY'!R256)/('RAP TEMPLATE-GAS AVAILABILITY'!O256+'RAP TEMPLATE-GAS AVAILABILITY'!P256+'RAP TEMPLATE-GAS AVAILABILITY'!Q256+'RAP TEMPLATE-GAS AVAILABILITY'!R256)</f>
        <v>12.215903597122303</v>
      </c>
    </row>
    <row r="258" spans="1:29" ht="15.75" x14ac:dyDescent="0.25">
      <c r="A258" s="16">
        <v>48731</v>
      </c>
      <c r="B258" s="17">
        <f>CHOOSE(CONTROL!$C$42, 12.6787, 12.6787) * CHOOSE(CONTROL!$C$21, $C$9, 100%, $E$9)</f>
        <v>12.678699999999999</v>
      </c>
      <c r="C258" s="17">
        <f>CHOOSE(CONTROL!$C$42, 12.6867, 12.6867) * CHOOSE(CONTROL!$C$21, $C$9, 100%, $E$9)</f>
        <v>12.6867</v>
      </c>
      <c r="D258" s="17">
        <f>CHOOSE(CONTROL!$C$42, 12.9578, 12.9578) * CHOOSE(CONTROL!$C$21, $C$9, 100%, $E$9)</f>
        <v>12.957800000000001</v>
      </c>
      <c r="E258" s="17">
        <f>CHOOSE(CONTROL!$C$42, 12.9893, 12.9893) * CHOOSE(CONTROL!$C$21, $C$9, 100%, $E$9)</f>
        <v>12.9893</v>
      </c>
      <c r="F258" s="17">
        <f>CHOOSE(CONTROL!$C$42, 12.6972, 12.6972)*CHOOSE(CONTROL!$C$21, $C$9, 100%, $E$9)</f>
        <v>12.6972</v>
      </c>
      <c r="G258" s="17">
        <f>CHOOSE(CONTROL!$C$42, 12.7139, 12.7139)*CHOOSE(CONTROL!$C$21, $C$9, 100%, $E$9)</f>
        <v>12.713900000000001</v>
      </c>
      <c r="H258" s="17">
        <f>CHOOSE(CONTROL!$C$42, 12.9779, 12.9779) * CHOOSE(CONTROL!$C$21, $C$9, 100%, $E$9)</f>
        <v>12.9779</v>
      </c>
      <c r="I258" s="17">
        <f>CHOOSE(CONTROL!$C$42, 12.7383, 12.7383)* CHOOSE(CONTROL!$C$21, $C$9, 100%, $E$9)</f>
        <v>12.738300000000001</v>
      </c>
      <c r="J258" s="17">
        <f>CHOOSE(CONTROL!$C$42, 12.6902, 12.6902)* CHOOSE(CONTROL!$C$21, $C$9, 100%, $E$9)</f>
        <v>12.690200000000001</v>
      </c>
      <c r="K258" s="52">
        <f>CHOOSE(CONTROL!$C$42, 12.7341, 12.7341) * CHOOSE(CONTROL!$C$21, $C$9, 100%, $E$9)</f>
        <v>12.7341</v>
      </c>
      <c r="L258" s="17">
        <f>CHOOSE(CONTROL!$C$42, 13.5649, 13.5649) * CHOOSE(CONTROL!$C$21, $C$9, 100%, $E$9)</f>
        <v>13.5649</v>
      </c>
      <c r="M258" s="17">
        <f>CHOOSE(CONTROL!$C$42, 12.4696, 12.4696) * CHOOSE(CONTROL!$C$21, $C$9, 100%, $E$9)</f>
        <v>12.4696</v>
      </c>
      <c r="N258" s="17">
        <f>CHOOSE(CONTROL!$C$42, 12.486, 12.486) * CHOOSE(CONTROL!$C$21, $C$9, 100%, $E$9)</f>
        <v>12.486000000000001</v>
      </c>
      <c r="O258" s="17">
        <f>CHOOSE(CONTROL!$C$42, 12.7522, 12.7522) * CHOOSE(CONTROL!$C$21, $C$9, 100%, $E$9)</f>
        <v>12.7522</v>
      </c>
      <c r="P258" s="17">
        <f>CHOOSE(CONTROL!$C$42, 12.5162, 12.5162) * CHOOSE(CONTROL!$C$21, $C$9, 100%, $E$9)</f>
        <v>12.5162</v>
      </c>
      <c r="Q258" s="17">
        <f>CHOOSE(CONTROL!$C$42, 13.3469, 13.3469) * CHOOSE(CONTROL!$C$21, $C$9, 100%, $E$9)</f>
        <v>13.3469</v>
      </c>
      <c r="R258" s="17">
        <f>CHOOSE(CONTROL!$C$42, 13.9672, 13.9672) * CHOOSE(CONTROL!$C$21, $C$9, 100%, $E$9)</f>
        <v>13.9672</v>
      </c>
      <c r="S258" s="17">
        <f>CHOOSE(CONTROL!$C$42, 12.1723, 12.1723) * CHOOSE(CONTROL!$C$21, $C$9, 100%, $E$9)</f>
        <v>12.1723</v>
      </c>
      <c r="T25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58" s="56">
        <f>(1000*CHOOSE(CONTROL!$C$42, 695, 695)*CHOOSE(CONTROL!$C$42, 0.5599, 0.5599)*CHOOSE(CONTROL!$C$42, 30, 30))/1000000</f>
        <v>11.673914999999997</v>
      </c>
      <c r="V258" s="56">
        <f>(1000*CHOOSE(CONTROL!$C$42, 500, 500)*CHOOSE(CONTROL!$C$42, 0.275, 0.275)*CHOOSE(CONTROL!$C$42, 30, 30))/1000000</f>
        <v>4.125</v>
      </c>
      <c r="W258" s="56">
        <f>(1000*CHOOSE(CONTROL!$C$42, 0.1146, 0.1146)*CHOOSE(CONTROL!$C$42, 121.5, 121.5)*CHOOSE(CONTROL!$C$42, 30, 30))/1000000</f>
        <v>0.417717</v>
      </c>
      <c r="X258" s="56">
        <f>(30*0.1790888*145000/1000000)+(30*0.2374*100000/1000000)</f>
        <v>1.4912362799999999</v>
      </c>
      <c r="Y258" s="56"/>
      <c r="Z258" s="17"/>
      <c r="AA258" s="55"/>
      <c r="AB258" s="48">
        <f>(B258*194.205+C258*267.466+D258*133.845+E258*153.484+F258*40+G258*85+H258*0+I258*100+J258*300)/(194.205+267.466+133.845+153.484+0+40+85+100+300)</f>
        <v>12.757436262087914</v>
      </c>
      <c r="AC258" s="45">
        <f>(M258*'RAP TEMPLATE-GAS AVAILABILITY'!O257+N258*'RAP TEMPLATE-GAS AVAILABILITY'!P257+O258*'RAP TEMPLATE-GAS AVAILABILITY'!Q257+P258*'RAP TEMPLATE-GAS AVAILABILITY'!R257)/('RAP TEMPLATE-GAS AVAILABILITY'!O257+'RAP TEMPLATE-GAS AVAILABILITY'!P257+'RAP TEMPLATE-GAS AVAILABILITY'!Q257+'RAP TEMPLATE-GAS AVAILABILITY'!R257)</f>
        <v>12.559371223021582</v>
      </c>
    </row>
    <row r="259" spans="1:29" ht="15.75" x14ac:dyDescent="0.25">
      <c r="A259" s="16">
        <v>48761</v>
      </c>
      <c r="B259" s="17">
        <f>CHOOSE(CONTROL!$C$42, 12.4357, 12.4357) * CHOOSE(CONTROL!$C$21, $C$9, 100%, $E$9)</f>
        <v>12.435700000000001</v>
      </c>
      <c r="C259" s="17">
        <f>CHOOSE(CONTROL!$C$42, 12.4437, 12.4437) * CHOOSE(CONTROL!$C$21, $C$9, 100%, $E$9)</f>
        <v>12.4437</v>
      </c>
      <c r="D259" s="17">
        <f>CHOOSE(CONTROL!$C$42, 12.7148, 12.7148) * CHOOSE(CONTROL!$C$21, $C$9, 100%, $E$9)</f>
        <v>12.7148</v>
      </c>
      <c r="E259" s="17">
        <f>CHOOSE(CONTROL!$C$42, 12.7463, 12.7463) * CHOOSE(CONTROL!$C$21, $C$9, 100%, $E$9)</f>
        <v>12.7463</v>
      </c>
      <c r="F259" s="17">
        <f>CHOOSE(CONTROL!$C$42, 12.4546, 12.4546)*CHOOSE(CONTROL!$C$21, $C$9, 100%, $E$9)</f>
        <v>12.454599999999999</v>
      </c>
      <c r="G259" s="17">
        <f>CHOOSE(CONTROL!$C$42, 12.4714, 12.4714)*CHOOSE(CONTROL!$C$21, $C$9, 100%, $E$9)</f>
        <v>12.471399999999999</v>
      </c>
      <c r="H259" s="17">
        <f>CHOOSE(CONTROL!$C$42, 12.7349, 12.7349) * CHOOSE(CONTROL!$C$21, $C$9, 100%, $E$9)</f>
        <v>12.7349</v>
      </c>
      <c r="I259" s="17">
        <f>CHOOSE(CONTROL!$C$42, 12.4945, 12.4945)* CHOOSE(CONTROL!$C$21, $C$9, 100%, $E$9)</f>
        <v>12.4945</v>
      </c>
      <c r="J259" s="17">
        <f>CHOOSE(CONTROL!$C$42, 12.4476, 12.4476)* CHOOSE(CONTROL!$C$21, $C$9, 100%, $E$9)</f>
        <v>12.4476</v>
      </c>
      <c r="K259" s="52">
        <f>CHOOSE(CONTROL!$C$42, 12.4903, 12.4903) * CHOOSE(CONTROL!$C$21, $C$9, 100%, $E$9)</f>
        <v>12.4903</v>
      </c>
      <c r="L259" s="17">
        <f>CHOOSE(CONTROL!$C$42, 13.3219, 13.3219) * CHOOSE(CONTROL!$C$21, $C$9, 100%, $E$9)</f>
        <v>13.321899999999999</v>
      </c>
      <c r="M259" s="17">
        <f>CHOOSE(CONTROL!$C$42, 12.2314, 12.2314) * CHOOSE(CONTROL!$C$21, $C$9, 100%, $E$9)</f>
        <v>12.231400000000001</v>
      </c>
      <c r="N259" s="17">
        <f>CHOOSE(CONTROL!$C$42, 12.2479, 12.2479) * CHOOSE(CONTROL!$C$21, $C$9, 100%, $E$9)</f>
        <v>12.2479</v>
      </c>
      <c r="O259" s="17">
        <f>CHOOSE(CONTROL!$C$42, 12.5135, 12.5135) * CHOOSE(CONTROL!$C$21, $C$9, 100%, $E$9)</f>
        <v>12.513500000000001</v>
      </c>
      <c r="P259" s="17">
        <f>CHOOSE(CONTROL!$C$42, 12.2769, 12.2769) * CHOOSE(CONTROL!$C$21, $C$9, 100%, $E$9)</f>
        <v>12.276899999999999</v>
      </c>
      <c r="Q259" s="17">
        <f>CHOOSE(CONTROL!$C$42, 13.1082, 13.1082) * CHOOSE(CONTROL!$C$21, $C$9, 100%, $E$9)</f>
        <v>13.1082</v>
      </c>
      <c r="R259" s="17">
        <f>CHOOSE(CONTROL!$C$42, 13.728, 13.728) * CHOOSE(CONTROL!$C$21, $C$9, 100%, $E$9)</f>
        <v>13.728</v>
      </c>
      <c r="S259" s="17">
        <f>CHOOSE(CONTROL!$C$42, 11.9388, 11.9388) * CHOOSE(CONTROL!$C$21, $C$9, 100%, $E$9)</f>
        <v>11.938800000000001</v>
      </c>
      <c r="T25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59" s="56">
        <f>(1000*CHOOSE(CONTROL!$C$42, 695, 695)*CHOOSE(CONTROL!$C$42, 0.5599, 0.5599)*CHOOSE(CONTROL!$C$42, 31, 31))/1000000</f>
        <v>12.063045499999998</v>
      </c>
      <c r="V259" s="56">
        <f>(1000*CHOOSE(CONTROL!$C$42, 500, 500)*CHOOSE(CONTROL!$C$42, 0.275, 0.275)*CHOOSE(CONTROL!$C$42, 31, 31))/1000000</f>
        <v>4.2625000000000002</v>
      </c>
      <c r="W259" s="56">
        <f>(1000*CHOOSE(CONTROL!$C$42, 0.1146, 0.1146)*CHOOSE(CONTROL!$C$42, 121.5, 121.5)*CHOOSE(CONTROL!$C$42, 31, 31))/1000000</f>
        <v>0.43164089999999994</v>
      </c>
      <c r="X259" s="56">
        <f>(31*0.1790888*145000/1000000)+(31*0.2374*100000/1000000)</f>
        <v>1.5409441560000001</v>
      </c>
      <c r="Y259" s="56"/>
      <c r="Z259" s="17"/>
      <c r="AA259" s="55"/>
      <c r="AB259" s="48">
        <f>(B259*194.205+C259*267.466+D259*133.845+E259*153.484+F259*40+G259*85+H259*0+I259*100+J259*300)/(194.205+267.466+133.845+153.484+0+40+85+100+300)</f>
        <v>12.514513577629513</v>
      </c>
      <c r="AC259" s="45">
        <f>(M259*'RAP TEMPLATE-GAS AVAILABILITY'!O258+N259*'RAP TEMPLATE-GAS AVAILABILITY'!P258+O259*'RAP TEMPLATE-GAS AVAILABILITY'!Q258+P259*'RAP TEMPLATE-GAS AVAILABILITY'!R258)/('RAP TEMPLATE-GAS AVAILABILITY'!O258+'RAP TEMPLATE-GAS AVAILABILITY'!P258+'RAP TEMPLATE-GAS AVAILABILITY'!Q258+'RAP TEMPLATE-GAS AVAILABILITY'!R258)</f>
        <v>12.320895683453239</v>
      </c>
    </row>
    <row r="260" spans="1:29" ht="15.75" x14ac:dyDescent="0.25">
      <c r="A260" s="16">
        <v>48792</v>
      </c>
      <c r="B260" s="17">
        <f>CHOOSE(CONTROL!$C$42, 11.822, 11.822) * CHOOSE(CONTROL!$C$21, $C$9, 100%, $E$9)</f>
        <v>11.821999999999999</v>
      </c>
      <c r="C260" s="17">
        <f>CHOOSE(CONTROL!$C$42, 11.8301, 11.8301) * CHOOSE(CONTROL!$C$21, $C$9, 100%, $E$9)</f>
        <v>11.8301</v>
      </c>
      <c r="D260" s="17">
        <f>CHOOSE(CONTROL!$C$42, 12.1011, 12.1011) * CHOOSE(CONTROL!$C$21, $C$9, 100%, $E$9)</f>
        <v>12.101100000000001</v>
      </c>
      <c r="E260" s="17">
        <f>CHOOSE(CONTROL!$C$42, 12.1326, 12.1326) * CHOOSE(CONTROL!$C$21, $C$9, 100%, $E$9)</f>
        <v>12.1326</v>
      </c>
      <c r="F260" s="17">
        <f>CHOOSE(CONTROL!$C$42, 11.8412, 11.8412)*CHOOSE(CONTROL!$C$21, $C$9, 100%, $E$9)</f>
        <v>11.841200000000001</v>
      </c>
      <c r="G260" s="17">
        <f>CHOOSE(CONTROL!$C$42, 11.858, 11.858)*CHOOSE(CONTROL!$C$21, $C$9, 100%, $E$9)</f>
        <v>11.858000000000001</v>
      </c>
      <c r="H260" s="17">
        <f>CHOOSE(CONTROL!$C$42, 12.1212, 12.1212) * CHOOSE(CONTROL!$C$21, $C$9, 100%, $E$9)</f>
        <v>12.1212</v>
      </c>
      <c r="I260" s="17">
        <f>CHOOSE(CONTROL!$C$42, 11.8789, 11.8789)* CHOOSE(CONTROL!$C$21, $C$9, 100%, $E$9)</f>
        <v>11.8789</v>
      </c>
      <c r="J260" s="17">
        <f>CHOOSE(CONTROL!$C$42, 11.8342, 11.8342)* CHOOSE(CONTROL!$C$21, $C$9, 100%, $E$9)</f>
        <v>11.834199999999999</v>
      </c>
      <c r="K260" s="52">
        <f>CHOOSE(CONTROL!$C$42, 11.8747, 11.8747) * CHOOSE(CONTROL!$C$21, $C$9, 100%, $E$9)</f>
        <v>11.874700000000001</v>
      </c>
      <c r="L260" s="17">
        <f>CHOOSE(CONTROL!$C$42, 12.7082, 12.7082) * CHOOSE(CONTROL!$C$21, $C$9, 100%, $E$9)</f>
        <v>12.7082</v>
      </c>
      <c r="M260" s="17">
        <f>CHOOSE(CONTROL!$C$42, 11.629, 11.629) * CHOOSE(CONTROL!$C$21, $C$9, 100%, $E$9)</f>
        <v>11.629</v>
      </c>
      <c r="N260" s="17">
        <f>CHOOSE(CONTROL!$C$42, 11.6456, 11.6456) * CHOOSE(CONTROL!$C$21, $C$9, 100%, $E$9)</f>
        <v>11.6456</v>
      </c>
      <c r="O260" s="17">
        <f>CHOOSE(CONTROL!$C$42, 11.9109, 11.9109) * CHOOSE(CONTROL!$C$21, $C$9, 100%, $E$9)</f>
        <v>11.9109</v>
      </c>
      <c r="P260" s="17">
        <f>CHOOSE(CONTROL!$C$42, 11.6724, 11.6724) * CHOOSE(CONTROL!$C$21, $C$9, 100%, $E$9)</f>
        <v>11.6724</v>
      </c>
      <c r="Q260" s="17">
        <f>CHOOSE(CONTROL!$C$42, 12.5056, 12.5056) * CHOOSE(CONTROL!$C$21, $C$9, 100%, $E$9)</f>
        <v>12.505599999999999</v>
      </c>
      <c r="R260" s="17">
        <f>CHOOSE(CONTROL!$C$42, 13.1239, 13.1239) * CHOOSE(CONTROL!$C$21, $C$9, 100%, $E$9)</f>
        <v>13.123900000000001</v>
      </c>
      <c r="S260" s="17">
        <f>CHOOSE(CONTROL!$C$42, 11.3492, 11.3492) * CHOOSE(CONTROL!$C$21, $C$9, 100%, $E$9)</f>
        <v>11.3492</v>
      </c>
      <c r="T26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60" s="56">
        <f>(1000*CHOOSE(CONTROL!$C$42, 695, 695)*CHOOSE(CONTROL!$C$42, 0.5599, 0.5599)*CHOOSE(CONTROL!$C$42, 31, 31))/1000000</f>
        <v>12.063045499999998</v>
      </c>
      <c r="V260" s="56">
        <f>(1000*CHOOSE(CONTROL!$C$42, 500, 500)*CHOOSE(CONTROL!$C$42, 0.275, 0.275)*CHOOSE(CONTROL!$C$42, 31, 31))/1000000</f>
        <v>4.2625000000000002</v>
      </c>
      <c r="W260" s="56">
        <f>(1000*CHOOSE(CONTROL!$C$42, 0.1146, 0.1146)*CHOOSE(CONTROL!$C$42, 121.5, 121.5)*CHOOSE(CONTROL!$C$42, 31, 31))/1000000</f>
        <v>0.43164089999999994</v>
      </c>
      <c r="X260" s="56">
        <f>(31*0.1790888*145000/1000000)+(31*0.2374*100000/1000000)</f>
        <v>1.5409441560000001</v>
      </c>
      <c r="Y260" s="56"/>
      <c r="Z260" s="17"/>
      <c r="AA260" s="55"/>
      <c r="AB260" s="48">
        <f>(B260*194.205+C260*267.466+D260*133.845+E260*153.484+F260*40+G260*85+H260*0+I260*100+J260*300)/(194.205+267.466+133.845+153.484+0+40+85+100+300)</f>
        <v>11.900785513736263</v>
      </c>
      <c r="AC260" s="45">
        <f>(M260*'RAP TEMPLATE-GAS AVAILABILITY'!O259+N260*'RAP TEMPLATE-GAS AVAILABILITY'!P259+O260*'RAP TEMPLATE-GAS AVAILABILITY'!Q259+P260*'RAP TEMPLATE-GAS AVAILABILITY'!R259)/('RAP TEMPLATE-GAS AVAILABILITY'!O259+'RAP TEMPLATE-GAS AVAILABILITY'!P259+'RAP TEMPLATE-GAS AVAILABILITY'!Q259+'RAP TEMPLATE-GAS AVAILABILITY'!R259)</f>
        <v>11.718160431654676</v>
      </c>
    </row>
    <row r="261" spans="1:29" ht="15.75" x14ac:dyDescent="0.25">
      <c r="A261" s="16">
        <v>48823</v>
      </c>
      <c r="B261" s="17">
        <f>CHOOSE(CONTROL!$C$42, 11.072, 11.072) * CHOOSE(CONTROL!$C$21, $C$9, 100%, $E$9)</f>
        <v>11.071999999999999</v>
      </c>
      <c r="C261" s="17">
        <f>CHOOSE(CONTROL!$C$42, 11.08, 11.08) * CHOOSE(CONTROL!$C$21, $C$9, 100%, $E$9)</f>
        <v>11.08</v>
      </c>
      <c r="D261" s="17">
        <f>CHOOSE(CONTROL!$C$42, 11.3511, 11.3511) * CHOOSE(CONTROL!$C$21, $C$9, 100%, $E$9)</f>
        <v>11.351100000000001</v>
      </c>
      <c r="E261" s="17">
        <f>CHOOSE(CONTROL!$C$42, 11.3826, 11.3826) * CHOOSE(CONTROL!$C$21, $C$9, 100%, $E$9)</f>
        <v>11.3826</v>
      </c>
      <c r="F261" s="17">
        <f>CHOOSE(CONTROL!$C$42, 11.0912, 11.0912)*CHOOSE(CONTROL!$C$21, $C$9, 100%, $E$9)</f>
        <v>11.091200000000001</v>
      </c>
      <c r="G261" s="17">
        <f>CHOOSE(CONTROL!$C$42, 11.1081, 11.1081)*CHOOSE(CONTROL!$C$21, $C$9, 100%, $E$9)</f>
        <v>11.1081</v>
      </c>
      <c r="H261" s="17">
        <f>CHOOSE(CONTROL!$C$42, 11.3712, 11.3712) * CHOOSE(CONTROL!$C$21, $C$9, 100%, $E$9)</f>
        <v>11.3712</v>
      </c>
      <c r="I261" s="17">
        <f>CHOOSE(CONTROL!$C$42, 11.1266, 11.1266)* CHOOSE(CONTROL!$C$21, $C$9, 100%, $E$9)</f>
        <v>11.1266</v>
      </c>
      <c r="J261" s="17">
        <f>CHOOSE(CONTROL!$C$42, 11.0842, 11.0842)* CHOOSE(CONTROL!$C$21, $C$9, 100%, $E$9)</f>
        <v>11.084199999999999</v>
      </c>
      <c r="K261" s="52">
        <f>CHOOSE(CONTROL!$C$42, 11.1223, 11.1223) * CHOOSE(CONTROL!$C$21, $C$9, 100%, $E$9)</f>
        <v>11.122299999999999</v>
      </c>
      <c r="L261" s="17">
        <f>CHOOSE(CONTROL!$C$42, 11.9582, 11.9582) * CHOOSE(CONTROL!$C$21, $C$9, 100%, $E$9)</f>
        <v>11.9582</v>
      </c>
      <c r="M261" s="17">
        <f>CHOOSE(CONTROL!$C$42, 10.8925, 10.8925) * CHOOSE(CONTROL!$C$21, $C$9, 100%, $E$9)</f>
        <v>10.8925</v>
      </c>
      <c r="N261" s="17">
        <f>CHOOSE(CONTROL!$C$42, 10.9091, 10.9091) * CHOOSE(CONTROL!$C$21, $C$9, 100%, $E$9)</f>
        <v>10.9091</v>
      </c>
      <c r="O261" s="17">
        <f>CHOOSE(CONTROL!$C$42, 11.1744, 11.1744) * CHOOSE(CONTROL!$C$21, $C$9, 100%, $E$9)</f>
        <v>11.1744</v>
      </c>
      <c r="P261" s="17">
        <f>CHOOSE(CONTROL!$C$42, 10.9336, 10.9336) * CHOOSE(CONTROL!$C$21, $C$9, 100%, $E$9)</f>
        <v>10.9336</v>
      </c>
      <c r="Q261" s="17">
        <f>CHOOSE(CONTROL!$C$42, 11.7691, 11.7691) * CHOOSE(CONTROL!$C$21, $C$9, 100%, $E$9)</f>
        <v>11.7691</v>
      </c>
      <c r="R261" s="17">
        <f>CHOOSE(CONTROL!$C$42, 12.3855, 12.3855) * CHOOSE(CONTROL!$C$21, $C$9, 100%, $E$9)</f>
        <v>12.3855</v>
      </c>
      <c r="S261" s="17">
        <f>CHOOSE(CONTROL!$C$42, 10.6285, 10.6285) * CHOOSE(CONTROL!$C$21, $C$9, 100%, $E$9)</f>
        <v>10.628500000000001</v>
      </c>
      <c r="T26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61" s="56">
        <f>(1000*CHOOSE(CONTROL!$C$42, 695, 695)*CHOOSE(CONTROL!$C$42, 0.5599, 0.5599)*CHOOSE(CONTROL!$C$42, 30, 30))/1000000</f>
        <v>11.673914999999997</v>
      </c>
      <c r="V261" s="56">
        <f>(1000*CHOOSE(CONTROL!$C$42, 500, 500)*CHOOSE(CONTROL!$C$42, 0.275, 0.275)*CHOOSE(CONTROL!$C$42, 30, 30))/1000000</f>
        <v>4.125</v>
      </c>
      <c r="W261" s="56">
        <f>(1000*CHOOSE(CONTROL!$C$42, 0.1146, 0.1146)*CHOOSE(CONTROL!$C$42, 121.5, 121.5)*CHOOSE(CONTROL!$C$42, 30, 30))/1000000</f>
        <v>0.417717</v>
      </c>
      <c r="X261" s="56">
        <f>(30*0.1790888*145000/1000000)+(30*0.2374*100000/1000000)</f>
        <v>1.4912362799999999</v>
      </c>
      <c r="Y261" s="56"/>
      <c r="Z261" s="17"/>
      <c r="AA261" s="55"/>
      <c r="AB261" s="48">
        <f>(B261*194.205+C261*267.466+D261*133.845+E261*153.484+F261*40+G261*85+H261*0+I261*100+J261*300)/(194.205+267.466+133.845+153.484+0+40+85+100+300)</f>
        <v>11.150590657692307</v>
      </c>
      <c r="AC261" s="45">
        <f>(M261*'RAP TEMPLATE-GAS AVAILABILITY'!O260+N261*'RAP TEMPLATE-GAS AVAILABILITY'!P260+O261*'RAP TEMPLATE-GAS AVAILABILITY'!Q260+P261*'RAP TEMPLATE-GAS AVAILABILITY'!R260)/('RAP TEMPLATE-GAS AVAILABILITY'!O260+'RAP TEMPLATE-GAS AVAILABILITY'!P260+'RAP TEMPLATE-GAS AVAILABILITY'!Q260+'RAP TEMPLATE-GAS AVAILABILITY'!R260)</f>
        <v>10.98132949640288</v>
      </c>
    </row>
    <row r="262" spans="1:29" ht="15.75" x14ac:dyDescent="0.25">
      <c r="A262" s="16">
        <v>48853</v>
      </c>
      <c r="B262" s="17">
        <f>CHOOSE(CONTROL!$C$42, 10.8457, 10.8457) * CHOOSE(CONTROL!$C$21, $C$9, 100%, $E$9)</f>
        <v>10.845700000000001</v>
      </c>
      <c r="C262" s="17">
        <f>CHOOSE(CONTROL!$C$42, 10.851, 10.851) * CHOOSE(CONTROL!$C$21, $C$9, 100%, $E$9)</f>
        <v>10.851000000000001</v>
      </c>
      <c r="D262" s="17">
        <f>CHOOSE(CONTROL!$C$42, 11.127, 11.127) * CHOOSE(CONTROL!$C$21, $C$9, 100%, $E$9)</f>
        <v>11.127000000000001</v>
      </c>
      <c r="E262" s="17">
        <f>CHOOSE(CONTROL!$C$42, 11.1562, 11.1562) * CHOOSE(CONTROL!$C$21, $C$9, 100%, $E$9)</f>
        <v>11.1562</v>
      </c>
      <c r="F262" s="17">
        <f>CHOOSE(CONTROL!$C$42, 10.8671, 10.8671)*CHOOSE(CONTROL!$C$21, $C$9, 100%, $E$9)</f>
        <v>10.867100000000001</v>
      </c>
      <c r="G262" s="17">
        <f>CHOOSE(CONTROL!$C$42, 10.8839, 10.8839)*CHOOSE(CONTROL!$C$21, $C$9, 100%, $E$9)</f>
        <v>10.883900000000001</v>
      </c>
      <c r="H262" s="17">
        <f>CHOOSE(CONTROL!$C$42, 11.1466, 11.1466) * CHOOSE(CONTROL!$C$21, $C$9, 100%, $E$9)</f>
        <v>11.146599999999999</v>
      </c>
      <c r="I262" s="17">
        <f>CHOOSE(CONTROL!$C$42, 10.9013, 10.9013)* CHOOSE(CONTROL!$C$21, $C$9, 100%, $E$9)</f>
        <v>10.901300000000001</v>
      </c>
      <c r="J262" s="17">
        <f>CHOOSE(CONTROL!$C$42, 10.8601, 10.8601)* CHOOSE(CONTROL!$C$21, $C$9, 100%, $E$9)</f>
        <v>10.860099999999999</v>
      </c>
      <c r="K262" s="52">
        <f>CHOOSE(CONTROL!$C$42, 10.8971, 10.8971) * CHOOSE(CONTROL!$C$21, $C$9, 100%, $E$9)</f>
        <v>10.8971</v>
      </c>
      <c r="L262" s="17">
        <f>CHOOSE(CONTROL!$C$42, 11.7336, 11.7336) * CHOOSE(CONTROL!$C$21, $C$9, 100%, $E$9)</f>
        <v>11.733599999999999</v>
      </c>
      <c r="M262" s="17">
        <f>CHOOSE(CONTROL!$C$42, 10.6724, 10.6724) * CHOOSE(CONTROL!$C$21, $C$9, 100%, $E$9)</f>
        <v>10.6724</v>
      </c>
      <c r="N262" s="17">
        <f>CHOOSE(CONTROL!$C$42, 10.6889, 10.6889) * CHOOSE(CONTROL!$C$21, $C$9, 100%, $E$9)</f>
        <v>10.6889</v>
      </c>
      <c r="O262" s="17">
        <f>CHOOSE(CONTROL!$C$42, 10.9538, 10.9538) * CHOOSE(CONTROL!$C$21, $C$9, 100%, $E$9)</f>
        <v>10.953799999999999</v>
      </c>
      <c r="P262" s="17">
        <f>CHOOSE(CONTROL!$C$42, 10.7124, 10.7124) * CHOOSE(CONTROL!$C$21, $C$9, 100%, $E$9)</f>
        <v>10.712400000000001</v>
      </c>
      <c r="Q262" s="17">
        <f>CHOOSE(CONTROL!$C$42, 11.5485, 11.5485) * CHOOSE(CONTROL!$C$21, $C$9, 100%, $E$9)</f>
        <v>11.548500000000001</v>
      </c>
      <c r="R262" s="17">
        <f>CHOOSE(CONTROL!$C$42, 12.1644, 12.1644) * CHOOSE(CONTROL!$C$21, $C$9, 100%, $E$9)</f>
        <v>12.164400000000001</v>
      </c>
      <c r="S262" s="17">
        <f>CHOOSE(CONTROL!$C$42, 10.4127, 10.4127) * CHOOSE(CONTROL!$C$21, $C$9, 100%, $E$9)</f>
        <v>10.412699999999999</v>
      </c>
      <c r="T26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62" s="56">
        <f>(1000*CHOOSE(CONTROL!$C$42, 695, 695)*CHOOSE(CONTROL!$C$42, 0.5599, 0.5599)*CHOOSE(CONTROL!$C$42, 31, 31))/1000000</f>
        <v>12.063045499999998</v>
      </c>
      <c r="V262" s="56">
        <f>(1000*CHOOSE(CONTROL!$C$42, 500, 500)*CHOOSE(CONTROL!$C$42, 0.275, 0.275)*CHOOSE(CONTROL!$C$42, 31, 31))/1000000</f>
        <v>4.2625000000000002</v>
      </c>
      <c r="W262" s="56">
        <f>(1000*CHOOSE(CONTROL!$C$42, 0.1146, 0.1146)*CHOOSE(CONTROL!$C$42, 121.5, 121.5)*CHOOSE(CONTROL!$C$42, 31, 31))/1000000</f>
        <v>0.43164089999999994</v>
      </c>
      <c r="X262" s="56">
        <f>(31*0.1790888*145000/1000000)+(31*0.2374*100000/1000000)</f>
        <v>1.5409441560000001</v>
      </c>
      <c r="Y262" s="56"/>
      <c r="Z262" s="17"/>
      <c r="AA262" s="55"/>
      <c r="AB262" s="48">
        <f>(B262*131.881+C262*277.167+D262*79.08+E262*225.872+F262*40+G262*85+H262*0+I262*100+J262*300)/(131.881+277.167+79.08+225.872+0+40+85+100+300)</f>
        <v>10.932730222033895</v>
      </c>
      <c r="AC262" s="45">
        <f>(M262*'RAP TEMPLATE-GAS AVAILABILITY'!O261+N262*'RAP TEMPLATE-GAS AVAILABILITY'!P261+O262*'RAP TEMPLATE-GAS AVAILABILITY'!Q261+P262*'RAP TEMPLATE-GAS AVAILABILITY'!R261)/('RAP TEMPLATE-GAS AVAILABILITY'!O261+'RAP TEMPLATE-GAS AVAILABILITY'!P261+'RAP TEMPLATE-GAS AVAILABILITY'!Q261+'RAP TEMPLATE-GAS AVAILABILITY'!R261)</f>
        <v>10.760907913669065</v>
      </c>
    </row>
    <row r="263" spans="1:29" ht="15.75" x14ac:dyDescent="0.25">
      <c r="A263" s="16">
        <v>48884</v>
      </c>
      <c r="B263" s="17">
        <f>CHOOSE(CONTROL!$C$42, 11.1307, 11.1307) * CHOOSE(CONTROL!$C$21, $C$9, 100%, $E$9)</f>
        <v>11.130699999999999</v>
      </c>
      <c r="C263" s="17">
        <f>CHOOSE(CONTROL!$C$42, 11.1358, 11.1358) * CHOOSE(CONTROL!$C$21, $C$9, 100%, $E$9)</f>
        <v>11.1358</v>
      </c>
      <c r="D263" s="17">
        <f>CHOOSE(CONTROL!$C$42, 11.2308, 11.2308) * CHOOSE(CONTROL!$C$21, $C$9, 100%, $E$9)</f>
        <v>11.2308</v>
      </c>
      <c r="E263" s="17">
        <f>CHOOSE(CONTROL!$C$42, 11.2649, 11.2649) * CHOOSE(CONTROL!$C$21, $C$9, 100%, $E$9)</f>
        <v>11.264900000000001</v>
      </c>
      <c r="F263" s="17">
        <f>CHOOSE(CONTROL!$C$42, 11.1546, 11.1546)*CHOOSE(CONTROL!$C$21, $C$9, 100%, $E$9)</f>
        <v>11.1546</v>
      </c>
      <c r="G263" s="17">
        <f>CHOOSE(CONTROL!$C$42, 11.1717, 11.1717)*CHOOSE(CONTROL!$C$21, $C$9, 100%, $E$9)</f>
        <v>11.1717</v>
      </c>
      <c r="H263" s="17">
        <f>CHOOSE(CONTROL!$C$42, 11.2541, 11.2541) * CHOOSE(CONTROL!$C$21, $C$9, 100%, $E$9)</f>
        <v>11.254099999999999</v>
      </c>
      <c r="I263" s="17">
        <f>CHOOSE(CONTROL!$C$42, 11.1855, 11.1855)* CHOOSE(CONTROL!$C$21, $C$9, 100%, $E$9)</f>
        <v>11.185499999999999</v>
      </c>
      <c r="J263" s="17">
        <f>CHOOSE(CONTROL!$C$42, 11.1476, 11.1476)* CHOOSE(CONTROL!$C$21, $C$9, 100%, $E$9)</f>
        <v>11.147600000000001</v>
      </c>
      <c r="K263" s="52">
        <f>CHOOSE(CONTROL!$C$42, 11.1813, 11.1813) * CHOOSE(CONTROL!$C$21, $C$9, 100%, $E$9)</f>
        <v>11.1813</v>
      </c>
      <c r="L263" s="17">
        <f>CHOOSE(CONTROL!$C$42, 11.8411, 11.8411) * CHOOSE(CONTROL!$C$21, $C$9, 100%, $E$9)</f>
        <v>11.841100000000001</v>
      </c>
      <c r="M263" s="17">
        <f>CHOOSE(CONTROL!$C$42, 10.9548, 10.9548) * CHOOSE(CONTROL!$C$21, $C$9, 100%, $E$9)</f>
        <v>10.954800000000001</v>
      </c>
      <c r="N263" s="17">
        <f>CHOOSE(CONTROL!$C$42, 10.9716, 10.9716) * CHOOSE(CONTROL!$C$21, $C$9, 100%, $E$9)</f>
        <v>10.9716</v>
      </c>
      <c r="O263" s="17">
        <f>CHOOSE(CONTROL!$C$42, 11.0594, 11.0594) * CHOOSE(CONTROL!$C$21, $C$9, 100%, $E$9)</f>
        <v>11.0594</v>
      </c>
      <c r="P263" s="17">
        <f>CHOOSE(CONTROL!$C$42, 10.9915, 10.9915) * CHOOSE(CONTROL!$C$21, $C$9, 100%, $E$9)</f>
        <v>10.9915</v>
      </c>
      <c r="Q263" s="17">
        <f>CHOOSE(CONTROL!$C$42, 11.6541, 11.6541) * CHOOSE(CONTROL!$C$21, $C$9, 100%, $E$9)</f>
        <v>11.6541</v>
      </c>
      <c r="R263" s="17">
        <f>CHOOSE(CONTROL!$C$42, 12.2702, 12.2702) * CHOOSE(CONTROL!$C$21, $C$9, 100%, $E$9)</f>
        <v>12.270200000000001</v>
      </c>
      <c r="S263" s="17">
        <f>CHOOSE(CONTROL!$C$42, 10.687, 10.687) * CHOOSE(CONTROL!$C$21, $C$9, 100%, $E$9)</f>
        <v>10.686999999999999</v>
      </c>
      <c r="T26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63" s="56">
        <f>(1000*CHOOSE(CONTROL!$C$42, 695, 695)*CHOOSE(CONTROL!$C$42, 0.5599, 0.5599)*CHOOSE(CONTROL!$C$42, 30, 30))/1000000</f>
        <v>11.673914999999997</v>
      </c>
      <c r="V263" s="56">
        <f>(1000*CHOOSE(CONTROL!$C$42, 500, 500)*CHOOSE(CONTROL!$C$42, 0.275, 0.275)*CHOOSE(CONTROL!$C$42, 30, 30))/1000000</f>
        <v>4.125</v>
      </c>
      <c r="W263" s="56">
        <f>(1000*CHOOSE(CONTROL!$C$42, 0.1146, 0.1146)*CHOOSE(CONTROL!$C$42, 121.5, 121.5)*CHOOSE(CONTROL!$C$42, 30, 30))/1000000</f>
        <v>0.417717</v>
      </c>
      <c r="X263" s="56">
        <f>(30*0.2374*100000/1000000)</f>
        <v>0.71220000000000006</v>
      </c>
      <c r="Y263" s="56"/>
      <c r="Z263" s="17"/>
      <c r="AA263" s="55"/>
      <c r="AB263" s="48">
        <f>(B263*122.58+C263*297.941+D263*89.177+E263*140.302+F263*40+G263*60+H263*0+I263*100+J263*300)/(122.58+297.941+89.177+140.302+0+40+60+100+300)</f>
        <v>11.168300561043479</v>
      </c>
      <c r="AC263" s="45">
        <f>(M263*'RAP TEMPLATE-GAS AVAILABILITY'!O262+N263*'RAP TEMPLATE-GAS AVAILABILITY'!P262+O263*'RAP TEMPLATE-GAS AVAILABILITY'!Q262+P263*'RAP TEMPLATE-GAS AVAILABILITY'!R262)/('RAP TEMPLATE-GAS AVAILABILITY'!O262+'RAP TEMPLATE-GAS AVAILABILITY'!P262+'RAP TEMPLATE-GAS AVAILABILITY'!Q262+'RAP TEMPLATE-GAS AVAILABILITY'!R262)</f>
        <v>11.008456115107915</v>
      </c>
    </row>
    <row r="264" spans="1:29" ht="15.75" x14ac:dyDescent="0.25">
      <c r="A264" s="16">
        <v>48914</v>
      </c>
      <c r="B264" s="17">
        <f>CHOOSE(CONTROL!$C$42, 11.889, 11.889) * CHOOSE(CONTROL!$C$21, $C$9, 100%, $E$9)</f>
        <v>11.888999999999999</v>
      </c>
      <c r="C264" s="17">
        <f>CHOOSE(CONTROL!$C$42, 11.894, 11.894) * CHOOSE(CONTROL!$C$21, $C$9, 100%, $E$9)</f>
        <v>11.894</v>
      </c>
      <c r="D264" s="17">
        <f>CHOOSE(CONTROL!$C$42, 11.9891, 11.9891) * CHOOSE(CONTROL!$C$21, $C$9, 100%, $E$9)</f>
        <v>11.989100000000001</v>
      </c>
      <c r="E264" s="17">
        <f>CHOOSE(CONTROL!$C$42, 12.0232, 12.0232) * CHOOSE(CONTROL!$C$21, $C$9, 100%, $E$9)</f>
        <v>12.023199999999999</v>
      </c>
      <c r="F264" s="17">
        <f>CHOOSE(CONTROL!$C$42, 11.9152, 11.9152)*CHOOSE(CONTROL!$C$21, $C$9, 100%, $E$9)</f>
        <v>11.9152</v>
      </c>
      <c r="G264" s="17">
        <f>CHOOSE(CONTROL!$C$42, 11.9329, 11.9329)*CHOOSE(CONTROL!$C$21, $C$9, 100%, $E$9)</f>
        <v>11.9329</v>
      </c>
      <c r="H264" s="17">
        <f>CHOOSE(CONTROL!$C$42, 12.0124, 12.0124) * CHOOSE(CONTROL!$C$21, $C$9, 100%, $E$9)</f>
        <v>12.0124</v>
      </c>
      <c r="I264" s="17">
        <f>CHOOSE(CONTROL!$C$42, 11.9462, 11.9462)* CHOOSE(CONTROL!$C$21, $C$9, 100%, $E$9)</f>
        <v>11.946199999999999</v>
      </c>
      <c r="J264" s="17">
        <f>CHOOSE(CONTROL!$C$42, 11.9082, 11.9082)* CHOOSE(CONTROL!$C$21, $C$9, 100%, $E$9)</f>
        <v>11.908200000000001</v>
      </c>
      <c r="K264" s="52">
        <f>CHOOSE(CONTROL!$C$42, 11.9419, 11.9419) * CHOOSE(CONTROL!$C$21, $C$9, 100%, $E$9)</f>
        <v>11.9419</v>
      </c>
      <c r="L264" s="17">
        <f>CHOOSE(CONTROL!$C$42, 12.5994, 12.5994) * CHOOSE(CONTROL!$C$21, $C$9, 100%, $E$9)</f>
        <v>12.599399999999999</v>
      </c>
      <c r="M264" s="17">
        <f>CHOOSE(CONTROL!$C$42, 11.7017, 11.7017) * CHOOSE(CONTROL!$C$21, $C$9, 100%, $E$9)</f>
        <v>11.701700000000001</v>
      </c>
      <c r="N264" s="17">
        <f>CHOOSE(CONTROL!$C$42, 11.7191, 11.7191) * CHOOSE(CONTROL!$C$21, $C$9, 100%, $E$9)</f>
        <v>11.719099999999999</v>
      </c>
      <c r="O264" s="17">
        <f>CHOOSE(CONTROL!$C$42, 11.804, 11.804) * CHOOSE(CONTROL!$C$21, $C$9, 100%, $E$9)</f>
        <v>11.804</v>
      </c>
      <c r="P264" s="17">
        <f>CHOOSE(CONTROL!$C$42, 11.7384, 11.7384) * CHOOSE(CONTROL!$C$21, $C$9, 100%, $E$9)</f>
        <v>11.7384</v>
      </c>
      <c r="Q264" s="17">
        <f>CHOOSE(CONTROL!$C$42, 12.3987, 12.3987) * CHOOSE(CONTROL!$C$21, $C$9, 100%, $E$9)</f>
        <v>12.3987</v>
      </c>
      <c r="R264" s="17">
        <f>CHOOSE(CONTROL!$C$42, 13.0167, 13.0167) * CHOOSE(CONTROL!$C$21, $C$9, 100%, $E$9)</f>
        <v>13.0167</v>
      </c>
      <c r="S264" s="17">
        <f>CHOOSE(CONTROL!$C$42, 11.4156, 11.4156) * CHOOSE(CONTROL!$C$21, $C$9, 100%, $E$9)</f>
        <v>11.4156</v>
      </c>
      <c r="T26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64" s="56">
        <f>(1000*CHOOSE(CONTROL!$C$42, 695, 695)*CHOOSE(CONTROL!$C$42, 0.5599, 0.5599)*CHOOSE(CONTROL!$C$42, 31, 31))/1000000</f>
        <v>12.063045499999998</v>
      </c>
      <c r="V264" s="56">
        <f>(1000*CHOOSE(CONTROL!$C$42, 500, 500)*CHOOSE(CONTROL!$C$42, 0.275, 0.275)*CHOOSE(CONTROL!$C$42, 31, 31))/1000000</f>
        <v>4.2625000000000002</v>
      </c>
      <c r="W264" s="56">
        <f>(1000*CHOOSE(CONTROL!$C$42, 0.1146, 0.1146)*CHOOSE(CONTROL!$C$42, 121.5, 121.5)*CHOOSE(CONTROL!$C$42, 31, 31))/1000000</f>
        <v>0.43164089999999994</v>
      </c>
      <c r="X264" s="56">
        <f>(31*0.2374*100000/1000000)</f>
        <v>0.73594000000000004</v>
      </c>
      <c r="Y264" s="56"/>
      <c r="Z264" s="17"/>
      <c r="AA264" s="55"/>
      <c r="AB264" s="48">
        <f>(B264*122.58+C264*297.941+D264*89.177+E264*140.302+F264*40+G264*60+H264*0+I264*100+J264*300)/(122.58+297.941+89.177+140.302+0+40+60+100+300)</f>
        <v>11.927614653130433</v>
      </c>
      <c r="AC264" s="45">
        <f>(M264*'RAP TEMPLATE-GAS AVAILABILITY'!O263+N264*'RAP TEMPLATE-GAS AVAILABILITY'!P263+O264*'RAP TEMPLATE-GAS AVAILABILITY'!Q263+P264*'RAP TEMPLATE-GAS AVAILABILITY'!R263)/('RAP TEMPLATE-GAS AVAILABILITY'!O263+'RAP TEMPLATE-GAS AVAILABILITY'!P263+'RAP TEMPLATE-GAS AVAILABILITY'!Q263+'RAP TEMPLATE-GAS AVAILABILITY'!R263)</f>
        <v>11.75434820143885</v>
      </c>
    </row>
    <row r="265" spans="1:29" ht="15.75" x14ac:dyDescent="0.25">
      <c r="A265" s="16">
        <v>48945</v>
      </c>
      <c r="B265" s="17">
        <f>CHOOSE(CONTROL!$C$42, 12.8738, 12.8738) * CHOOSE(CONTROL!$C$21, $C$9, 100%, $E$9)</f>
        <v>12.873799999999999</v>
      </c>
      <c r="C265" s="17">
        <f>CHOOSE(CONTROL!$C$42, 12.8788, 12.8788) * CHOOSE(CONTROL!$C$21, $C$9, 100%, $E$9)</f>
        <v>12.8788</v>
      </c>
      <c r="D265" s="17">
        <f>CHOOSE(CONTROL!$C$42, 12.9973, 12.9973) * CHOOSE(CONTROL!$C$21, $C$9, 100%, $E$9)</f>
        <v>12.997299999999999</v>
      </c>
      <c r="E265" s="17">
        <f>CHOOSE(CONTROL!$C$42, 13.0314, 13.0314) * CHOOSE(CONTROL!$C$21, $C$9, 100%, $E$9)</f>
        <v>13.0314</v>
      </c>
      <c r="F265" s="17">
        <f>CHOOSE(CONTROL!$C$42, 12.8942, 12.8942)*CHOOSE(CONTROL!$C$21, $C$9, 100%, $E$9)</f>
        <v>12.8942</v>
      </c>
      <c r="G265" s="17">
        <f>CHOOSE(CONTROL!$C$42, 12.911, 12.911)*CHOOSE(CONTROL!$C$21, $C$9, 100%, $E$9)</f>
        <v>12.911</v>
      </c>
      <c r="H265" s="17">
        <f>CHOOSE(CONTROL!$C$42, 13.0206, 13.0206) * CHOOSE(CONTROL!$C$21, $C$9, 100%, $E$9)</f>
        <v>13.0206</v>
      </c>
      <c r="I265" s="17">
        <f>CHOOSE(CONTROL!$C$42, 12.9377, 12.9377)* CHOOSE(CONTROL!$C$21, $C$9, 100%, $E$9)</f>
        <v>12.9377</v>
      </c>
      <c r="J265" s="17">
        <f>CHOOSE(CONTROL!$C$42, 12.8872, 12.8872)* CHOOSE(CONTROL!$C$21, $C$9, 100%, $E$9)</f>
        <v>12.8872</v>
      </c>
      <c r="K265" s="52">
        <f>CHOOSE(CONTROL!$C$42, 12.9335, 12.9335) * CHOOSE(CONTROL!$C$21, $C$9, 100%, $E$9)</f>
        <v>12.9335</v>
      </c>
      <c r="L265" s="17">
        <f>CHOOSE(CONTROL!$C$42, 13.6076, 13.6076) * CHOOSE(CONTROL!$C$21, $C$9, 100%, $E$9)</f>
        <v>13.6076</v>
      </c>
      <c r="M265" s="17">
        <f>CHOOSE(CONTROL!$C$42, 12.6631, 12.6631) * CHOOSE(CONTROL!$C$21, $C$9, 100%, $E$9)</f>
        <v>12.6631</v>
      </c>
      <c r="N265" s="17">
        <f>CHOOSE(CONTROL!$C$42, 12.6796, 12.6796) * CHOOSE(CONTROL!$C$21, $C$9, 100%, $E$9)</f>
        <v>12.679600000000001</v>
      </c>
      <c r="O265" s="17">
        <f>CHOOSE(CONTROL!$C$42, 12.7941, 12.7941) * CHOOSE(CONTROL!$C$21, $C$9, 100%, $E$9)</f>
        <v>12.7941</v>
      </c>
      <c r="P265" s="17">
        <f>CHOOSE(CONTROL!$C$42, 12.712, 12.712) * CHOOSE(CONTROL!$C$21, $C$9, 100%, $E$9)</f>
        <v>12.712</v>
      </c>
      <c r="Q265" s="17">
        <f>CHOOSE(CONTROL!$C$42, 13.3888, 13.3888) * CHOOSE(CONTROL!$C$21, $C$9, 100%, $E$9)</f>
        <v>13.3888</v>
      </c>
      <c r="R265" s="17">
        <f>CHOOSE(CONTROL!$C$42, 14.0093, 14.0093) * CHOOSE(CONTROL!$C$21, $C$9, 100%, $E$9)</f>
        <v>14.0093</v>
      </c>
      <c r="S265" s="17">
        <f>CHOOSE(CONTROL!$C$42, 12.3619, 12.3619) * CHOOSE(CONTROL!$C$21, $C$9, 100%, $E$9)</f>
        <v>12.3619</v>
      </c>
      <c r="T26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65" s="56">
        <f>(1000*CHOOSE(CONTROL!$C$42, 695, 695)*CHOOSE(CONTROL!$C$42, 0.5599, 0.5599)*CHOOSE(CONTROL!$C$42, 31, 31))/1000000</f>
        <v>12.063045499999998</v>
      </c>
      <c r="V265" s="56">
        <f>(1000*CHOOSE(CONTROL!$C$42, 500, 500)*CHOOSE(CONTROL!$C$42, 0.275, 0.275)*CHOOSE(CONTROL!$C$42, 31, 31))/1000000</f>
        <v>4.2625000000000002</v>
      </c>
      <c r="W265" s="56">
        <f>(1000*CHOOSE(CONTROL!$C$42, 0.1146, 0.1146)*CHOOSE(CONTROL!$C$42, 121.5, 121.5)*CHOOSE(CONTROL!$C$42, 31, 31))/1000000</f>
        <v>0.43164089999999994</v>
      </c>
      <c r="X265" s="56">
        <f>(31*0.2374*100000/1000000)</f>
        <v>0.73594000000000004</v>
      </c>
      <c r="Y265" s="56"/>
      <c r="Z265" s="17"/>
      <c r="AA265" s="55"/>
      <c r="AB265" s="48">
        <f>(B265*122.58+C265*297.941+D265*89.177+E265*140.302+F265*40+G265*60+H265*0+I265*100+J265*300)/(122.58+297.941+89.177+140.302+0+40+60+100+300)</f>
        <v>12.915602312782609</v>
      </c>
      <c r="AC265" s="45">
        <f>(M265*'RAP TEMPLATE-GAS AVAILABILITY'!O264+N265*'RAP TEMPLATE-GAS AVAILABILITY'!P264+O265*'RAP TEMPLATE-GAS AVAILABILITY'!Q264+P265*'RAP TEMPLATE-GAS AVAILABILITY'!R264)/('RAP TEMPLATE-GAS AVAILABILITY'!O264+'RAP TEMPLATE-GAS AVAILABILITY'!P264+'RAP TEMPLATE-GAS AVAILABILITY'!Q264+'RAP TEMPLATE-GAS AVAILABILITY'!R264)</f>
        <v>12.730459712230218</v>
      </c>
    </row>
    <row r="266" spans="1:29" ht="15.75" x14ac:dyDescent="0.25">
      <c r="A266" s="16">
        <v>48976</v>
      </c>
      <c r="B266" s="17">
        <f>CHOOSE(CONTROL!$C$42, 13.1028, 13.1028) * CHOOSE(CONTROL!$C$21, $C$9, 100%, $E$9)</f>
        <v>13.1028</v>
      </c>
      <c r="C266" s="17">
        <f>CHOOSE(CONTROL!$C$42, 13.1078, 13.1078) * CHOOSE(CONTROL!$C$21, $C$9, 100%, $E$9)</f>
        <v>13.107799999999999</v>
      </c>
      <c r="D266" s="17">
        <f>CHOOSE(CONTROL!$C$42, 13.2263, 13.2263) * CHOOSE(CONTROL!$C$21, $C$9, 100%, $E$9)</f>
        <v>13.2263</v>
      </c>
      <c r="E266" s="17">
        <f>CHOOSE(CONTROL!$C$42, 13.2604, 13.2604) * CHOOSE(CONTROL!$C$21, $C$9, 100%, $E$9)</f>
        <v>13.260400000000001</v>
      </c>
      <c r="F266" s="17">
        <f>CHOOSE(CONTROL!$C$42, 13.1231, 13.1231)*CHOOSE(CONTROL!$C$21, $C$9, 100%, $E$9)</f>
        <v>13.123100000000001</v>
      </c>
      <c r="G266" s="17">
        <f>CHOOSE(CONTROL!$C$42, 13.14, 13.14)*CHOOSE(CONTROL!$C$21, $C$9, 100%, $E$9)</f>
        <v>13.14</v>
      </c>
      <c r="H266" s="17">
        <f>CHOOSE(CONTROL!$C$42, 13.2496, 13.2496) * CHOOSE(CONTROL!$C$21, $C$9, 100%, $E$9)</f>
        <v>13.249599999999999</v>
      </c>
      <c r="I266" s="17">
        <f>CHOOSE(CONTROL!$C$42, 13.1674, 13.1674)* CHOOSE(CONTROL!$C$21, $C$9, 100%, $E$9)</f>
        <v>13.167400000000001</v>
      </c>
      <c r="J266" s="17">
        <f>CHOOSE(CONTROL!$C$42, 13.1161, 13.1161)* CHOOSE(CONTROL!$C$21, $C$9, 100%, $E$9)</f>
        <v>13.116099999999999</v>
      </c>
      <c r="K266" s="52">
        <f>CHOOSE(CONTROL!$C$42, 13.1632, 13.1632) * CHOOSE(CONTROL!$C$21, $C$9, 100%, $E$9)</f>
        <v>13.1632</v>
      </c>
      <c r="L266" s="17">
        <f>CHOOSE(CONTROL!$C$42, 13.8366, 13.8366) * CHOOSE(CONTROL!$C$21, $C$9, 100%, $E$9)</f>
        <v>13.836600000000001</v>
      </c>
      <c r="M266" s="17">
        <f>CHOOSE(CONTROL!$C$42, 12.8879, 12.8879) * CHOOSE(CONTROL!$C$21, $C$9, 100%, $E$9)</f>
        <v>12.8879</v>
      </c>
      <c r="N266" s="17">
        <f>CHOOSE(CONTROL!$C$42, 12.9044, 12.9044) * CHOOSE(CONTROL!$C$21, $C$9, 100%, $E$9)</f>
        <v>12.904400000000001</v>
      </c>
      <c r="O266" s="17">
        <f>CHOOSE(CONTROL!$C$42, 13.019, 13.019) * CHOOSE(CONTROL!$C$21, $C$9, 100%, $E$9)</f>
        <v>13.019</v>
      </c>
      <c r="P266" s="17">
        <f>CHOOSE(CONTROL!$C$42, 12.9376, 12.9376) * CHOOSE(CONTROL!$C$21, $C$9, 100%, $E$9)</f>
        <v>12.9376</v>
      </c>
      <c r="Q266" s="17">
        <f>CHOOSE(CONTROL!$C$42, 13.6137, 13.6137) * CHOOSE(CONTROL!$C$21, $C$9, 100%, $E$9)</f>
        <v>13.6137</v>
      </c>
      <c r="R266" s="17">
        <f>CHOOSE(CONTROL!$C$42, 14.2347, 14.2347) * CHOOSE(CONTROL!$C$21, $C$9, 100%, $E$9)</f>
        <v>14.2347</v>
      </c>
      <c r="S266" s="17">
        <f>CHOOSE(CONTROL!$C$42, 12.5819, 12.5819) * CHOOSE(CONTROL!$C$21, $C$9, 100%, $E$9)</f>
        <v>12.581899999999999</v>
      </c>
      <c r="T26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66" s="56">
        <f>(1000*CHOOSE(CONTROL!$C$42, 695, 695)*CHOOSE(CONTROL!$C$42, 0.5599, 0.5599)*CHOOSE(CONTROL!$C$42, 28, 28))/1000000</f>
        <v>10.895653999999999</v>
      </c>
      <c r="V266" s="56">
        <f>(1000*CHOOSE(CONTROL!$C$42, 500, 500)*CHOOSE(CONTROL!$C$42, 0.275, 0.275)*CHOOSE(CONTROL!$C$42, 28, 28))/1000000</f>
        <v>3.85</v>
      </c>
      <c r="W266" s="56">
        <f>(1000*CHOOSE(CONTROL!$C$42, 0.1146, 0.1146)*CHOOSE(CONTROL!$C$42, 121.5, 121.5)*CHOOSE(CONTROL!$C$42, 28, 28))/1000000</f>
        <v>0.38986920000000003</v>
      </c>
      <c r="X266" s="56">
        <f>(28*0.2374*100000/1000000)</f>
        <v>0.66471999999999998</v>
      </c>
      <c r="Y266" s="56"/>
      <c r="Z266" s="17"/>
      <c r="AA266" s="55"/>
      <c r="AB266" s="48">
        <f>(B266*122.58+C266*297.941+D266*89.177+E266*140.302+F266*40+G266*60+H266*0+I266*100+J266*300)/(122.58+297.941+89.177+140.302+0+40+60+100+300)</f>
        <v>13.144633617130435</v>
      </c>
      <c r="AC266" s="45">
        <f>(M266*'RAP TEMPLATE-GAS AVAILABILITY'!O265+N266*'RAP TEMPLATE-GAS AVAILABILITY'!P265+O266*'RAP TEMPLATE-GAS AVAILABILITY'!Q265+P266*'RAP TEMPLATE-GAS AVAILABILITY'!R265)/('RAP TEMPLATE-GAS AVAILABILITY'!O265+'RAP TEMPLATE-GAS AVAILABILITY'!P265+'RAP TEMPLATE-GAS AVAILABILITY'!Q265+'RAP TEMPLATE-GAS AVAILABILITY'!R265)</f>
        <v>12.955420143884892</v>
      </c>
    </row>
    <row r="267" spans="1:29" ht="15.75" x14ac:dyDescent="0.25">
      <c r="A267" s="16">
        <v>49004</v>
      </c>
      <c r="B267" s="17">
        <f>CHOOSE(CONTROL!$C$42, 12.731, 12.731) * CHOOSE(CONTROL!$C$21, $C$9, 100%, $E$9)</f>
        <v>12.731</v>
      </c>
      <c r="C267" s="17">
        <f>CHOOSE(CONTROL!$C$42, 12.7361, 12.7361) * CHOOSE(CONTROL!$C$21, $C$9, 100%, $E$9)</f>
        <v>12.7361</v>
      </c>
      <c r="D267" s="17">
        <f>CHOOSE(CONTROL!$C$42, 12.8546, 12.8546) * CHOOSE(CONTROL!$C$21, $C$9, 100%, $E$9)</f>
        <v>12.8546</v>
      </c>
      <c r="E267" s="17">
        <f>CHOOSE(CONTROL!$C$42, 12.8887, 12.8887) * CHOOSE(CONTROL!$C$21, $C$9, 100%, $E$9)</f>
        <v>12.8887</v>
      </c>
      <c r="F267" s="17">
        <f>CHOOSE(CONTROL!$C$42, 12.7508, 12.7508)*CHOOSE(CONTROL!$C$21, $C$9, 100%, $E$9)</f>
        <v>12.7508</v>
      </c>
      <c r="G267" s="17">
        <f>CHOOSE(CONTROL!$C$42, 12.7674, 12.7674)*CHOOSE(CONTROL!$C$21, $C$9, 100%, $E$9)</f>
        <v>12.7674</v>
      </c>
      <c r="H267" s="17">
        <f>CHOOSE(CONTROL!$C$42, 12.8779, 12.8779) * CHOOSE(CONTROL!$C$21, $C$9, 100%, $E$9)</f>
        <v>12.8779</v>
      </c>
      <c r="I267" s="17">
        <f>CHOOSE(CONTROL!$C$42, 12.7945, 12.7945)* CHOOSE(CONTROL!$C$21, $C$9, 100%, $E$9)</f>
        <v>12.794499999999999</v>
      </c>
      <c r="J267" s="17">
        <f>CHOOSE(CONTROL!$C$42, 12.7438, 12.7438)* CHOOSE(CONTROL!$C$21, $C$9, 100%, $E$9)</f>
        <v>12.7438</v>
      </c>
      <c r="K267" s="52">
        <f>CHOOSE(CONTROL!$C$42, 12.7903, 12.7903) * CHOOSE(CONTROL!$C$21, $C$9, 100%, $E$9)</f>
        <v>12.7903</v>
      </c>
      <c r="L267" s="17">
        <f>CHOOSE(CONTROL!$C$42, 13.4649, 13.4649) * CHOOSE(CONTROL!$C$21, $C$9, 100%, $E$9)</f>
        <v>13.4649</v>
      </c>
      <c r="M267" s="17">
        <f>CHOOSE(CONTROL!$C$42, 12.5222, 12.5222) * CHOOSE(CONTROL!$C$21, $C$9, 100%, $E$9)</f>
        <v>12.5222</v>
      </c>
      <c r="N267" s="17">
        <f>CHOOSE(CONTROL!$C$42, 12.5386, 12.5386) * CHOOSE(CONTROL!$C$21, $C$9, 100%, $E$9)</f>
        <v>12.538600000000001</v>
      </c>
      <c r="O267" s="17">
        <f>CHOOSE(CONTROL!$C$42, 12.6539, 12.6539) * CHOOSE(CONTROL!$C$21, $C$9, 100%, $E$9)</f>
        <v>12.6539</v>
      </c>
      <c r="P267" s="17">
        <f>CHOOSE(CONTROL!$C$42, 12.5715, 12.5715) * CHOOSE(CONTROL!$C$21, $C$9, 100%, $E$9)</f>
        <v>12.5715</v>
      </c>
      <c r="Q267" s="17">
        <f>CHOOSE(CONTROL!$C$42, 13.2486, 13.2486) * CHOOSE(CONTROL!$C$21, $C$9, 100%, $E$9)</f>
        <v>13.2486</v>
      </c>
      <c r="R267" s="17">
        <f>CHOOSE(CONTROL!$C$42, 13.8687, 13.8687) * CHOOSE(CONTROL!$C$21, $C$9, 100%, $E$9)</f>
        <v>13.8687</v>
      </c>
      <c r="S267" s="17">
        <f>CHOOSE(CONTROL!$C$42, 12.2247, 12.2247) * CHOOSE(CONTROL!$C$21, $C$9, 100%, $E$9)</f>
        <v>12.2247</v>
      </c>
      <c r="T26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67" s="56">
        <f>(1000*CHOOSE(CONTROL!$C$42, 695, 695)*CHOOSE(CONTROL!$C$42, 0.5599, 0.5599)*CHOOSE(CONTROL!$C$42, 31, 31))/1000000</f>
        <v>12.063045499999998</v>
      </c>
      <c r="V267" s="56">
        <f>(1000*CHOOSE(CONTROL!$C$42, 500, 500)*CHOOSE(CONTROL!$C$42, 0.275, 0.275)*CHOOSE(CONTROL!$C$42, 31, 31))/1000000</f>
        <v>4.2625000000000002</v>
      </c>
      <c r="W267" s="56">
        <f>(1000*CHOOSE(CONTROL!$C$42, 0.1146, 0.1146)*CHOOSE(CONTROL!$C$42, 121.5, 121.5)*CHOOSE(CONTROL!$C$42, 31, 31))/1000000</f>
        <v>0.43164089999999994</v>
      </c>
      <c r="X267" s="56">
        <f>(31*0.2374*100000/1000000)</f>
        <v>0.73594000000000004</v>
      </c>
      <c r="Y267" s="56"/>
      <c r="Z267" s="17"/>
      <c r="AA267" s="55"/>
      <c r="AB267" s="48">
        <f>(B267*122.58+C267*297.941+D267*89.177+E267*140.302+F267*40+G267*60+H267*0+I267*100+J267*300)/(122.58+297.941+89.177+140.302+0+40+60+100+300)</f>
        <v>12.772594262347823</v>
      </c>
      <c r="AC267" s="45">
        <f>(M267*'RAP TEMPLATE-GAS AVAILABILITY'!O266+N267*'RAP TEMPLATE-GAS AVAILABILITY'!P266+O267*'RAP TEMPLATE-GAS AVAILABILITY'!Q266+P267*'RAP TEMPLATE-GAS AVAILABILITY'!R266)/('RAP TEMPLATE-GAS AVAILABILITY'!O266+'RAP TEMPLATE-GAS AVAILABILITY'!P266+'RAP TEMPLATE-GAS AVAILABILITY'!Q266+'RAP TEMPLATE-GAS AVAILABILITY'!R266)</f>
        <v>12.589928776978418</v>
      </c>
    </row>
    <row r="268" spans="1:29" ht="15.75" x14ac:dyDescent="0.25">
      <c r="A268" s="16">
        <v>49035</v>
      </c>
      <c r="B268" s="17">
        <f>CHOOSE(CONTROL!$C$42, 12.694, 12.694) * CHOOSE(CONTROL!$C$21, $C$9, 100%, $E$9)</f>
        <v>12.694000000000001</v>
      </c>
      <c r="C268" s="17">
        <f>CHOOSE(CONTROL!$C$42, 12.6985, 12.6985) * CHOOSE(CONTROL!$C$21, $C$9, 100%, $E$9)</f>
        <v>12.698499999999999</v>
      </c>
      <c r="D268" s="17">
        <f>CHOOSE(CONTROL!$C$42, 12.9727, 12.9727) * CHOOSE(CONTROL!$C$21, $C$9, 100%, $E$9)</f>
        <v>12.9727</v>
      </c>
      <c r="E268" s="17">
        <f>CHOOSE(CONTROL!$C$42, 13.0048, 13.0048) * CHOOSE(CONTROL!$C$21, $C$9, 100%, $E$9)</f>
        <v>13.004799999999999</v>
      </c>
      <c r="F268" s="17">
        <f>CHOOSE(CONTROL!$C$42, 12.7133, 12.7133)*CHOOSE(CONTROL!$C$21, $C$9, 100%, $E$9)</f>
        <v>12.7133</v>
      </c>
      <c r="G268" s="17">
        <f>CHOOSE(CONTROL!$C$42, 12.7296, 12.7296)*CHOOSE(CONTROL!$C$21, $C$9, 100%, $E$9)</f>
        <v>12.7296</v>
      </c>
      <c r="H268" s="17">
        <f>CHOOSE(CONTROL!$C$42, 12.9945, 12.9945) * CHOOSE(CONTROL!$C$21, $C$9, 100%, $E$9)</f>
        <v>12.9945</v>
      </c>
      <c r="I268" s="17">
        <f>CHOOSE(CONTROL!$C$42, 12.755, 12.755)* CHOOSE(CONTROL!$C$21, $C$9, 100%, $E$9)</f>
        <v>12.755000000000001</v>
      </c>
      <c r="J268" s="17">
        <f>CHOOSE(CONTROL!$C$42, 12.7063, 12.7063)* CHOOSE(CONTROL!$C$21, $C$9, 100%, $E$9)</f>
        <v>12.706300000000001</v>
      </c>
      <c r="K268" s="52">
        <f>CHOOSE(CONTROL!$C$42, 12.7508, 12.7508) * CHOOSE(CONTROL!$C$21, $C$9, 100%, $E$9)</f>
        <v>12.7508</v>
      </c>
      <c r="L268" s="17">
        <f>CHOOSE(CONTROL!$C$42, 13.5815, 13.5815) * CHOOSE(CONTROL!$C$21, $C$9, 100%, $E$9)</f>
        <v>13.5815</v>
      </c>
      <c r="M268" s="17">
        <f>CHOOSE(CONTROL!$C$42, 12.4854, 12.4854) * CHOOSE(CONTROL!$C$21, $C$9, 100%, $E$9)</f>
        <v>12.4854</v>
      </c>
      <c r="N268" s="17">
        <f>CHOOSE(CONTROL!$C$42, 12.5015, 12.5015) * CHOOSE(CONTROL!$C$21, $C$9, 100%, $E$9)</f>
        <v>12.5015</v>
      </c>
      <c r="O268" s="17">
        <f>CHOOSE(CONTROL!$C$42, 12.7685, 12.7685) * CHOOSE(CONTROL!$C$21, $C$9, 100%, $E$9)</f>
        <v>12.7685</v>
      </c>
      <c r="P268" s="17">
        <f>CHOOSE(CONTROL!$C$42, 12.5326, 12.5326) * CHOOSE(CONTROL!$C$21, $C$9, 100%, $E$9)</f>
        <v>12.5326</v>
      </c>
      <c r="Q268" s="17">
        <f>CHOOSE(CONTROL!$C$42, 13.3632, 13.3632) * CHOOSE(CONTROL!$C$21, $C$9, 100%, $E$9)</f>
        <v>13.363200000000001</v>
      </c>
      <c r="R268" s="17">
        <f>CHOOSE(CONTROL!$C$42, 13.9836, 13.9836) * CHOOSE(CONTROL!$C$21, $C$9, 100%, $E$9)</f>
        <v>13.983599999999999</v>
      </c>
      <c r="S268" s="17">
        <f>CHOOSE(CONTROL!$C$42, 12.1883, 12.1883) * CHOOSE(CONTROL!$C$21, $C$9, 100%, $E$9)</f>
        <v>12.1883</v>
      </c>
      <c r="T26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68" s="56">
        <f>(1000*CHOOSE(CONTROL!$C$42, 695, 695)*CHOOSE(CONTROL!$C$42, 0.5599, 0.5599)*CHOOSE(CONTROL!$C$42, 30, 30))/1000000</f>
        <v>11.673914999999997</v>
      </c>
      <c r="V268" s="56">
        <f>(1000*CHOOSE(CONTROL!$C$42, 500, 500)*CHOOSE(CONTROL!$C$42, 0.275, 0.275)*CHOOSE(CONTROL!$C$42, 30, 30))/1000000</f>
        <v>4.125</v>
      </c>
      <c r="W268" s="56">
        <f>(1000*CHOOSE(CONTROL!$C$42, 0.1146, 0.1146)*CHOOSE(CONTROL!$C$42, 121.5, 121.5)*CHOOSE(CONTROL!$C$42, 30, 30))/1000000</f>
        <v>0.417717</v>
      </c>
      <c r="X268" s="56">
        <f>(30*0.1790888*145000/1000000)+(30*0.2374*100000/1000000)</f>
        <v>1.4912362799999999</v>
      </c>
      <c r="Y268" s="56"/>
      <c r="Z268" s="17"/>
      <c r="AA268" s="55"/>
      <c r="AB268" s="48">
        <f>(B268*141.293+C268*267.993+D268*115.016+E268*189.698+F268*40+G268*85+H268*0+I268*100+J268*300)/(141.293+267.993+115.016+189.698+0+40+85+100+300)</f>
        <v>12.779397147780468</v>
      </c>
      <c r="AC268" s="45">
        <f>(M268*'RAP TEMPLATE-GAS AVAILABILITY'!O267+N268*'RAP TEMPLATE-GAS AVAILABILITY'!P267+O268*'RAP TEMPLATE-GAS AVAILABILITY'!Q267+P268*'RAP TEMPLATE-GAS AVAILABILITY'!R267)/('RAP TEMPLATE-GAS AVAILABILITY'!O267+'RAP TEMPLATE-GAS AVAILABILITY'!P267+'RAP TEMPLATE-GAS AVAILABILITY'!Q267+'RAP TEMPLATE-GAS AVAILABILITY'!R267)</f>
        <v>12.575328776978417</v>
      </c>
    </row>
    <row r="269" spans="1:29" ht="15.75" x14ac:dyDescent="0.25">
      <c r="A269" s="16">
        <v>49065</v>
      </c>
      <c r="B269" s="17">
        <f>CHOOSE(CONTROL!$C$42, 12.8073, 12.8073) * CHOOSE(CONTROL!$C$21, $C$9, 100%, $E$9)</f>
        <v>12.8073</v>
      </c>
      <c r="C269" s="17">
        <f>CHOOSE(CONTROL!$C$42, 12.8153, 12.8153) * CHOOSE(CONTROL!$C$21, $C$9, 100%, $E$9)</f>
        <v>12.815300000000001</v>
      </c>
      <c r="D269" s="17">
        <f>CHOOSE(CONTROL!$C$42, 13.0864, 13.0864) * CHOOSE(CONTROL!$C$21, $C$9, 100%, $E$9)</f>
        <v>13.086399999999999</v>
      </c>
      <c r="E269" s="17">
        <f>CHOOSE(CONTROL!$C$42, 13.1179, 13.1179) * CHOOSE(CONTROL!$C$21, $C$9, 100%, $E$9)</f>
        <v>13.117900000000001</v>
      </c>
      <c r="F269" s="17">
        <f>CHOOSE(CONTROL!$C$42, 12.8255, 12.8255)*CHOOSE(CONTROL!$C$21, $C$9, 100%, $E$9)</f>
        <v>12.8255</v>
      </c>
      <c r="G269" s="17">
        <f>CHOOSE(CONTROL!$C$42, 12.8421, 12.8421)*CHOOSE(CONTROL!$C$21, $C$9, 100%, $E$9)</f>
        <v>12.8421</v>
      </c>
      <c r="H269" s="17">
        <f>CHOOSE(CONTROL!$C$42, 13.1065, 13.1065) * CHOOSE(CONTROL!$C$21, $C$9, 100%, $E$9)</f>
        <v>13.1065</v>
      </c>
      <c r="I269" s="17">
        <f>CHOOSE(CONTROL!$C$42, 12.8673, 12.8673)* CHOOSE(CONTROL!$C$21, $C$9, 100%, $E$9)</f>
        <v>12.8673</v>
      </c>
      <c r="J269" s="17">
        <f>CHOOSE(CONTROL!$C$42, 12.8185, 12.8185)* CHOOSE(CONTROL!$C$21, $C$9, 100%, $E$9)</f>
        <v>12.8185</v>
      </c>
      <c r="K269" s="52">
        <f>CHOOSE(CONTROL!$C$42, 12.8631, 12.8631) * CHOOSE(CONTROL!$C$21, $C$9, 100%, $E$9)</f>
        <v>12.863099999999999</v>
      </c>
      <c r="L269" s="17">
        <f>CHOOSE(CONTROL!$C$42, 13.6935, 13.6935) * CHOOSE(CONTROL!$C$21, $C$9, 100%, $E$9)</f>
        <v>13.6935</v>
      </c>
      <c r="M269" s="17">
        <f>CHOOSE(CONTROL!$C$42, 12.5956, 12.5956) * CHOOSE(CONTROL!$C$21, $C$9, 100%, $E$9)</f>
        <v>12.595599999999999</v>
      </c>
      <c r="N269" s="17">
        <f>CHOOSE(CONTROL!$C$42, 12.6119, 12.6119) * CHOOSE(CONTROL!$C$21, $C$9, 100%, $E$9)</f>
        <v>12.6119</v>
      </c>
      <c r="O269" s="17">
        <f>CHOOSE(CONTROL!$C$42, 12.8784, 12.8784) * CHOOSE(CONTROL!$C$21, $C$9, 100%, $E$9)</f>
        <v>12.878399999999999</v>
      </c>
      <c r="P269" s="17">
        <f>CHOOSE(CONTROL!$C$42, 12.6429, 12.6429) * CHOOSE(CONTROL!$C$21, $C$9, 100%, $E$9)</f>
        <v>12.642899999999999</v>
      </c>
      <c r="Q269" s="17">
        <f>CHOOSE(CONTROL!$C$42, 13.4731, 13.4731) * CHOOSE(CONTROL!$C$21, $C$9, 100%, $E$9)</f>
        <v>13.473100000000001</v>
      </c>
      <c r="R269" s="17">
        <f>CHOOSE(CONTROL!$C$42, 14.0938, 14.0938) * CHOOSE(CONTROL!$C$21, $C$9, 100%, $E$9)</f>
        <v>14.0938</v>
      </c>
      <c r="S269" s="17">
        <f>CHOOSE(CONTROL!$C$42, 12.2959, 12.2959) * CHOOSE(CONTROL!$C$21, $C$9, 100%, $E$9)</f>
        <v>12.2959</v>
      </c>
      <c r="T26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69" s="56">
        <f>(1000*CHOOSE(CONTROL!$C$42, 695, 695)*CHOOSE(CONTROL!$C$42, 0.5599, 0.5599)*CHOOSE(CONTROL!$C$42, 31, 31))/1000000</f>
        <v>12.063045499999998</v>
      </c>
      <c r="V269" s="56">
        <f>(1000*CHOOSE(CONTROL!$C$42, 500, 500)*CHOOSE(CONTROL!$C$42, 0.275, 0.275)*CHOOSE(CONTROL!$C$42, 31, 31))/1000000</f>
        <v>4.2625000000000002</v>
      </c>
      <c r="W269" s="56">
        <f>(1000*CHOOSE(CONTROL!$C$42, 0.1146, 0.1146)*CHOOSE(CONTROL!$C$42, 121.5, 121.5)*CHOOSE(CONTROL!$C$42, 31, 31))/1000000</f>
        <v>0.43164089999999994</v>
      </c>
      <c r="X269" s="56">
        <f>(31*0.1790888*145000/1000000)+(31*0.2374*100000/1000000)</f>
        <v>1.5409441560000001</v>
      </c>
      <c r="Y269" s="56"/>
      <c r="Z269" s="17"/>
      <c r="AA269" s="55"/>
      <c r="AB269" s="48">
        <f>(B269*194.205+C269*267.466+D269*133.845+E269*153.484+F269*40+G269*85+H269*0+I269*100+J269*300)/(194.205+267.466+133.845+153.484+0+40+85+100+300)</f>
        <v>12.885960908869702</v>
      </c>
      <c r="AC269" s="45">
        <f>(M269*'RAP TEMPLATE-GAS AVAILABILITY'!O268+N269*'RAP TEMPLATE-GAS AVAILABILITY'!P268+O269*'RAP TEMPLATE-GAS AVAILABILITY'!Q268+P269*'RAP TEMPLATE-GAS AVAILABILITY'!R268)/('RAP TEMPLATE-GAS AVAILABILITY'!O268+'RAP TEMPLATE-GAS AVAILABILITY'!P268+'RAP TEMPLATE-GAS AVAILABILITY'!Q268+'RAP TEMPLATE-GAS AVAILABILITY'!R268)</f>
        <v>12.685505035971222</v>
      </c>
    </row>
    <row r="270" spans="1:29" ht="15.75" x14ac:dyDescent="0.25">
      <c r="A270" s="16">
        <v>49096</v>
      </c>
      <c r="B270" s="17">
        <f>CHOOSE(CONTROL!$C$42, 13.1703, 13.1703) * CHOOSE(CONTROL!$C$21, $C$9, 100%, $E$9)</f>
        <v>13.170299999999999</v>
      </c>
      <c r="C270" s="17">
        <f>CHOOSE(CONTROL!$C$42, 13.1783, 13.1783) * CHOOSE(CONTROL!$C$21, $C$9, 100%, $E$9)</f>
        <v>13.1783</v>
      </c>
      <c r="D270" s="17">
        <f>CHOOSE(CONTROL!$C$42, 13.4493, 13.4493) * CHOOSE(CONTROL!$C$21, $C$9, 100%, $E$9)</f>
        <v>13.449299999999999</v>
      </c>
      <c r="E270" s="17">
        <f>CHOOSE(CONTROL!$C$42, 13.4808, 13.4808) * CHOOSE(CONTROL!$C$21, $C$9, 100%, $E$9)</f>
        <v>13.4808</v>
      </c>
      <c r="F270" s="17">
        <f>CHOOSE(CONTROL!$C$42, 13.1887, 13.1887)*CHOOSE(CONTROL!$C$21, $C$9, 100%, $E$9)</f>
        <v>13.188700000000001</v>
      </c>
      <c r="G270" s="17">
        <f>CHOOSE(CONTROL!$C$42, 13.2054, 13.2054)*CHOOSE(CONTROL!$C$21, $C$9, 100%, $E$9)</f>
        <v>13.205399999999999</v>
      </c>
      <c r="H270" s="17">
        <f>CHOOSE(CONTROL!$C$42, 13.4694, 13.4694) * CHOOSE(CONTROL!$C$21, $C$9, 100%, $E$9)</f>
        <v>13.4694</v>
      </c>
      <c r="I270" s="17">
        <f>CHOOSE(CONTROL!$C$42, 13.2314, 13.2314)* CHOOSE(CONTROL!$C$21, $C$9, 100%, $E$9)</f>
        <v>13.231400000000001</v>
      </c>
      <c r="J270" s="17">
        <f>CHOOSE(CONTROL!$C$42, 13.1817, 13.1817)* CHOOSE(CONTROL!$C$21, $C$9, 100%, $E$9)</f>
        <v>13.181699999999999</v>
      </c>
      <c r="K270" s="52">
        <f>CHOOSE(CONTROL!$C$42, 13.2272, 13.2272) * CHOOSE(CONTROL!$C$21, $C$9, 100%, $E$9)</f>
        <v>13.2272</v>
      </c>
      <c r="L270" s="17">
        <f>CHOOSE(CONTROL!$C$42, 14.0564, 14.0564) * CHOOSE(CONTROL!$C$21, $C$9, 100%, $E$9)</f>
        <v>14.0564</v>
      </c>
      <c r="M270" s="17">
        <f>CHOOSE(CONTROL!$C$42, 12.9523, 12.9523) * CHOOSE(CONTROL!$C$21, $C$9, 100%, $E$9)</f>
        <v>12.952299999999999</v>
      </c>
      <c r="N270" s="17">
        <f>CHOOSE(CONTROL!$C$42, 12.9687, 12.9687) * CHOOSE(CONTROL!$C$21, $C$9, 100%, $E$9)</f>
        <v>12.9687</v>
      </c>
      <c r="O270" s="17">
        <f>CHOOSE(CONTROL!$C$42, 13.2349, 13.2349) * CHOOSE(CONTROL!$C$21, $C$9, 100%, $E$9)</f>
        <v>13.2349</v>
      </c>
      <c r="P270" s="17">
        <f>CHOOSE(CONTROL!$C$42, 13.0004, 13.0004) * CHOOSE(CONTROL!$C$21, $C$9, 100%, $E$9)</f>
        <v>13.000400000000001</v>
      </c>
      <c r="Q270" s="17">
        <f>CHOOSE(CONTROL!$C$42, 13.8296, 13.8296) * CHOOSE(CONTROL!$C$21, $C$9, 100%, $E$9)</f>
        <v>13.829599999999999</v>
      </c>
      <c r="R270" s="17">
        <f>CHOOSE(CONTROL!$C$42, 14.4511, 14.4511) * CHOOSE(CONTROL!$C$21, $C$9, 100%, $E$9)</f>
        <v>14.4511</v>
      </c>
      <c r="S270" s="17">
        <f>CHOOSE(CONTROL!$C$42, 12.6447, 12.6447) * CHOOSE(CONTROL!$C$21, $C$9, 100%, $E$9)</f>
        <v>12.6447</v>
      </c>
      <c r="T27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70" s="56">
        <f>(1000*CHOOSE(CONTROL!$C$42, 695, 695)*CHOOSE(CONTROL!$C$42, 0.5599, 0.5599)*CHOOSE(CONTROL!$C$42, 30, 30))/1000000</f>
        <v>11.673914999999997</v>
      </c>
      <c r="V270" s="56">
        <f>(1000*CHOOSE(CONTROL!$C$42, 500, 500)*CHOOSE(CONTROL!$C$42, 0.275, 0.275)*CHOOSE(CONTROL!$C$42, 30, 30))/1000000</f>
        <v>4.125</v>
      </c>
      <c r="W270" s="56">
        <f>(1000*CHOOSE(CONTROL!$C$42, 0.1146, 0.1146)*CHOOSE(CONTROL!$C$42, 121.5, 121.5)*CHOOSE(CONTROL!$C$42, 30, 30))/1000000</f>
        <v>0.417717</v>
      </c>
      <c r="X270" s="56">
        <f>(30*0.1790888*145000/1000000)+(30*0.2374*100000/1000000)</f>
        <v>1.4912362799999999</v>
      </c>
      <c r="Y270" s="56"/>
      <c r="Z270" s="17"/>
      <c r="AA270" s="55"/>
      <c r="AB270" s="48">
        <f>(B270*194.205+C270*267.466+D270*133.845+E270*153.484+F270*40+G270*85+H270*0+I270*100+J270*300)/(194.205+267.466+133.845+153.484+0+40+85+100+300)</f>
        <v>13.249098088697016</v>
      </c>
      <c r="AC270" s="45">
        <f>(M270*'RAP TEMPLATE-GAS AVAILABILITY'!O269+N270*'RAP TEMPLATE-GAS AVAILABILITY'!P269+O270*'RAP TEMPLATE-GAS AVAILABILITY'!Q269+P270*'RAP TEMPLATE-GAS AVAILABILITY'!R269)/('RAP TEMPLATE-GAS AVAILABILITY'!O269+'RAP TEMPLATE-GAS AVAILABILITY'!P269+'RAP TEMPLATE-GAS AVAILABILITY'!Q269+'RAP TEMPLATE-GAS AVAILABILITY'!R269)</f>
        <v>13.042287050359715</v>
      </c>
    </row>
    <row r="271" spans="1:29" ht="15.75" x14ac:dyDescent="0.25">
      <c r="A271" s="16">
        <v>49126</v>
      </c>
      <c r="B271" s="17">
        <f>CHOOSE(CONTROL!$C$42, 12.9178, 12.9178) * CHOOSE(CONTROL!$C$21, $C$9, 100%, $E$9)</f>
        <v>12.9178</v>
      </c>
      <c r="C271" s="17">
        <f>CHOOSE(CONTROL!$C$42, 12.9259, 12.9259) * CHOOSE(CONTROL!$C$21, $C$9, 100%, $E$9)</f>
        <v>12.9259</v>
      </c>
      <c r="D271" s="17">
        <f>CHOOSE(CONTROL!$C$42, 13.1969, 13.1969) * CHOOSE(CONTROL!$C$21, $C$9, 100%, $E$9)</f>
        <v>13.196899999999999</v>
      </c>
      <c r="E271" s="17">
        <f>CHOOSE(CONTROL!$C$42, 13.2284, 13.2284) * CHOOSE(CONTROL!$C$21, $C$9, 100%, $E$9)</f>
        <v>13.228400000000001</v>
      </c>
      <c r="F271" s="17">
        <f>CHOOSE(CONTROL!$C$42, 12.9367, 12.9367)*CHOOSE(CONTROL!$C$21, $C$9, 100%, $E$9)</f>
        <v>12.9367</v>
      </c>
      <c r="G271" s="17">
        <f>CHOOSE(CONTROL!$C$42, 12.9535, 12.9535)*CHOOSE(CONTROL!$C$21, $C$9, 100%, $E$9)</f>
        <v>12.9535</v>
      </c>
      <c r="H271" s="17">
        <f>CHOOSE(CONTROL!$C$42, 13.217, 13.217) * CHOOSE(CONTROL!$C$21, $C$9, 100%, $E$9)</f>
        <v>13.217000000000001</v>
      </c>
      <c r="I271" s="17">
        <f>CHOOSE(CONTROL!$C$42, 12.9781, 12.9781)* CHOOSE(CONTROL!$C$21, $C$9, 100%, $E$9)</f>
        <v>12.9781</v>
      </c>
      <c r="J271" s="17">
        <f>CHOOSE(CONTROL!$C$42, 12.9297, 12.9297)* CHOOSE(CONTROL!$C$21, $C$9, 100%, $E$9)</f>
        <v>12.9297</v>
      </c>
      <c r="K271" s="52">
        <f>CHOOSE(CONTROL!$C$42, 12.9739, 12.9739) * CHOOSE(CONTROL!$C$21, $C$9, 100%, $E$9)</f>
        <v>12.9739</v>
      </c>
      <c r="L271" s="17">
        <f>CHOOSE(CONTROL!$C$42, 13.804, 13.804) * CHOOSE(CONTROL!$C$21, $C$9, 100%, $E$9)</f>
        <v>13.804</v>
      </c>
      <c r="M271" s="17">
        <f>CHOOSE(CONTROL!$C$42, 12.7048, 12.7048) * CHOOSE(CONTROL!$C$21, $C$9, 100%, $E$9)</f>
        <v>12.704800000000001</v>
      </c>
      <c r="N271" s="17">
        <f>CHOOSE(CONTROL!$C$42, 12.7213, 12.7213) * CHOOSE(CONTROL!$C$21, $C$9, 100%, $E$9)</f>
        <v>12.721299999999999</v>
      </c>
      <c r="O271" s="17">
        <f>CHOOSE(CONTROL!$C$42, 12.987, 12.987) * CHOOSE(CONTROL!$C$21, $C$9, 100%, $E$9)</f>
        <v>12.987</v>
      </c>
      <c r="P271" s="17">
        <f>CHOOSE(CONTROL!$C$42, 12.7518, 12.7518) * CHOOSE(CONTROL!$C$21, $C$9, 100%, $E$9)</f>
        <v>12.751799999999999</v>
      </c>
      <c r="Q271" s="17">
        <f>CHOOSE(CONTROL!$C$42, 13.5817, 13.5817) * CHOOSE(CONTROL!$C$21, $C$9, 100%, $E$9)</f>
        <v>13.5817</v>
      </c>
      <c r="R271" s="17">
        <f>CHOOSE(CONTROL!$C$42, 14.2026, 14.2026) * CHOOSE(CONTROL!$C$21, $C$9, 100%, $E$9)</f>
        <v>14.2026</v>
      </c>
      <c r="S271" s="17">
        <f>CHOOSE(CONTROL!$C$42, 12.4021, 12.4021) * CHOOSE(CONTROL!$C$21, $C$9, 100%, $E$9)</f>
        <v>12.402100000000001</v>
      </c>
      <c r="T27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71" s="56">
        <f>(1000*CHOOSE(CONTROL!$C$42, 695, 695)*CHOOSE(CONTROL!$C$42, 0.5599, 0.5599)*CHOOSE(CONTROL!$C$42, 31, 31))/1000000</f>
        <v>12.063045499999998</v>
      </c>
      <c r="V271" s="56">
        <f>(1000*CHOOSE(CONTROL!$C$42, 500, 500)*CHOOSE(CONTROL!$C$42, 0.275, 0.275)*CHOOSE(CONTROL!$C$42, 31, 31))/1000000</f>
        <v>4.2625000000000002</v>
      </c>
      <c r="W271" s="56">
        <f>(1000*CHOOSE(CONTROL!$C$42, 0.1146, 0.1146)*CHOOSE(CONTROL!$C$42, 121.5, 121.5)*CHOOSE(CONTROL!$C$42, 31, 31))/1000000</f>
        <v>0.43164089999999994</v>
      </c>
      <c r="X271" s="56">
        <f>(31*0.1790888*145000/1000000)+(31*0.2374*100000/1000000)</f>
        <v>1.5409441560000001</v>
      </c>
      <c r="Y271" s="56"/>
      <c r="Z271" s="17"/>
      <c r="AA271" s="55"/>
      <c r="AB271" s="48">
        <f>(B271*194.205+C271*267.466+D271*133.845+E271*153.484+F271*40+G271*85+H271*0+I271*100+J271*300)/(194.205+267.466+133.845+153.484+0+40+85+100+300)</f>
        <v>12.996752311224492</v>
      </c>
      <c r="AC271" s="45">
        <f>(M271*'RAP TEMPLATE-GAS AVAILABILITY'!O270+N271*'RAP TEMPLATE-GAS AVAILABILITY'!P270+O271*'RAP TEMPLATE-GAS AVAILABILITY'!Q270+P271*'RAP TEMPLATE-GAS AVAILABILITY'!R270)/('RAP TEMPLATE-GAS AVAILABILITY'!O270+'RAP TEMPLATE-GAS AVAILABILITY'!P270+'RAP TEMPLATE-GAS AVAILABILITY'!Q270+'RAP TEMPLATE-GAS AVAILABILITY'!R270)</f>
        <v>12.794539568345323</v>
      </c>
    </row>
    <row r="272" spans="1:29" ht="15.75" x14ac:dyDescent="0.25">
      <c r="A272" s="16">
        <v>49157</v>
      </c>
      <c r="B272" s="17">
        <f>CHOOSE(CONTROL!$C$42, 12.2803, 12.2803) * CHOOSE(CONTROL!$C$21, $C$9, 100%, $E$9)</f>
        <v>12.2803</v>
      </c>
      <c r="C272" s="17">
        <f>CHOOSE(CONTROL!$C$42, 12.2884, 12.2884) * CHOOSE(CONTROL!$C$21, $C$9, 100%, $E$9)</f>
        <v>12.288399999999999</v>
      </c>
      <c r="D272" s="17">
        <f>CHOOSE(CONTROL!$C$42, 12.5594, 12.5594) * CHOOSE(CONTROL!$C$21, $C$9, 100%, $E$9)</f>
        <v>12.5594</v>
      </c>
      <c r="E272" s="17">
        <f>CHOOSE(CONTROL!$C$42, 12.5909, 12.5909) * CHOOSE(CONTROL!$C$21, $C$9, 100%, $E$9)</f>
        <v>12.5909</v>
      </c>
      <c r="F272" s="17">
        <f>CHOOSE(CONTROL!$C$42, 12.2995, 12.2995)*CHOOSE(CONTROL!$C$21, $C$9, 100%, $E$9)</f>
        <v>12.2995</v>
      </c>
      <c r="G272" s="17">
        <f>CHOOSE(CONTROL!$C$42, 12.3163, 12.3163)*CHOOSE(CONTROL!$C$21, $C$9, 100%, $E$9)</f>
        <v>12.3163</v>
      </c>
      <c r="H272" s="17">
        <f>CHOOSE(CONTROL!$C$42, 12.5795, 12.5795) * CHOOSE(CONTROL!$C$21, $C$9, 100%, $E$9)</f>
        <v>12.579499999999999</v>
      </c>
      <c r="I272" s="17">
        <f>CHOOSE(CONTROL!$C$42, 12.3387, 12.3387)* CHOOSE(CONTROL!$C$21, $C$9, 100%, $E$9)</f>
        <v>12.338699999999999</v>
      </c>
      <c r="J272" s="17">
        <f>CHOOSE(CONTROL!$C$42, 12.2925, 12.2925)* CHOOSE(CONTROL!$C$21, $C$9, 100%, $E$9)</f>
        <v>12.2925</v>
      </c>
      <c r="K272" s="52">
        <f>CHOOSE(CONTROL!$C$42, 12.3344, 12.3344) * CHOOSE(CONTROL!$C$21, $C$9, 100%, $E$9)</f>
        <v>12.3344</v>
      </c>
      <c r="L272" s="17">
        <f>CHOOSE(CONTROL!$C$42, 13.1665, 13.1665) * CHOOSE(CONTROL!$C$21, $C$9, 100%, $E$9)</f>
        <v>13.166499999999999</v>
      </c>
      <c r="M272" s="17">
        <f>CHOOSE(CONTROL!$C$42, 12.0791, 12.0791) * CHOOSE(CONTROL!$C$21, $C$9, 100%, $E$9)</f>
        <v>12.0791</v>
      </c>
      <c r="N272" s="17">
        <f>CHOOSE(CONTROL!$C$42, 12.0956, 12.0956) * CHOOSE(CONTROL!$C$21, $C$9, 100%, $E$9)</f>
        <v>12.095599999999999</v>
      </c>
      <c r="O272" s="17">
        <f>CHOOSE(CONTROL!$C$42, 12.3609, 12.3609) * CHOOSE(CONTROL!$C$21, $C$9, 100%, $E$9)</f>
        <v>12.360900000000001</v>
      </c>
      <c r="P272" s="17">
        <f>CHOOSE(CONTROL!$C$42, 12.1238, 12.1238) * CHOOSE(CONTROL!$C$21, $C$9, 100%, $E$9)</f>
        <v>12.123799999999999</v>
      </c>
      <c r="Q272" s="17">
        <f>CHOOSE(CONTROL!$C$42, 12.9556, 12.9556) * CHOOSE(CONTROL!$C$21, $C$9, 100%, $E$9)</f>
        <v>12.9556</v>
      </c>
      <c r="R272" s="17">
        <f>CHOOSE(CONTROL!$C$42, 13.575, 13.575) * CHOOSE(CONTROL!$C$21, $C$9, 100%, $E$9)</f>
        <v>13.574999999999999</v>
      </c>
      <c r="S272" s="17">
        <f>CHOOSE(CONTROL!$C$42, 11.7895, 11.7895) * CHOOSE(CONTROL!$C$21, $C$9, 100%, $E$9)</f>
        <v>11.7895</v>
      </c>
      <c r="T27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72" s="56">
        <f>(1000*CHOOSE(CONTROL!$C$42, 695, 695)*CHOOSE(CONTROL!$C$42, 0.5599, 0.5599)*CHOOSE(CONTROL!$C$42, 31, 31))/1000000</f>
        <v>12.063045499999998</v>
      </c>
      <c r="V272" s="56">
        <f>(1000*CHOOSE(CONTROL!$C$42, 500, 500)*CHOOSE(CONTROL!$C$42, 0.275, 0.275)*CHOOSE(CONTROL!$C$42, 31, 31))/1000000</f>
        <v>4.2625000000000002</v>
      </c>
      <c r="W272" s="56">
        <f>(1000*CHOOSE(CONTROL!$C$42, 0.1146, 0.1146)*CHOOSE(CONTROL!$C$42, 121.5, 121.5)*CHOOSE(CONTROL!$C$42, 31, 31))/1000000</f>
        <v>0.43164089999999994</v>
      </c>
      <c r="X272" s="56">
        <f>(31*0.1790888*145000/1000000)+(31*0.2374*100000/1000000)</f>
        <v>1.5409441560000001</v>
      </c>
      <c r="Y272" s="56"/>
      <c r="Z272" s="17"/>
      <c r="AA272" s="55"/>
      <c r="AB272" s="48">
        <f>(B272*194.205+C272*267.466+D272*133.845+E272*153.484+F272*40+G272*85+H272*0+I272*100+J272*300)/(194.205+267.466+133.845+153.484+0+40+85+100+300)</f>
        <v>12.359203253139716</v>
      </c>
      <c r="AC272" s="45">
        <f>(M272*'RAP TEMPLATE-GAS AVAILABILITY'!O271+N272*'RAP TEMPLATE-GAS AVAILABILITY'!P271+O272*'RAP TEMPLATE-GAS AVAILABILITY'!Q271+P272*'RAP TEMPLATE-GAS AVAILABILITY'!R271)/('RAP TEMPLATE-GAS AVAILABILITY'!O271+'RAP TEMPLATE-GAS AVAILABILITY'!P271+'RAP TEMPLATE-GAS AVAILABILITY'!Q271+'RAP TEMPLATE-GAS AVAILABILITY'!R271)</f>
        <v>12.168396402877697</v>
      </c>
    </row>
    <row r="273" spans="1:29" ht="15.75" x14ac:dyDescent="0.25">
      <c r="A273" s="16">
        <v>49188</v>
      </c>
      <c r="B273" s="17">
        <f>CHOOSE(CONTROL!$C$42, 11.5012, 11.5012) * CHOOSE(CONTROL!$C$21, $C$9, 100%, $E$9)</f>
        <v>11.501200000000001</v>
      </c>
      <c r="C273" s="17">
        <f>CHOOSE(CONTROL!$C$42, 11.5092, 11.5092) * CHOOSE(CONTROL!$C$21, $C$9, 100%, $E$9)</f>
        <v>11.5092</v>
      </c>
      <c r="D273" s="17">
        <f>CHOOSE(CONTROL!$C$42, 11.7803, 11.7803) * CHOOSE(CONTROL!$C$21, $C$9, 100%, $E$9)</f>
        <v>11.7803</v>
      </c>
      <c r="E273" s="17">
        <f>CHOOSE(CONTROL!$C$42, 11.8118, 11.8118) * CHOOSE(CONTROL!$C$21, $C$9, 100%, $E$9)</f>
        <v>11.8118</v>
      </c>
      <c r="F273" s="17">
        <f>CHOOSE(CONTROL!$C$42, 11.5204, 11.5204)*CHOOSE(CONTROL!$C$21, $C$9, 100%, $E$9)</f>
        <v>11.5204</v>
      </c>
      <c r="G273" s="17">
        <f>CHOOSE(CONTROL!$C$42, 11.5373, 11.5373)*CHOOSE(CONTROL!$C$21, $C$9, 100%, $E$9)</f>
        <v>11.5373</v>
      </c>
      <c r="H273" s="17">
        <f>CHOOSE(CONTROL!$C$42, 11.8004, 11.8004) * CHOOSE(CONTROL!$C$21, $C$9, 100%, $E$9)</f>
        <v>11.8004</v>
      </c>
      <c r="I273" s="17">
        <f>CHOOSE(CONTROL!$C$42, 11.5571, 11.5571)* CHOOSE(CONTROL!$C$21, $C$9, 100%, $E$9)</f>
        <v>11.5571</v>
      </c>
      <c r="J273" s="17">
        <f>CHOOSE(CONTROL!$C$42, 11.5134, 11.5134)* CHOOSE(CONTROL!$C$21, $C$9, 100%, $E$9)</f>
        <v>11.513400000000001</v>
      </c>
      <c r="K273" s="52">
        <f>CHOOSE(CONTROL!$C$42, 11.5529, 11.5529) * CHOOSE(CONTROL!$C$21, $C$9, 100%, $E$9)</f>
        <v>11.552899999999999</v>
      </c>
      <c r="L273" s="17">
        <f>CHOOSE(CONTROL!$C$42, 12.3874, 12.3874) * CHOOSE(CONTROL!$C$21, $C$9, 100%, $E$9)</f>
        <v>12.3874</v>
      </c>
      <c r="M273" s="17">
        <f>CHOOSE(CONTROL!$C$42, 11.314, 11.314) * CHOOSE(CONTROL!$C$21, $C$9, 100%, $E$9)</f>
        <v>11.314</v>
      </c>
      <c r="N273" s="17">
        <f>CHOOSE(CONTROL!$C$42, 11.3306, 11.3306) * CHOOSE(CONTROL!$C$21, $C$9, 100%, $E$9)</f>
        <v>11.3306</v>
      </c>
      <c r="O273" s="17">
        <f>CHOOSE(CONTROL!$C$42, 11.5958, 11.5958) * CHOOSE(CONTROL!$C$21, $C$9, 100%, $E$9)</f>
        <v>11.595800000000001</v>
      </c>
      <c r="P273" s="17">
        <f>CHOOSE(CONTROL!$C$42, 11.3564, 11.3564) * CHOOSE(CONTROL!$C$21, $C$9, 100%, $E$9)</f>
        <v>11.356400000000001</v>
      </c>
      <c r="Q273" s="17">
        <f>CHOOSE(CONTROL!$C$42, 12.1905, 12.1905) * CHOOSE(CONTROL!$C$21, $C$9, 100%, $E$9)</f>
        <v>12.1905</v>
      </c>
      <c r="R273" s="17">
        <f>CHOOSE(CONTROL!$C$42, 12.808, 12.808) * CHOOSE(CONTROL!$C$21, $C$9, 100%, $E$9)</f>
        <v>12.808</v>
      </c>
      <c r="S273" s="17">
        <f>CHOOSE(CONTROL!$C$42, 11.0409, 11.0409) * CHOOSE(CONTROL!$C$21, $C$9, 100%, $E$9)</f>
        <v>11.040900000000001</v>
      </c>
      <c r="T27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73" s="56">
        <f>(1000*CHOOSE(CONTROL!$C$42, 695, 695)*CHOOSE(CONTROL!$C$42, 0.5599, 0.5599)*CHOOSE(CONTROL!$C$42, 30, 30))/1000000</f>
        <v>11.673914999999997</v>
      </c>
      <c r="V273" s="56">
        <f>(1000*CHOOSE(CONTROL!$C$42, 500, 500)*CHOOSE(CONTROL!$C$42, 0.275, 0.275)*CHOOSE(CONTROL!$C$42, 30, 30))/1000000</f>
        <v>4.125</v>
      </c>
      <c r="W273" s="56">
        <f>(1000*CHOOSE(CONTROL!$C$42, 0.1146, 0.1146)*CHOOSE(CONTROL!$C$42, 121.5, 121.5)*CHOOSE(CONTROL!$C$42, 30, 30))/1000000</f>
        <v>0.417717</v>
      </c>
      <c r="X273" s="56">
        <f>(30*0.1790888*145000/1000000)+(30*0.2374*100000/1000000)</f>
        <v>1.4912362799999999</v>
      </c>
      <c r="Y273" s="56"/>
      <c r="Z273" s="17"/>
      <c r="AA273" s="55"/>
      <c r="AB273" s="48">
        <f>(B273*194.205+C273*267.466+D273*133.845+E273*153.484+F273*40+G273*85+H273*0+I273*100+J273*300)/(194.205+267.466+133.845+153.484+0+40+85+100+300)</f>
        <v>11.579892698508635</v>
      </c>
      <c r="AC273" s="45">
        <f>(M273*'RAP TEMPLATE-GAS AVAILABILITY'!O272+N273*'RAP TEMPLATE-GAS AVAILABILITY'!P272+O273*'RAP TEMPLATE-GAS AVAILABILITY'!Q272+P273*'RAP TEMPLATE-GAS AVAILABILITY'!R272)/('RAP TEMPLATE-GAS AVAILABILITY'!O272+'RAP TEMPLATE-GAS AVAILABILITY'!P272+'RAP TEMPLATE-GAS AVAILABILITY'!Q272+'RAP TEMPLATE-GAS AVAILABILITY'!R272)</f>
        <v>11.402988489208633</v>
      </c>
    </row>
    <row r="274" spans="1:29" ht="15.75" x14ac:dyDescent="0.25">
      <c r="A274" s="16">
        <v>49218</v>
      </c>
      <c r="B274" s="17">
        <f>CHOOSE(CONTROL!$C$42, 11.2662, 11.2662) * CHOOSE(CONTROL!$C$21, $C$9, 100%, $E$9)</f>
        <v>11.2662</v>
      </c>
      <c r="C274" s="17">
        <f>CHOOSE(CONTROL!$C$42, 11.2715, 11.2715) * CHOOSE(CONTROL!$C$21, $C$9, 100%, $E$9)</f>
        <v>11.2715</v>
      </c>
      <c r="D274" s="17">
        <f>CHOOSE(CONTROL!$C$42, 11.5475, 11.5475) * CHOOSE(CONTROL!$C$21, $C$9, 100%, $E$9)</f>
        <v>11.547499999999999</v>
      </c>
      <c r="E274" s="17">
        <f>CHOOSE(CONTROL!$C$42, 11.5767, 11.5767) * CHOOSE(CONTROL!$C$21, $C$9, 100%, $E$9)</f>
        <v>11.576700000000001</v>
      </c>
      <c r="F274" s="17">
        <f>CHOOSE(CONTROL!$C$42, 11.2876, 11.2876)*CHOOSE(CONTROL!$C$21, $C$9, 100%, $E$9)</f>
        <v>11.287599999999999</v>
      </c>
      <c r="G274" s="17">
        <f>CHOOSE(CONTROL!$C$42, 11.3044, 11.3044)*CHOOSE(CONTROL!$C$21, $C$9, 100%, $E$9)</f>
        <v>11.304399999999999</v>
      </c>
      <c r="H274" s="17">
        <f>CHOOSE(CONTROL!$C$42, 11.5671, 11.5671) * CHOOSE(CONTROL!$C$21, $C$9, 100%, $E$9)</f>
        <v>11.5671</v>
      </c>
      <c r="I274" s="17">
        <f>CHOOSE(CONTROL!$C$42, 11.3231, 11.3231)* CHOOSE(CONTROL!$C$21, $C$9, 100%, $E$9)</f>
        <v>11.3231</v>
      </c>
      <c r="J274" s="17">
        <f>CHOOSE(CONTROL!$C$42, 11.2806, 11.2806)* CHOOSE(CONTROL!$C$21, $C$9, 100%, $E$9)</f>
        <v>11.2806</v>
      </c>
      <c r="K274" s="52">
        <f>CHOOSE(CONTROL!$C$42, 11.3189, 11.3189) * CHOOSE(CONTROL!$C$21, $C$9, 100%, $E$9)</f>
        <v>11.318899999999999</v>
      </c>
      <c r="L274" s="17">
        <f>CHOOSE(CONTROL!$C$42, 12.1541, 12.1541) * CHOOSE(CONTROL!$C$21, $C$9, 100%, $E$9)</f>
        <v>12.1541</v>
      </c>
      <c r="M274" s="17">
        <f>CHOOSE(CONTROL!$C$42, 11.0854, 11.0854) * CHOOSE(CONTROL!$C$21, $C$9, 100%, $E$9)</f>
        <v>11.0854</v>
      </c>
      <c r="N274" s="17">
        <f>CHOOSE(CONTROL!$C$42, 11.1019, 11.1019) * CHOOSE(CONTROL!$C$21, $C$9, 100%, $E$9)</f>
        <v>11.101900000000001</v>
      </c>
      <c r="O274" s="17">
        <f>CHOOSE(CONTROL!$C$42, 11.3668, 11.3668) * CHOOSE(CONTROL!$C$21, $C$9, 100%, $E$9)</f>
        <v>11.3668</v>
      </c>
      <c r="P274" s="17">
        <f>CHOOSE(CONTROL!$C$42, 11.1266, 11.1266) * CHOOSE(CONTROL!$C$21, $C$9, 100%, $E$9)</f>
        <v>11.1266</v>
      </c>
      <c r="Q274" s="17">
        <f>CHOOSE(CONTROL!$C$42, 11.9615, 11.9615) * CHOOSE(CONTROL!$C$21, $C$9, 100%, $E$9)</f>
        <v>11.961499999999999</v>
      </c>
      <c r="R274" s="17">
        <f>CHOOSE(CONTROL!$C$42, 12.5784, 12.5784) * CHOOSE(CONTROL!$C$21, $C$9, 100%, $E$9)</f>
        <v>12.5784</v>
      </c>
      <c r="S274" s="17">
        <f>CHOOSE(CONTROL!$C$42, 10.8167, 10.8167) * CHOOSE(CONTROL!$C$21, $C$9, 100%, $E$9)</f>
        <v>10.816700000000001</v>
      </c>
      <c r="T27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74" s="56">
        <f>(1000*CHOOSE(CONTROL!$C$42, 695, 695)*CHOOSE(CONTROL!$C$42, 0.5599, 0.5599)*CHOOSE(CONTROL!$C$42, 31, 31))/1000000</f>
        <v>12.063045499999998</v>
      </c>
      <c r="V274" s="56">
        <f>(1000*CHOOSE(CONTROL!$C$42, 500, 500)*CHOOSE(CONTROL!$C$42, 0.275, 0.275)*CHOOSE(CONTROL!$C$42, 31, 31))/1000000</f>
        <v>4.2625000000000002</v>
      </c>
      <c r="W274" s="56">
        <f>(1000*CHOOSE(CONTROL!$C$42, 0.1146, 0.1146)*CHOOSE(CONTROL!$C$42, 121.5, 121.5)*CHOOSE(CONTROL!$C$42, 31, 31))/1000000</f>
        <v>0.43164089999999994</v>
      </c>
      <c r="X274" s="56">
        <f>(31*0.1790888*145000/1000000)+(31*0.2374*100000/1000000)</f>
        <v>1.5409441560000001</v>
      </c>
      <c r="Y274" s="56"/>
      <c r="Z274" s="17"/>
      <c r="AA274" s="55"/>
      <c r="AB274" s="48">
        <f>(B274*131.881+C274*277.167+D274*79.08+E274*225.872+F274*40+G274*85+H274*0+I274*100+J274*300)/(131.881+277.167+79.08+225.872+0+40+85+100+300)</f>
        <v>11.353335145359161</v>
      </c>
      <c r="AC274" s="45">
        <f>(M274*'RAP TEMPLATE-GAS AVAILABILITY'!O273+N274*'RAP TEMPLATE-GAS AVAILABILITY'!P273+O274*'RAP TEMPLATE-GAS AVAILABILITY'!Q273+P274*'RAP TEMPLATE-GAS AVAILABILITY'!R273)/('RAP TEMPLATE-GAS AVAILABILITY'!O273+'RAP TEMPLATE-GAS AVAILABILITY'!P273+'RAP TEMPLATE-GAS AVAILABILITY'!Q273+'RAP TEMPLATE-GAS AVAILABILITY'!R273)</f>
        <v>11.174080575539568</v>
      </c>
    </row>
    <row r="275" spans="1:29" ht="15.75" x14ac:dyDescent="0.25">
      <c r="A275" s="16">
        <v>49249</v>
      </c>
      <c r="B275" s="17">
        <f>CHOOSE(CONTROL!$C$42, 11.5623, 11.5623) * CHOOSE(CONTROL!$C$21, $C$9, 100%, $E$9)</f>
        <v>11.5623</v>
      </c>
      <c r="C275" s="17">
        <f>CHOOSE(CONTROL!$C$42, 11.5674, 11.5674) * CHOOSE(CONTROL!$C$21, $C$9, 100%, $E$9)</f>
        <v>11.567399999999999</v>
      </c>
      <c r="D275" s="17">
        <f>CHOOSE(CONTROL!$C$42, 11.6624, 11.6624) * CHOOSE(CONTROL!$C$21, $C$9, 100%, $E$9)</f>
        <v>11.6624</v>
      </c>
      <c r="E275" s="17">
        <f>CHOOSE(CONTROL!$C$42, 11.6965, 11.6965) * CHOOSE(CONTROL!$C$21, $C$9, 100%, $E$9)</f>
        <v>11.6965</v>
      </c>
      <c r="F275" s="17">
        <f>CHOOSE(CONTROL!$C$42, 11.5862, 11.5862)*CHOOSE(CONTROL!$C$21, $C$9, 100%, $E$9)</f>
        <v>11.5862</v>
      </c>
      <c r="G275" s="17">
        <f>CHOOSE(CONTROL!$C$42, 11.6033, 11.6033)*CHOOSE(CONTROL!$C$21, $C$9, 100%, $E$9)</f>
        <v>11.603300000000001</v>
      </c>
      <c r="H275" s="17">
        <f>CHOOSE(CONTROL!$C$42, 11.6857, 11.6857) * CHOOSE(CONTROL!$C$21, $C$9, 100%, $E$9)</f>
        <v>11.685700000000001</v>
      </c>
      <c r="I275" s="17">
        <f>CHOOSE(CONTROL!$C$42, 11.6185, 11.6185)* CHOOSE(CONTROL!$C$21, $C$9, 100%, $E$9)</f>
        <v>11.618499999999999</v>
      </c>
      <c r="J275" s="17">
        <f>CHOOSE(CONTROL!$C$42, 11.5792, 11.5792)* CHOOSE(CONTROL!$C$21, $C$9, 100%, $E$9)</f>
        <v>11.5792</v>
      </c>
      <c r="K275" s="52">
        <f>CHOOSE(CONTROL!$C$42, 11.6143, 11.6143) * CHOOSE(CONTROL!$C$21, $C$9, 100%, $E$9)</f>
        <v>11.6143</v>
      </c>
      <c r="L275" s="17">
        <f>CHOOSE(CONTROL!$C$42, 12.2727, 12.2727) * CHOOSE(CONTROL!$C$21, $C$9, 100%, $E$9)</f>
        <v>12.2727</v>
      </c>
      <c r="M275" s="17">
        <f>CHOOSE(CONTROL!$C$42, 11.3786, 11.3786) * CHOOSE(CONTROL!$C$21, $C$9, 100%, $E$9)</f>
        <v>11.3786</v>
      </c>
      <c r="N275" s="17">
        <f>CHOOSE(CONTROL!$C$42, 11.3954, 11.3954) * CHOOSE(CONTROL!$C$21, $C$9, 100%, $E$9)</f>
        <v>11.3954</v>
      </c>
      <c r="O275" s="17">
        <f>CHOOSE(CONTROL!$C$42, 11.4832, 11.4832) * CHOOSE(CONTROL!$C$21, $C$9, 100%, $E$9)</f>
        <v>11.4832</v>
      </c>
      <c r="P275" s="17">
        <f>CHOOSE(CONTROL!$C$42, 11.4166, 11.4166) * CHOOSE(CONTROL!$C$21, $C$9, 100%, $E$9)</f>
        <v>11.416600000000001</v>
      </c>
      <c r="Q275" s="17">
        <f>CHOOSE(CONTROL!$C$42, 12.0779, 12.0779) * CHOOSE(CONTROL!$C$21, $C$9, 100%, $E$9)</f>
        <v>12.0779</v>
      </c>
      <c r="R275" s="17">
        <f>CHOOSE(CONTROL!$C$42, 12.6951, 12.6951) * CHOOSE(CONTROL!$C$21, $C$9, 100%, $E$9)</f>
        <v>12.6951</v>
      </c>
      <c r="S275" s="17">
        <f>CHOOSE(CONTROL!$C$42, 11.1017, 11.1017) * CHOOSE(CONTROL!$C$21, $C$9, 100%, $E$9)</f>
        <v>11.101699999999999</v>
      </c>
      <c r="T27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75" s="56">
        <f>(1000*CHOOSE(CONTROL!$C$42, 695, 695)*CHOOSE(CONTROL!$C$42, 0.5599, 0.5599)*CHOOSE(CONTROL!$C$42, 30, 30))/1000000</f>
        <v>11.673914999999997</v>
      </c>
      <c r="V275" s="56">
        <f>(1000*CHOOSE(CONTROL!$C$42, 500, 500)*CHOOSE(CONTROL!$C$42, 0.275, 0.275)*CHOOSE(CONTROL!$C$42, 30, 30))/1000000</f>
        <v>4.125</v>
      </c>
      <c r="W275" s="56">
        <f>(1000*CHOOSE(CONTROL!$C$42, 0.1146, 0.1146)*CHOOSE(CONTROL!$C$42, 121.5, 121.5)*CHOOSE(CONTROL!$C$42, 30, 30))/1000000</f>
        <v>0.417717</v>
      </c>
      <c r="X275" s="56">
        <f>(30*0.2374*100000/1000000)</f>
        <v>0.71220000000000006</v>
      </c>
      <c r="Y275" s="56"/>
      <c r="Z275" s="17"/>
      <c r="AA275" s="55"/>
      <c r="AB275" s="48">
        <f>(B275*122.58+C275*297.941+D275*89.177+E275*140.302+F275*40+G275*60+H275*0+I275*100+J275*300)/(122.58+297.941+89.177+140.302+0+40+60+100+300)</f>
        <v>11.600022300173913</v>
      </c>
      <c r="AC275" s="45">
        <f>(M275*'RAP TEMPLATE-GAS AVAILABILITY'!O274+N275*'RAP TEMPLATE-GAS AVAILABILITY'!P274+O275*'RAP TEMPLATE-GAS AVAILABILITY'!Q274+P275*'RAP TEMPLATE-GAS AVAILABILITY'!R274)/('RAP TEMPLATE-GAS AVAILABILITY'!O274+'RAP TEMPLATE-GAS AVAILABILITY'!P274+'RAP TEMPLATE-GAS AVAILABILITY'!Q274+'RAP TEMPLATE-GAS AVAILABILITY'!R274)</f>
        <v>11.432443165467626</v>
      </c>
    </row>
    <row r="276" spans="1:29" ht="15.75" x14ac:dyDescent="0.25">
      <c r="A276" s="16">
        <v>49279</v>
      </c>
      <c r="B276" s="17">
        <f>CHOOSE(CONTROL!$C$42, 12.35, 12.35) * CHOOSE(CONTROL!$C$21, $C$9, 100%, $E$9)</f>
        <v>12.35</v>
      </c>
      <c r="C276" s="17">
        <f>CHOOSE(CONTROL!$C$42, 12.355, 12.355) * CHOOSE(CONTROL!$C$21, $C$9, 100%, $E$9)</f>
        <v>12.355</v>
      </c>
      <c r="D276" s="17">
        <f>CHOOSE(CONTROL!$C$42, 12.4501, 12.4501) * CHOOSE(CONTROL!$C$21, $C$9, 100%, $E$9)</f>
        <v>12.450100000000001</v>
      </c>
      <c r="E276" s="17">
        <f>CHOOSE(CONTROL!$C$42, 12.4842, 12.4842) * CHOOSE(CONTROL!$C$21, $C$9, 100%, $E$9)</f>
        <v>12.4842</v>
      </c>
      <c r="F276" s="17">
        <f>CHOOSE(CONTROL!$C$42, 12.3762, 12.3762)*CHOOSE(CONTROL!$C$21, $C$9, 100%, $E$9)</f>
        <v>12.376200000000001</v>
      </c>
      <c r="G276" s="17">
        <f>CHOOSE(CONTROL!$C$42, 12.3939, 12.3939)*CHOOSE(CONTROL!$C$21, $C$9, 100%, $E$9)</f>
        <v>12.3939</v>
      </c>
      <c r="H276" s="17">
        <f>CHOOSE(CONTROL!$C$42, 12.4734, 12.4734) * CHOOSE(CONTROL!$C$21, $C$9, 100%, $E$9)</f>
        <v>12.4734</v>
      </c>
      <c r="I276" s="17">
        <f>CHOOSE(CONTROL!$C$42, 12.4086, 12.4086)* CHOOSE(CONTROL!$C$21, $C$9, 100%, $E$9)</f>
        <v>12.4086</v>
      </c>
      <c r="J276" s="17">
        <f>CHOOSE(CONTROL!$C$42, 12.3692, 12.3692)* CHOOSE(CONTROL!$C$21, $C$9, 100%, $E$9)</f>
        <v>12.369199999999999</v>
      </c>
      <c r="K276" s="52">
        <f>CHOOSE(CONTROL!$C$42, 12.4044, 12.4044) * CHOOSE(CONTROL!$C$21, $C$9, 100%, $E$9)</f>
        <v>12.404400000000001</v>
      </c>
      <c r="L276" s="17">
        <f>CHOOSE(CONTROL!$C$42, 13.0604, 13.0604) * CHOOSE(CONTROL!$C$21, $C$9, 100%, $E$9)</f>
        <v>13.0604</v>
      </c>
      <c r="M276" s="17">
        <f>CHOOSE(CONTROL!$C$42, 12.1544, 12.1544) * CHOOSE(CONTROL!$C$21, $C$9, 100%, $E$9)</f>
        <v>12.154400000000001</v>
      </c>
      <c r="N276" s="17">
        <f>CHOOSE(CONTROL!$C$42, 12.1718, 12.1718) * CHOOSE(CONTROL!$C$21, $C$9, 100%, $E$9)</f>
        <v>12.171799999999999</v>
      </c>
      <c r="O276" s="17">
        <f>CHOOSE(CONTROL!$C$42, 12.2567, 12.2567) * CHOOSE(CONTROL!$C$21, $C$9, 100%, $E$9)</f>
        <v>12.2567</v>
      </c>
      <c r="P276" s="17">
        <f>CHOOSE(CONTROL!$C$42, 12.1925, 12.1925) * CHOOSE(CONTROL!$C$21, $C$9, 100%, $E$9)</f>
        <v>12.192500000000001</v>
      </c>
      <c r="Q276" s="17">
        <f>CHOOSE(CONTROL!$C$42, 12.8514, 12.8514) * CHOOSE(CONTROL!$C$21, $C$9, 100%, $E$9)</f>
        <v>12.8514</v>
      </c>
      <c r="R276" s="17">
        <f>CHOOSE(CONTROL!$C$42, 13.4705, 13.4705) * CHOOSE(CONTROL!$C$21, $C$9, 100%, $E$9)</f>
        <v>13.470499999999999</v>
      </c>
      <c r="S276" s="17">
        <f>CHOOSE(CONTROL!$C$42, 11.8585, 11.8585) * CHOOSE(CONTROL!$C$21, $C$9, 100%, $E$9)</f>
        <v>11.858499999999999</v>
      </c>
      <c r="T27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76" s="56">
        <f>(1000*CHOOSE(CONTROL!$C$42, 695, 695)*CHOOSE(CONTROL!$C$42, 0.5599, 0.5599)*CHOOSE(CONTROL!$C$42, 31, 31))/1000000</f>
        <v>12.063045499999998</v>
      </c>
      <c r="V276" s="56">
        <f>(1000*CHOOSE(CONTROL!$C$42, 500, 500)*CHOOSE(CONTROL!$C$42, 0.275, 0.275)*CHOOSE(CONTROL!$C$42, 31, 31))/1000000</f>
        <v>4.2625000000000002</v>
      </c>
      <c r="W276" s="56">
        <f>(1000*CHOOSE(CONTROL!$C$42, 0.1146, 0.1146)*CHOOSE(CONTROL!$C$42, 121.5, 121.5)*CHOOSE(CONTROL!$C$42, 31, 31))/1000000</f>
        <v>0.43164089999999994</v>
      </c>
      <c r="X276" s="56">
        <f>(31*0.2374*100000/1000000)</f>
        <v>0.73594000000000004</v>
      </c>
      <c r="Y276" s="56"/>
      <c r="Z276" s="17"/>
      <c r="AA276" s="55"/>
      <c r="AB276" s="48">
        <f>(B276*122.58+C276*297.941+D276*89.177+E276*140.302+F276*40+G276*60+H276*0+I276*100+J276*300)/(122.58+297.941+89.177+140.302+0+40+60+100+300)</f>
        <v>12.388736392260869</v>
      </c>
      <c r="AC276" s="45">
        <f>(M276*'RAP TEMPLATE-GAS AVAILABILITY'!O275+N276*'RAP TEMPLATE-GAS AVAILABILITY'!P275+O276*'RAP TEMPLATE-GAS AVAILABILITY'!Q275+P276*'RAP TEMPLATE-GAS AVAILABILITY'!R275)/('RAP TEMPLATE-GAS AVAILABILITY'!O275+'RAP TEMPLATE-GAS AVAILABILITY'!P275+'RAP TEMPLATE-GAS AVAILABILITY'!Q275+'RAP TEMPLATE-GAS AVAILABILITY'!R275)</f>
        <v>12.20724964028777</v>
      </c>
    </row>
    <row r="277" spans="1:29" ht="15.75" x14ac:dyDescent="0.25">
      <c r="A277" s="16">
        <v>49310</v>
      </c>
      <c r="B277" s="17">
        <f>CHOOSE(CONTROL!$C$42, 13.373, 13.373) * CHOOSE(CONTROL!$C$21, $C$9, 100%, $E$9)</f>
        <v>13.372999999999999</v>
      </c>
      <c r="C277" s="17">
        <f>CHOOSE(CONTROL!$C$42, 13.378, 13.378) * CHOOSE(CONTROL!$C$21, $C$9, 100%, $E$9)</f>
        <v>13.378</v>
      </c>
      <c r="D277" s="17">
        <f>CHOOSE(CONTROL!$C$42, 13.4965, 13.4965) * CHOOSE(CONTROL!$C$21, $C$9, 100%, $E$9)</f>
        <v>13.496499999999999</v>
      </c>
      <c r="E277" s="17">
        <f>CHOOSE(CONTROL!$C$42, 13.5306, 13.5306) * CHOOSE(CONTROL!$C$21, $C$9, 100%, $E$9)</f>
        <v>13.5306</v>
      </c>
      <c r="F277" s="17">
        <f>CHOOSE(CONTROL!$C$42, 13.3934, 13.3934)*CHOOSE(CONTROL!$C$21, $C$9, 100%, $E$9)</f>
        <v>13.3934</v>
      </c>
      <c r="G277" s="17">
        <f>CHOOSE(CONTROL!$C$42, 13.4102, 13.4102)*CHOOSE(CONTROL!$C$21, $C$9, 100%, $E$9)</f>
        <v>13.4102</v>
      </c>
      <c r="H277" s="17">
        <f>CHOOSE(CONTROL!$C$42, 13.5198, 13.5198) * CHOOSE(CONTROL!$C$21, $C$9, 100%, $E$9)</f>
        <v>13.5198</v>
      </c>
      <c r="I277" s="17">
        <f>CHOOSE(CONTROL!$C$42, 13.4385, 13.4385)* CHOOSE(CONTROL!$C$21, $C$9, 100%, $E$9)</f>
        <v>13.438499999999999</v>
      </c>
      <c r="J277" s="17">
        <f>CHOOSE(CONTROL!$C$42, 13.3864, 13.3864)* CHOOSE(CONTROL!$C$21, $C$9, 100%, $E$9)</f>
        <v>13.3864</v>
      </c>
      <c r="K277" s="52">
        <f>CHOOSE(CONTROL!$C$42, 13.4343, 13.4343) * CHOOSE(CONTROL!$C$21, $C$9, 100%, $E$9)</f>
        <v>13.4343</v>
      </c>
      <c r="L277" s="17">
        <f>CHOOSE(CONTROL!$C$42, 14.1068, 14.1068) * CHOOSE(CONTROL!$C$21, $C$9, 100%, $E$9)</f>
        <v>14.1068</v>
      </c>
      <c r="M277" s="17">
        <f>CHOOSE(CONTROL!$C$42, 13.1533, 13.1533) * CHOOSE(CONTROL!$C$21, $C$9, 100%, $E$9)</f>
        <v>13.1533</v>
      </c>
      <c r="N277" s="17">
        <f>CHOOSE(CONTROL!$C$42, 13.1698, 13.1698) * CHOOSE(CONTROL!$C$21, $C$9, 100%, $E$9)</f>
        <v>13.1698</v>
      </c>
      <c r="O277" s="17">
        <f>CHOOSE(CONTROL!$C$42, 13.2843, 13.2843) * CHOOSE(CONTROL!$C$21, $C$9, 100%, $E$9)</f>
        <v>13.2843</v>
      </c>
      <c r="P277" s="17">
        <f>CHOOSE(CONTROL!$C$42, 13.2038, 13.2038) * CHOOSE(CONTROL!$C$21, $C$9, 100%, $E$9)</f>
        <v>13.203799999999999</v>
      </c>
      <c r="Q277" s="17">
        <f>CHOOSE(CONTROL!$C$42, 13.879, 13.879) * CHOOSE(CONTROL!$C$21, $C$9, 100%, $E$9)</f>
        <v>13.879</v>
      </c>
      <c r="R277" s="17">
        <f>CHOOSE(CONTROL!$C$42, 14.5007, 14.5007) * CHOOSE(CONTROL!$C$21, $C$9, 100%, $E$9)</f>
        <v>14.5007</v>
      </c>
      <c r="S277" s="17">
        <f>CHOOSE(CONTROL!$C$42, 12.8416, 12.8416) * CHOOSE(CONTROL!$C$21, $C$9, 100%, $E$9)</f>
        <v>12.8416</v>
      </c>
      <c r="T27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77" s="56">
        <f>(1000*CHOOSE(CONTROL!$C$42, 695, 695)*CHOOSE(CONTROL!$C$42, 0.5599, 0.5599)*CHOOSE(CONTROL!$C$42, 31, 31))/1000000</f>
        <v>12.063045499999998</v>
      </c>
      <c r="V277" s="56">
        <f>(1000*CHOOSE(CONTROL!$C$42, 500, 500)*CHOOSE(CONTROL!$C$42, 0.275, 0.275)*CHOOSE(CONTROL!$C$42, 31, 31))/1000000</f>
        <v>4.2625000000000002</v>
      </c>
      <c r="W277" s="56">
        <f>(1000*CHOOSE(CONTROL!$C$42, 0.1146, 0.1146)*CHOOSE(CONTROL!$C$42, 121.5, 121.5)*CHOOSE(CONTROL!$C$42, 31, 31))/1000000</f>
        <v>0.43164089999999994</v>
      </c>
      <c r="X277" s="56">
        <f>(31*0.2374*100000/1000000)</f>
        <v>0.73594000000000004</v>
      </c>
      <c r="Y277" s="56"/>
      <c r="Z277" s="17"/>
      <c r="AA277" s="55"/>
      <c r="AB277" s="48">
        <f>(B277*122.58+C277*297.941+D277*89.177+E277*140.302+F277*40+G277*60+H277*0+I277*100+J277*300)/(122.58+297.941+89.177+140.302+0+40+60+100+300)</f>
        <v>13.414941443217391</v>
      </c>
      <c r="AC277" s="45">
        <f>(M277*'RAP TEMPLATE-GAS AVAILABILITY'!O276+N277*'RAP TEMPLATE-GAS AVAILABILITY'!P276+O277*'RAP TEMPLATE-GAS AVAILABILITY'!Q276+P277*'RAP TEMPLATE-GAS AVAILABILITY'!R276)/('RAP TEMPLATE-GAS AVAILABILITY'!O276+'RAP TEMPLATE-GAS AVAILABILITY'!P276+'RAP TEMPLATE-GAS AVAILABILITY'!Q276+'RAP TEMPLATE-GAS AVAILABILITY'!R276)</f>
        <v>13.220889928057554</v>
      </c>
    </row>
    <row r="278" spans="1:29" ht="15.75" x14ac:dyDescent="0.25">
      <c r="A278" s="16">
        <v>49341</v>
      </c>
      <c r="B278" s="17">
        <f>CHOOSE(CONTROL!$C$42, 13.6109, 13.6109) * CHOOSE(CONTROL!$C$21, $C$9, 100%, $E$9)</f>
        <v>13.610900000000001</v>
      </c>
      <c r="C278" s="17">
        <f>CHOOSE(CONTROL!$C$42, 13.6159, 13.6159) * CHOOSE(CONTROL!$C$21, $C$9, 100%, $E$9)</f>
        <v>13.6159</v>
      </c>
      <c r="D278" s="17">
        <f>CHOOSE(CONTROL!$C$42, 13.7344, 13.7344) * CHOOSE(CONTROL!$C$21, $C$9, 100%, $E$9)</f>
        <v>13.734400000000001</v>
      </c>
      <c r="E278" s="17">
        <f>CHOOSE(CONTROL!$C$42, 13.7685, 13.7685) * CHOOSE(CONTROL!$C$21, $C$9, 100%, $E$9)</f>
        <v>13.7685</v>
      </c>
      <c r="F278" s="17">
        <f>CHOOSE(CONTROL!$C$42, 13.6312, 13.6312)*CHOOSE(CONTROL!$C$21, $C$9, 100%, $E$9)</f>
        <v>13.6312</v>
      </c>
      <c r="G278" s="17">
        <f>CHOOSE(CONTROL!$C$42, 13.6481, 13.6481)*CHOOSE(CONTROL!$C$21, $C$9, 100%, $E$9)</f>
        <v>13.648099999999999</v>
      </c>
      <c r="H278" s="17">
        <f>CHOOSE(CONTROL!$C$42, 13.7577, 13.7577) * CHOOSE(CONTROL!$C$21, $C$9, 100%, $E$9)</f>
        <v>13.7577</v>
      </c>
      <c r="I278" s="17">
        <f>CHOOSE(CONTROL!$C$42, 13.6771, 13.6771)* CHOOSE(CONTROL!$C$21, $C$9, 100%, $E$9)</f>
        <v>13.677099999999999</v>
      </c>
      <c r="J278" s="17">
        <f>CHOOSE(CONTROL!$C$42, 13.6242, 13.6242)* CHOOSE(CONTROL!$C$21, $C$9, 100%, $E$9)</f>
        <v>13.6242</v>
      </c>
      <c r="K278" s="52">
        <f>CHOOSE(CONTROL!$C$42, 13.6729, 13.6729) * CHOOSE(CONTROL!$C$21, $C$9, 100%, $E$9)</f>
        <v>13.6729</v>
      </c>
      <c r="L278" s="17">
        <f>CHOOSE(CONTROL!$C$42, 14.3447, 14.3447) * CHOOSE(CONTROL!$C$21, $C$9, 100%, $E$9)</f>
        <v>14.3447</v>
      </c>
      <c r="M278" s="17">
        <f>CHOOSE(CONTROL!$C$42, 13.3869, 13.3869) * CHOOSE(CONTROL!$C$21, $C$9, 100%, $E$9)</f>
        <v>13.386900000000001</v>
      </c>
      <c r="N278" s="17">
        <f>CHOOSE(CONTROL!$C$42, 13.4034, 13.4034) * CHOOSE(CONTROL!$C$21, $C$9, 100%, $E$9)</f>
        <v>13.4034</v>
      </c>
      <c r="O278" s="17">
        <f>CHOOSE(CONTROL!$C$42, 13.5179, 13.5179) * CHOOSE(CONTROL!$C$21, $C$9, 100%, $E$9)</f>
        <v>13.517899999999999</v>
      </c>
      <c r="P278" s="17">
        <f>CHOOSE(CONTROL!$C$42, 13.4381, 13.4381) * CHOOSE(CONTROL!$C$21, $C$9, 100%, $E$9)</f>
        <v>13.4381</v>
      </c>
      <c r="Q278" s="17">
        <f>CHOOSE(CONTROL!$C$42, 14.1126, 14.1126) * CHOOSE(CONTROL!$C$21, $C$9, 100%, $E$9)</f>
        <v>14.1126</v>
      </c>
      <c r="R278" s="17">
        <f>CHOOSE(CONTROL!$C$42, 14.7349, 14.7349) * CHOOSE(CONTROL!$C$21, $C$9, 100%, $E$9)</f>
        <v>14.7349</v>
      </c>
      <c r="S278" s="17">
        <f>CHOOSE(CONTROL!$C$42, 13.0701, 13.0701) * CHOOSE(CONTROL!$C$21, $C$9, 100%, $E$9)</f>
        <v>13.0701</v>
      </c>
      <c r="T27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78" s="56">
        <f>(1000*CHOOSE(CONTROL!$C$42, 695, 695)*CHOOSE(CONTROL!$C$42, 0.5599, 0.5599)*CHOOSE(CONTROL!$C$42, 28, 28))/1000000</f>
        <v>10.895653999999999</v>
      </c>
      <c r="V278" s="56">
        <f>(1000*CHOOSE(CONTROL!$C$42, 500, 500)*CHOOSE(CONTROL!$C$42, 0.275, 0.275)*CHOOSE(CONTROL!$C$42, 28, 28))/1000000</f>
        <v>3.85</v>
      </c>
      <c r="W278" s="56">
        <f>(1000*CHOOSE(CONTROL!$C$42, 0.1146, 0.1146)*CHOOSE(CONTROL!$C$42, 121.5, 121.5)*CHOOSE(CONTROL!$C$42, 28, 28))/1000000</f>
        <v>0.38986920000000003</v>
      </c>
      <c r="X278" s="56">
        <f>(28*0.2374*100000/1000000)</f>
        <v>0.66471999999999998</v>
      </c>
      <c r="Y278" s="56"/>
      <c r="Z278" s="17"/>
      <c r="AA278" s="55"/>
      <c r="AB278" s="48">
        <f>(B278*122.58+C278*297.941+D278*89.177+E278*140.302+F278*40+G278*60+H278*0+I278*100+J278*300)/(122.58+297.941+89.177+140.302+0+40+60+100+300)</f>
        <v>13.652872747565219</v>
      </c>
      <c r="AC278" s="45">
        <f>(M278*'RAP TEMPLATE-GAS AVAILABILITY'!O277+N278*'RAP TEMPLATE-GAS AVAILABILITY'!P277+O278*'RAP TEMPLATE-GAS AVAILABILITY'!Q277+P278*'RAP TEMPLATE-GAS AVAILABILITY'!R277)/('RAP TEMPLATE-GAS AVAILABILITY'!O277+'RAP TEMPLATE-GAS AVAILABILITY'!P277+'RAP TEMPLATE-GAS AVAILABILITY'!Q277+'RAP TEMPLATE-GAS AVAILABILITY'!R277)</f>
        <v>13.454590647482016</v>
      </c>
    </row>
    <row r="279" spans="1:29" ht="15.75" x14ac:dyDescent="0.25">
      <c r="A279" s="16">
        <v>49369</v>
      </c>
      <c r="B279" s="17">
        <f>CHOOSE(CONTROL!$C$42, 13.2247, 13.2247) * CHOOSE(CONTROL!$C$21, $C$9, 100%, $E$9)</f>
        <v>13.2247</v>
      </c>
      <c r="C279" s="17">
        <f>CHOOSE(CONTROL!$C$42, 13.2298, 13.2298) * CHOOSE(CONTROL!$C$21, $C$9, 100%, $E$9)</f>
        <v>13.229799999999999</v>
      </c>
      <c r="D279" s="17">
        <f>CHOOSE(CONTROL!$C$42, 13.3482, 13.3482) * CHOOSE(CONTROL!$C$21, $C$9, 100%, $E$9)</f>
        <v>13.3482</v>
      </c>
      <c r="E279" s="17">
        <f>CHOOSE(CONTROL!$C$42, 13.3823, 13.3823) * CHOOSE(CONTROL!$C$21, $C$9, 100%, $E$9)</f>
        <v>13.382300000000001</v>
      </c>
      <c r="F279" s="17">
        <f>CHOOSE(CONTROL!$C$42, 13.2444, 13.2444)*CHOOSE(CONTROL!$C$21, $C$9, 100%, $E$9)</f>
        <v>13.244400000000001</v>
      </c>
      <c r="G279" s="17">
        <f>CHOOSE(CONTROL!$C$42, 13.2611, 13.2611)*CHOOSE(CONTROL!$C$21, $C$9, 100%, $E$9)</f>
        <v>13.261100000000001</v>
      </c>
      <c r="H279" s="17">
        <f>CHOOSE(CONTROL!$C$42, 13.3715, 13.3715) * CHOOSE(CONTROL!$C$21, $C$9, 100%, $E$9)</f>
        <v>13.371499999999999</v>
      </c>
      <c r="I279" s="17">
        <f>CHOOSE(CONTROL!$C$42, 13.2898, 13.2898)* CHOOSE(CONTROL!$C$21, $C$9, 100%, $E$9)</f>
        <v>13.2898</v>
      </c>
      <c r="J279" s="17">
        <f>CHOOSE(CONTROL!$C$42, 13.2374, 13.2374)* CHOOSE(CONTROL!$C$21, $C$9, 100%, $E$9)</f>
        <v>13.237399999999999</v>
      </c>
      <c r="K279" s="52">
        <f>CHOOSE(CONTROL!$C$42, 13.2855, 13.2855) * CHOOSE(CONTROL!$C$21, $C$9, 100%, $E$9)</f>
        <v>13.285500000000001</v>
      </c>
      <c r="L279" s="17">
        <f>CHOOSE(CONTROL!$C$42, 13.9585, 13.9585) * CHOOSE(CONTROL!$C$21, $C$9, 100%, $E$9)</f>
        <v>13.958500000000001</v>
      </c>
      <c r="M279" s="17">
        <f>CHOOSE(CONTROL!$C$42, 13.007, 13.007) * CHOOSE(CONTROL!$C$21, $C$9, 100%, $E$9)</f>
        <v>13.007</v>
      </c>
      <c r="N279" s="17">
        <f>CHOOSE(CONTROL!$C$42, 13.0234, 13.0234) * CHOOSE(CONTROL!$C$21, $C$9, 100%, $E$9)</f>
        <v>13.023400000000001</v>
      </c>
      <c r="O279" s="17">
        <f>CHOOSE(CONTROL!$C$42, 13.1387, 13.1387) * CHOOSE(CONTROL!$C$21, $C$9, 100%, $E$9)</f>
        <v>13.1387</v>
      </c>
      <c r="P279" s="17">
        <f>CHOOSE(CONTROL!$C$42, 13.0577, 13.0577) * CHOOSE(CONTROL!$C$21, $C$9, 100%, $E$9)</f>
        <v>13.057700000000001</v>
      </c>
      <c r="Q279" s="17">
        <f>CHOOSE(CONTROL!$C$42, 13.7334, 13.7334) * CHOOSE(CONTROL!$C$21, $C$9, 100%, $E$9)</f>
        <v>13.7334</v>
      </c>
      <c r="R279" s="17">
        <f>CHOOSE(CONTROL!$C$42, 14.3548, 14.3548) * CHOOSE(CONTROL!$C$21, $C$9, 100%, $E$9)</f>
        <v>14.354799999999999</v>
      </c>
      <c r="S279" s="17">
        <f>CHOOSE(CONTROL!$C$42, 12.6991, 12.6991) * CHOOSE(CONTROL!$C$21, $C$9, 100%, $E$9)</f>
        <v>12.6991</v>
      </c>
      <c r="T27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79" s="56">
        <f>(1000*CHOOSE(CONTROL!$C$42, 695, 695)*CHOOSE(CONTROL!$C$42, 0.5599, 0.5599)*CHOOSE(CONTROL!$C$42, 31, 31))/1000000</f>
        <v>12.063045499999998</v>
      </c>
      <c r="V279" s="56">
        <f>(1000*CHOOSE(CONTROL!$C$42, 500, 500)*CHOOSE(CONTROL!$C$42, 0.275, 0.275)*CHOOSE(CONTROL!$C$42, 31, 31))/1000000</f>
        <v>4.2625000000000002</v>
      </c>
      <c r="W279" s="56">
        <f>(1000*CHOOSE(CONTROL!$C$42, 0.1146, 0.1146)*CHOOSE(CONTROL!$C$42, 121.5, 121.5)*CHOOSE(CONTROL!$C$42, 31, 31))/1000000</f>
        <v>0.43164089999999994</v>
      </c>
      <c r="X279" s="56">
        <f>(31*0.2374*100000/1000000)</f>
        <v>0.73594000000000004</v>
      </c>
      <c r="Y279" s="56"/>
      <c r="Z279" s="17"/>
      <c r="AA279" s="55"/>
      <c r="AB279" s="48">
        <f>(B279*122.58+C279*297.941+D279*89.177+E279*140.302+F279*40+G279*60+H279*0+I279*100+J279*300)/(122.58+297.941+89.177+140.302+0+40+60+100+300)</f>
        <v>13.266383872869563</v>
      </c>
      <c r="AC279" s="45">
        <f>(M279*'RAP TEMPLATE-GAS AVAILABILITY'!O278+N279*'RAP TEMPLATE-GAS AVAILABILITY'!P278+O279*'RAP TEMPLATE-GAS AVAILABILITY'!Q278+P279*'RAP TEMPLATE-GAS AVAILABILITY'!R278)/('RAP TEMPLATE-GAS AVAILABILITY'!O278+'RAP TEMPLATE-GAS AVAILABILITY'!P278+'RAP TEMPLATE-GAS AVAILABILITY'!Q278+'RAP TEMPLATE-GAS AVAILABILITY'!R278)</f>
        <v>13.074930215827337</v>
      </c>
    </row>
    <row r="280" spans="1:29" ht="15.75" x14ac:dyDescent="0.25">
      <c r="A280" s="16">
        <v>49400</v>
      </c>
      <c r="B280" s="17">
        <f>CHOOSE(CONTROL!$C$42, 13.1862, 13.1862) * CHOOSE(CONTROL!$C$21, $C$9, 100%, $E$9)</f>
        <v>13.186199999999999</v>
      </c>
      <c r="C280" s="17">
        <f>CHOOSE(CONTROL!$C$42, 13.1906, 13.1906) * CHOOSE(CONTROL!$C$21, $C$9, 100%, $E$9)</f>
        <v>13.1906</v>
      </c>
      <c r="D280" s="17">
        <f>CHOOSE(CONTROL!$C$42, 13.4648, 13.4648) * CHOOSE(CONTROL!$C$21, $C$9, 100%, $E$9)</f>
        <v>13.4648</v>
      </c>
      <c r="E280" s="17">
        <f>CHOOSE(CONTROL!$C$42, 13.497, 13.497) * CHOOSE(CONTROL!$C$21, $C$9, 100%, $E$9)</f>
        <v>13.497</v>
      </c>
      <c r="F280" s="17">
        <f>CHOOSE(CONTROL!$C$42, 13.2055, 13.2055)*CHOOSE(CONTROL!$C$21, $C$9, 100%, $E$9)</f>
        <v>13.205500000000001</v>
      </c>
      <c r="G280" s="17">
        <f>CHOOSE(CONTROL!$C$42, 13.2218, 13.2218)*CHOOSE(CONTROL!$C$21, $C$9, 100%, $E$9)</f>
        <v>13.2218</v>
      </c>
      <c r="H280" s="17">
        <f>CHOOSE(CONTROL!$C$42, 13.4867, 13.4867) * CHOOSE(CONTROL!$C$21, $C$9, 100%, $E$9)</f>
        <v>13.486700000000001</v>
      </c>
      <c r="I280" s="17">
        <f>CHOOSE(CONTROL!$C$42, 13.2487, 13.2487)* CHOOSE(CONTROL!$C$21, $C$9, 100%, $E$9)</f>
        <v>13.248699999999999</v>
      </c>
      <c r="J280" s="17">
        <f>CHOOSE(CONTROL!$C$42, 13.1985, 13.1985)* CHOOSE(CONTROL!$C$21, $C$9, 100%, $E$9)</f>
        <v>13.198499999999999</v>
      </c>
      <c r="K280" s="52">
        <f>CHOOSE(CONTROL!$C$42, 13.2445, 13.2445) * CHOOSE(CONTROL!$C$21, $C$9, 100%, $E$9)</f>
        <v>13.2445</v>
      </c>
      <c r="L280" s="17">
        <f>CHOOSE(CONTROL!$C$42, 14.0737, 14.0737) * CHOOSE(CONTROL!$C$21, $C$9, 100%, $E$9)</f>
        <v>14.073700000000001</v>
      </c>
      <c r="M280" s="17">
        <f>CHOOSE(CONTROL!$C$42, 12.9688, 12.9688) * CHOOSE(CONTROL!$C$21, $C$9, 100%, $E$9)</f>
        <v>12.9688</v>
      </c>
      <c r="N280" s="17">
        <f>CHOOSE(CONTROL!$C$42, 12.9848, 12.9848) * CHOOSE(CONTROL!$C$21, $C$9, 100%, $E$9)</f>
        <v>12.9848</v>
      </c>
      <c r="O280" s="17">
        <f>CHOOSE(CONTROL!$C$42, 13.2519, 13.2519) * CHOOSE(CONTROL!$C$21, $C$9, 100%, $E$9)</f>
        <v>13.251899999999999</v>
      </c>
      <c r="P280" s="17">
        <f>CHOOSE(CONTROL!$C$42, 13.0175, 13.0175) * CHOOSE(CONTROL!$C$21, $C$9, 100%, $E$9)</f>
        <v>13.0175</v>
      </c>
      <c r="Q280" s="17">
        <f>CHOOSE(CONTROL!$C$42, 13.8466, 13.8466) * CHOOSE(CONTROL!$C$21, $C$9, 100%, $E$9)</f>
        <v>13.8466</v>
      </c>
      <c r="R280" s="17">
        <f>CHOOSE(CONTROL!$C$42, 14.4682, 14.4682) * CHOOSE(CONTROL!$C$21, $C$9, 100%, $E$9)</f>
        <v>14.4682</v>
      </c>
      <c r="S280" s="17">
        <f>CHOOSE(CONTROL!$C$42, 12.6613, 12.6613) * CHOOSE(CONTROL!$C$21, $C$9, 100%, $E$9)</f>
        <v>12.661300000000001</v>
      </c>
      <c r="T28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80" s="56">
        <f>(1000*CHOOSE(CONTROL!$C$42, 695, 695)*CHOOSE(CONTROL!$C$42, 0.5599, 0.5599)*CHOOSE(CONTROL!$C$42, 30, 30))/1000000</f>
        <v>11.673914999999997</v>
      </c>
      <c r="V280" s="56">
        <f>(1000*CHOOSE(CONTROL!$C$42, 500, 500)*CHOOSE(CONTROL!$C$42, 0.275, 0.275)*CHOOSE(CONTROL!$C$42, 30, 30))/1000000</f>
        <v>4.125</v>
      </c>
      <c r="W280" s="56">
        <f>(1000*CHOOSE(CONTROL!$C$42, 0.1146, 0.1146)*CHOOSE(CONTROL!$C$42, 121.5, 121.5)*CHOOSE(CONTROL!$C$42, 30, 30))/1000000</f>
        <v>0.417717</v>
      </c>
      <c r="X280" s="56">
        <f>(30*0.1790888*145000/1000000)+(30*0.2374*100000/1000000)</f>
        <v>1.4912362799999999</v>
      </c>
      <c r="Y280" s="56"/>
      <c r="Z280" s="17"/>
      <c r="AA280" s="55"/>
      <c r="AB280" s="48">
        <f>(B280*141.293+C280*267.993+D280*115.016+E280*189.698+F280*40+G280*85+H280*0+I280*100+J280*300)/(141.293+267.993+115.016+189.698+0+40+85+100+300)</f>
        <v>13.271687300403551</v>
      </c>
      <c r="AC280" s="45">
        <f>(M280*'RAP TEMPLATE-GAS AVAILABILITY'!O279+N280*'RAP TEMPLATE-GAS AVAILABILITY'!P279+O280*'RAP TEMPLATE-GAS AVAILABILITY'!Q279+P280*'RAP TEMPLATE-GAS AVAILABILITY'!R279)/('RAP TEMPLATE-GAS AVAILABILITY'!O279+'RAP TEMPLATE-GAS AVAILABILITY'!P279+'RAP TEMPLATE-GAS AVAILABILITY'!Q279+'RAP TEMPLATE-GAS AVAILABILITY'!R279)</f>
        <v>13.058921582733811</v>
      </c>
    </row>
    <row r="281" spans="1:29" ht="15.75" x14ac:dyDescent="0.25">
      <c r="A281" s="16">
        <v>49430</v>
      </c>
      <c r="B281" s="17">
        <f>CHOOSE(CONTROL!$C$42, 13.3038, 13.3038) * CHOOSE(CONTROL!$C$21, $C$9, 100%, $E$9)</f>
        <v>13.303800000000001</v>
      </c>
      <c r="C281" s="17">
        <f>CHOOSE(CONTROL!$C$42, 13.3119, 13.3119) * CHOOSE(CONTROL!$C$21, $C$9, 100%, $E$9)</f>
        <v>13.3119</v>
      </c>
      <c r="D281" s="17">
        <f>CHOOSE(CONTROL!$C$42, 13.5829, 13.5829) * CHOOSE(CONTROL!$C$21, $C$9, 100%, $E$9)</f>
        <v>13.5829</v>
      </c>
      <c r="E281" s="17">
        <f>CHOOSE(CONTROL!$C$42, 13.6144, 13.6144) * CHOOSE(CONTROL!$C$21, $C$9, 100%, $E$9)</f>
        <v>13.6144</v>
      </c>
      <c r="F281" s="17">
        <f>CHOOSE(CONTROL!$C$42, 13.322, 13.322)*CHOOSE(CONTROL!$C$21, $C$9, 100%, $E$9)</f>
        <v>13.321999999999999</v>
      </c>
      <c r="G281" s="17">
        <f>CHOOSE(CONTROL!$C$42, 13.3386, 13.3386)*CHOOSE(CONTROL!$C$21, $C$9, 100%, $E$9)</f>
        <v>13.3386</v>
      </c>
      <c r="H281" s="17">
        <f>CHOOSE(CONTROL!$C$42, 13.603, 13.603) * CHOOSE(CONTROL!$C$21, $C$9, 100%, $E$9)</f>
        <v>13.603</v>
      </c>
      <c r="I281" s="17">
        <f>CHOOSE(CONTROL!$C$42, 13.3654, 13.3654)* CHOOSE(CONTROL!$C$21, $C$9, 100%, $E$9)</f>
        <v>13.365399999999999</v>
      </c>
      <c r="J281" s="17">
        <f>CHOOSE(CONTROL!$C$42, 13.315, 13.315)* CHOOSE(CONTROL!$C$21, $C$9, 100%, $E$9)</f>
        <v>13.315</v>
      </c>
      <c r="K281" s="52">
        <f>CHOOSE(CONTROL!$C$42, 13.3612, 13.3612) * CHOOSE(CONTROL!$C$21, $C$9, 100%, $E$9)</f>
        <v>13.3612</v>
      </c>
      <c r="L281" s="17">
        <f>CHOOSE(CONTROL!$C$42, 14.19, 14.19) * CHOOSE(CONTROL!$C$21, $C$9, 100%, $E$9)</f>
        <v>14.19</v>
      </c>
      <c r="M281" s="17">
        <f>CHOOSE(CONTROL!$C$42, 13.0832, 13.0832) * CHOOSE(CONTROL!$C$21, $C$9, 100%, $E$9)</f>
        <v>13.0832</v>
      </c>
      <c r="N281" s="17">
        <f>CHOOSE(CONTROL!$C$42, 13.0995, 13.0995) * CHOOSE(CONTROL!$C$21, $C$9, 100%, $E$9)</f>
        <v>13.099500000000001</v>
      </c>
      <c r="O281" s="17">
        <f>CHOOSE(CONTROL!$C$42, 13.366, 13.366) * CHOOSE(CONTROL!$C$21, $C$9, 100%, $E$9)</f>
        <v>13.366</v>
      </c>
      <c r="P281" s="17">
        <f>CHOOSE(CONTROL!$C$42, 13.132, 13.132) * CHOOSE(CONTROL!$C$21, $C$9, 100%, $E$9)</f>
        <v>13.132</v>
      </c>
      <c r="Q281" s="17">
        <f>CHOOSE(CONTROL!$C$42, 13.9607, 13.9607) * CHOOSE(CONTROL!$C$21, $C$9, 100%, $E$9)</f>
        <v>13.960699999999999</v>
      </c>
      <c r="R281" s="17">
        <f>CHOOSE(CONTROL!$C$42, 14.5827, 14.5827) * CHOOSE(CONTROL!$C$21, $C$9, 100%, $E$9)</f>
        <v>14.582700000000001</v>
      </c>
      <c r="S281" s="17">
        <f>CHOOSE(CONTROL!$C$42, 12.773, 12.773) * CHOOSE(CONTROL!$C$21, $C$9, 100%, $E$9)</f>
        <v>12.773</v>
      </c>
      <c r="T28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81" s="56">
        <f>(1000*CHOOSE(CONTROL!$C$42, 695, 695)*CHOOSE(CONTROL!$C$42, 0.5599, 0.5599)*CHOOSE(CONTROL!$C$42, 31, 31))/1000000</f>
        <v>12.063045499999998</v>
      </c>
      <c r="V281" s="56">
        <f>(1000*CHOOSE(CONTROL!$C$42, 500, 500)*CHOOSE(CONTROL!$C$42, 0.275, 0.275)*CHOOSE(CONTROL!$C$42, 31, 31))/1000000</f>
        <v>4.2625000000000002</v>
      </c>
      <c r="W281" s="56">
        <f>(1000*CHOOSE(CONTROL!$C$42, 0.1146, 0.1146)*CHOOSE(CONTROL!$C$42, 121.5, 121.5)*CHOOSE(CONTROL!$C$42, 31, 31))/1000000</f>
        <v>0.43164089999999994</v>
      </c>
      <c r="X281" s="56">
        <f>(31*0.1790888*145000/1000000)+(31*0.2374*100000/1000000)</f>
        <v>1.5409441560000001</v>
      </c>
      <c r="Y281" s="56"/>
      <c r="Z281" s="17"/>
      <c r="AA281" s="55"/>
      <c r="AB281" s="48">
        <f>(B281*194.205+C281*267.466+D281*133.845+E281*153.484+F281*40+G281*85+H281*0+I281*100+J281*300)/(194.205+267.466+133.845+153.484+0+40+85+100+300)</f>
        <v>13.382607491758241</v>
      </c>
      <c r="AC281" s="45">
        <f>(M281*'RAP TEMPLATE-GAS AVAILABILITY'!O280+N281*'RAP TEMPLATE-GAS AVAILABILITY'!P280+O281*'RAP TEMPLATE-GAS AVAILABILITY'!Q280+P281*'RAP TEMPLATE-GAS AVAILABILITY'!R280)/('RAP TEMPLATE-GAS AVAILABILITY'!O280+'RAP TEMPLATE-GAS AVAILABILITY'!P280+'RAP TEMPLATE-GAS AVAILABILITY'!Q280+'RAP TEMPLATE-GAS AVAILABILITY'!R280)</f>
        <v>13.173320863309353</v>
      </c>
    </row>
    <row r="282" spans="1:29" ht="15.75" x14ac:dyDescent="0.25">
      <c r="A282" s="15">
        <v>49461</v>
      </c>
      <c r="B282" s="17">
        <f>CHOOSE(CONTROL!$C$42, 13.6809, 13.6809) * CHOOSE(CONTROL!$C$21, $C$9, 100%, $E$9)</f>
        <v>13.680899999999999</v>
      </c>
      <c r="C282" s="17">
        <f>CHOOSE(CONTROL!$C$42, 13.6889, 13.6889) * CHOOSE(CONTROL!$C$21, $C$9, 100%, $E$9)</f>
        <v>13.6889</v>
      </c>
      <c r="D282" s="17">
        <f>CHOOSE(CONTROL!$C$42, 13.96, 13.96) * CHOOSE(CONTROL!$C$21, $C$9, 100%, $E$9)</f>
        <v>13.96</v>
      </c>
      <c r="E282" s="17">
        <f>CHOOSE(CONTROL!$C$42, 13.9914, 13.9914) * CHOOSE(CONTROL!$C$21, $C$9, 100%, $E$9)</f>
        <v>13.991400000000001</v>
      </c>
      <c r="F282" s="17">
        <f>CHOOSE(CONTROL!$C$42, 13.6993, 13.6993)*CHOOSE(CONTROL!$C$21, $C$9, 100%, $E$9)</f>
        <v>13.699299999999999</v>
      </c>
      <c r="G282" s="17">
        <f>CHOOSE(CONTROL!$C$42, 13.7161, 13.7161)*CHOOSE(CONTROL!$C$21, $C$9, 100%, $E$9)</f>
        <v>13.716100000000001</v>
      </c>
      <c r="H282" s="17">
        <f>CHOOSE(CONTROL!$C$42, 13.9801, 13.9801) * CHOOSE(CONTROL!$C$21, $C$9, 100%, $E$9)</f>
        <v>13.9801</v>
      </c>
      <c r="I282" s="17">
        <f>CHOOSE(CONTROL!$C$42, 13.7436, 13.7436)* CHOOSE(CONTROL!$C$21, $C$9, 100%, $E$9)</f>
        <v>13.743600000000001</v>
      </c>
      <c r="J282" s="17">
        <f>CHOOSE(CONTROL!$C$42, 13.6923, 13.6923)* CHOOSE(CONTROL!$C$21, $C$9, 100%, $E$9)</f>
        <v>13.692299999999999</v>
      </c>
      <c r="K282" s="52">
        <f>CHOOSE(CONTROL!$C$42, 13.7394, 13.7394) * CHOOSE(CONTROL!$C$21, $C$9, 100%, $E$9)</f>
        <v>13.7394</v>
      </c>
      <c r="L282" s="17">
        <f>CHOOSE(CONTROL!$C$42, 14.5671, 14.5671) * CHOOSE(CONTROL!$C$21, $C$9, 100%, $E$9)</f>
        <v>14.5671</v>
      </c>
      <c r="M282" s="17">
        <f>CHOOSE(CONTROL!$C$42, 13.4538, 13.4538) * CHOOSE(CONTROL!$C$21, $C$9, 100%, $E$9)</f>
        <v>13.453799999999999</v>
      </c>
      <c r="N282" s="17">
        <f>CHOOSE(CONTROL!$C$42, 13.4702, 13.4702) * CHOOSE(CONTROL!$C$21, $C$9, 100%, $E$9)</f>
        <v>13.4702</v>
      </c>
      <c r="O282" s="17">
        <f>CHOOSE(CONTROL!$C$42, 13.7363, 13.7363) * CHOOSE(CONTROL!$C$21, $C$9, 100%, $E$9)</f>
        <v>13.7363</v>
      </c>
      <c r="P282" s="17">
        <f>CHOOSE(CONTROL!$C$42, 13.5034, 13.5034) * CHOOSE(CONTROL!$C$21, $C$9, 100%, $E$9)</f>
        <v>13.503399999999999</v>
      </c>
      <c r="Q282" s="17">
        <f>CHOOSE(CONTROL!$C$42, 14.331, 14.331) * CHOOSE(CONTROL!$C$21, $C$9, 100%, $E$9)</f>
        <v>14.331</v>
      </c>
      <c r="R282" s="17">
        <f>CHOOSE(CONTROL!$C$42, 14.9538, 14.9538) * CHOOSE(CONTROL!$C$21, $C$9, 100%, $E$9)</f>
        <v>14.953799999999999</v>
      </c>
      <c r="S282" s="17">
        <f>CHOOSE(CONTROL!$C$42, 13.1353, 13.1353) * CHOOSE(CONTROL!$C$21, $C$9, 100%, $E$9)</f>
        <v>13.135300000000001</v>
      </c>
      <c r="T28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82" s="56">
        <f>(1000*CHOOSE(CONTROL!$C$42, 695, 695)*CHOOSE(CONTROL!$C$42, 0.5599, 0.5599)*CHOOSE(CONTROL!$C$42, 30, 30))/1000000</f>
        <v>11.673914999999997</v>
      </c>
      <c r="V282" s="56">
        <f>(1000*CHOOSE(CONTROL!$C$42, 500, 500)*CHOOSE(CONTROL!$C$42, 0.275, 0.275)*CHOOSE(CONTROL!$C$42, 30, 30))/1000000</f>
        <v>4.125</v>
      </c>
      <c r="W282" s="56">
        <f>(1000*CHOOSE(CONTROL!$C$42, 0.1146, 0.1146)*CHOOSE(CONTROL!$C$42, 121.5, 121.5)*CHOOSE(CONTROL!$C$42, 30, 30))/1000000</f>
        <v>0.417717</v>
      </c>
      <c r="X282" s="56">
        <f>(30*0.1790888*145000/1000000)+(30*0.2374*100000/1000000)</f>
        <v>1.4912362799999999</v>
      </c>
      <c r="Y282" s="56"/>
      <c r="Z282" s="17"/>
      <c r="AA282" s="55"/>
      <c r="AB282" s="48">
        <f>(B282*194.205+C282*267.466+D282*133.845+E282*153.484+F282*40+G282*85+H282*0+I282*100+J282*300)/(194.205+267.466+133.845+153.484+0+40+85+100+300)</f>
        <v>13.759840855180535</v>
      </c>
      <c r="AC282" s="45">
        <f>(M282*'RAP TEMPLATE-GAS AVAILABILITY'!O281+N282*'RAP TEMPLATE-GAS AVAILABILITY'!P281+O282*'RAP TEMPLATE-GAS AVAILABILITY'!Q281+P282*'RAP TEMPLATE-GAS AVAILABILITY'!R281)/('RAP TEMPLATE-GAS AVAILABILITY'!O281+'RAP TEMPLATE-GAS AVAILABILITY'!P281+'RAP TEMPLATE-GAS AVAILABILITY'!Q281+'RAP TEMPLATE-GAS AVAILABILITY'!R281)</f>
        <v>13.543974820143886</v>
      </c>
    </row>
    <row r="283" spans="1:29" ht="15.75" x14ac:dyDescent="0.25">
      <c r="A283" s="15">
        <v>49491</v>
      </c>
      <c r="B283" s="17">
        <f>CHOOSE(CONTROL!$C$42, 13.4187, 13.4187) * CHOOSE(CONTROL!$C$21, $C$9, 100%, $E$9)</f>
        <v>13.418699999999999</v>
      </c>
      <c r="C283" s="17">
        <f>CHOOSE(CONTROL!$C$42, 13.4267, 13.4267) * CHOOSE(CONTROL!$C$21, $C$9, 100%, $E$9)</f>
        <v>13.4267</v>
      </c>
      <c r="D283" s="17">
        <f>CHOOSE(CONTROL!$C$42, 13.6977, 13.6977) * CHOOSE(CONTROL!$C$21, $C$9, 100%, $E$9)</f>
        <v>13.697699999999999</v>
      </c>
      <c r="E283" s="17">
        <f>CHOOSE(CONTROL!$C$42, 13.7292, 13.7292) * CHOOSE(CONTROL!$C$21, $C$9, 100%, $E$9)</f>
        <v>13.729200000000001</v>
      </c>
      <c r="F283" s="17">
        <f>CHOOSE(CONTROL!$C$42, 13.4375, 13.4375)*CHOOSE(CONTROL!$C$21, $C$9, 100%, $E$9)</f>
        <v>13.4375</v>
      </c>
      <c r="G283" s="17">
        <f>CHOOSE(CONTROL!$C$42, 13.4543, 13.4543)*CHOOSE(CONTROL!$C$21, $C$9, 100%, $E$9)</f>
        <v>13.4543</v>
      </c>
      <c r="H283" s="17">
        <f>CHOOSE(CONTROL!$C$42, 13.7178, 13.7178) * CHOOSE(CONTROL!$C$21, $C$9, 100%, $E$9)</f>
        <v>13.7178</v>
      </c>
      <c r="I283" s="17">
        <f>CHOOSE(CONTROL!$C$42, 13.4805, 13.4805)* CHOOSE(CONTROL!$C$21, $C$9, 100%, $E$9)</f>
        <v>13.480499999999999</v>
      </c>
      <c r="J283" s="17">
        <f>CHOOSE(CONTROL!$C$42, 13.4305, 13.4305)* CHOOSE(CONTROL!$C$21, $C$9, 100%, $E$9)</f>
        <v>13.4305</v>
      </c>
      <c r="K283" s="52">
        <f>CHOOSE(CONTROL!$C$42, 13.4763, 13.4763) * CHOOSE(CONTROL!$C$21, $C$9, 100%, $E$9)</f>
        <v>13.4763</v>
      </c>
      <c r="L283" s="17">
        <f>CHOOSE(CONTROL!$C$42, 14.3048, 14.3048) * CHOOSE(CONTROL!$C$21, $C$9, 100%, $E$9)</f>
        <v>14.3048</v>
      </c>
      <c r="M283" s="17">
        <f>CHOOSE(CONTROL!$C$42, 13.1966, 13.1966) * CHOOSE(CONTROL!$C$21, $C$9, 100%, $E$9)</f>
        <v>13.1966</v>
      </c>
      <c r="N283" s="17">
        <f>CHOOSE(CONTROL!$C$42, 13.2132, 13.2132) * CHOOSE(CONTROL!$C$21, $C$9, 100%, $E$9)</f>
        <v>13.213200000000001</v>
      </c>
      <c r="O283" s="17">
        <f>CHOOSE(CONTROL!$C$42, 13.4788, 13.4788) * CHOOSE(CONTROL!$C$21, $C$9, 100%, $E$9)</f>
        <v>13.4788</v>
      </c>
      <c r="P283" s="17">
        <f>CHOOSE(CONTROL!$C$42, 13.2451, 13.2451) * CHOOSE(CONTROL!$C$21, $C$9, 100%, $E$9)</f>
        <v>13.245100000000001</v>
      </c>
      <c r="Q283" s="17">
        <f>CHOOSE(CONTROL!$C$42, 14.0735, 14.0735) * CHOOSE(CONTROL!$C$21, $C$9, 100%, $E$9)</f>
        <v>14.073499999999999</v>
      </c>
      <c r="R283" s="17">
        <f>CHOOSE(CONTROL!$C$42, 14.6957, 14.6957) * CHOOSE(CONTROL!$C$21, $C$9, 100%, $E$9)</f>
        <v>14.6957</v>
      </c>
      <c r="S283" s="17">
        <f>CHOOSE(CONTROL!$C$42, 12.8834, 12.8834) * CHOOSE(CONTROL!$C$21, $C$9, 100%, $E$9)</f>
        <v>12.8834</v>
      </c>
      <c r="T28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83" s="56">
        <f>(1000*CHOOSE(CONTROL!$C$42, 695, 695)*CHOOSE(CONTROL!$C$42, 0.5599, 0.5599)*CHOOSE(CONTROL!$C$42, 31, 31))/1000000</f>
        <v>12.063045499999998</v>
      </c>
      <c r="V283" s="56">
        <f>(1000*CHOOSE(CONTROL!$C$42, 500, 500)*CHOOSE(CONTROL!$C$42, 0.275, 0.275)*CHOOSE(CONTROL!$C$42, 31, 31))/1000000</f>
        <v>4.2625000000000002</v>
      </c>
      <c r="W283" s="56">
        <f>(1000*CHOOSE(CONTROL!$C$42, 0.1146, 0.1146)*CHOOSE(CONTROL!$C$42, 121.5, 121.5)*CHOOSE(CONTROL!$C$42, 31, 31))/1000000</f>
        <v>0.43164089999999994</v>
      </c>
      <c r="X283" s="56">
        <f>(31*0.1790888*145000/1000000)+(31*0.2374*100000/1000000)</f>
        <v>1.5409441560000001</v>
      </c>
      <c r="Y283" s="56"/>
      <c r="Z283" s="17"/>
      <c r="AA283" s="55"/>
      <c r="AB283" s="48">
        <f>(B283*194.205+C283*267.466+D283*133.845+E283*153.484+F283*40+G283*85+H283*0+I283*100+J283*300)/(194.205+267.466+133.845+153.484+0+40+85+100+300)</f>
        <v>13.497693143642074</v>
      </c>
      <c r="AC283" s="45">
        <f>(M283*'RAP TEMPLATE-GAS AVAILABILITY'!O282+N283*'RAP TEMPLATE-GAS AVAILABILITY'!P282+O283*'RAP TEMPLATE-GAS AVAILABILITY'!Q282+P283*'RAP TEMPLATE-GAS AVAILABILITY'!R282)/('RAP TEMPLATE-GAS AVAILABILITY'!O282+'RAP TEMPLATE-GAS AVAILABILITY'!P282+'RAP TEMPLATE-GAS AVAILABILITY'!Q282+'RAP TEMPLATE-GAS AVAILABILITY'!R282)</f>
        <v>13.286578417266188</v>
      </c>
    </row>
    <row r="284" spans="1:29" ht="15.75" x14ac:dyDescent="0.25">
      <c r="A284" s="15">
        <v>49522</v>
      </c>
      <c r="B284" s="17">
        <f>CHOOSE(CONTROL!$C$42, 12.7564, 12.7564) * CHOOSE(CONTROL!$C$21, $C$9, 100%, $E$9)</f>
        <v>12.756399999999999</v>
      </c>
      <c r="C284" s="17">
        <f>CHOOSE(CONTROL!$C$42, 12.7645, 12.7645) * CHOOSE(CONTROL!$C$21, $C$9, 100%, $E$9)</f>
        <v>12.7645</v>
      </c>
      <c r="D284" s="17">
        <f>CHOOSE(CONTROL!$C$42, 13.0355, 13.0355) * CHOOSE(CONTROL!$C$21, $C$9, 100%, $E$9)</f>
        <v>13.035500000000001</v>
      </c>
      <c r="E284" s="17">
        <f>CHOOSE(CONTROL!$C$42, 13.067, 13.067) * CHOOSE(CONTROL!$C$21, $C$9, 100%, $E$9)</f>
        <v>13.067</v>
      </c>
      <c r="F284" s="17">
        <f>CHOOSE(CONTROL!$C$42, 12.7756, 12.7756)*CHOOSE(CONTROL!$C$21, $C$9, 100%, $E$9)</f>
        <v>12.775600000000001</v>
      </c>
      <c r="G284" s="17">
        <f>CHOOSE(CONTROL!$C$42, 12.7924, 12.7924)*CHOOSE(CONTROL!$C$21, $C$9, 100%, $E$9)</f>
        <v>12.792400000000001</v>
      </c>
      <c r="H284" s="17">
        <f>CHOOSE(CONTROL!$C$42, 13.0556, 13.0556) * CHOOSE(CONTROL!$C$21, $C$9, 100%, $E$9)</f>
        <v>13.0556</v>
      </c>
      <c r="I284" s="17">
        <f>CHOOSE(CONTROL!$C$42, 12.8162, 12.8162)* CHOOSE(CONTROL!$C$21, $C$9, 100%, $E$9)</f>
        <v>12.8162</v>
      </c>
      <c r="J284" s="17">
        <f>CHOOSE(CONTROL!$C$42, 12.7686, 12.7686)* CHOOSE(CONTROL!$C$21, $C$9, 100%, $E$9)</f>
        <v>12.768599999999999</v>
      </c>
      <c r="K284" s="52">
        <f>CHOOSE(CONTROL!$C$42, 12.812, 12.812) * CHOOSE(CONTROL!$C$21, $C$9, 100%, $E$9)</f>
        <v>12.811999999999999</v>
      </c>
      <c r="L284" s="17">
        <f>CHOOSE(CONTROL!$C$42, 13.6426, 13.6426) * CHOOSE(CONTROL!$C$21, $C$9, 100%, $E$9)</f>
        <v>13.6426</v>
      </c>
      <c r="M284" s="17">
        <f>CHOOSE(CONTROL!$C$42, 12.5466, 12.5466) * CHOOSE(CONTROL!$C$21, $C$9, 100%, $E$9)</f>
        <v>12.5466</v>
      </c>
      <c r="N284" s="17">
        <f>CHOOSE(CONTROL!$C$42, 12.5632, 12.5632) * CHOOSE(CONTROL!$C$21, $C$9, 100%, $E$9)</f>
        <v>12.5632</v>
      </c>
      <c r="O284" s="17">
        <f>CHOOSE(CONTROL!$C$42, 12.8285, 12.8285) * CHOOSE(CONTROL!$C$21, $C$9, 100%, $E$9)</f>
        <v>12.8285</v>
      </c>
      <c r="P284" s="17">
        <f>CHOOSE(CONTROL!$C$42, 12.5928, 12.5928) * CHOOSE(CONTROL!$C$21, $C$9, 100%, $E$9)</f>
        <v>12.5928</v>
      </c>
      <c r="Q284" s="17">
        <f>CHOOSE(CONTROL!$C$42, 13.4232, 13.4232) * CHOOSE(CONTROL!$C$21, $C$9, 100%, $E$9)</f>
        <v>13.4232</v>
      </c>
      <c r="R284" s="17">
        <f>CHOOSE(CONTROL!$C$42, 14.0437, 14.0437) * CHOOSE(CONTROL!$C$21, $C$9, 100%, $E$9)</f>
        <v>14.043699999999999</v>
      </c>
      <c r="S284" s="17">
        <f>CHOOSE(CONTROL!$C$42, 12.247, 12.247) * CHOOSE(CONTROL!$C$21, $C$9, 100%, $E$9)</f>
        <v>12.247</v>
      </c>
      <c r="T28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84" s="56">
        <f>(1000*CHOOSE(CONTROL!$C$42, 695, 695)*CHOOSE(CONTROL!$C$42, 0.5599, 0.5599)*CHOOSE(CONTROL!$C$42, 31, 31))/1000000</f>
        <v>12.063045499999998</v>
      </c>
      <c r="V284" s="56">
        <f>(1000*CHOOSE(CONTROL!$C$42, 500, 500)*CHOOSE(CONTROL!$C$42, 0.275, 0.275)*CHOOSE(CONTROL!$C$42, 31, 31))/1000000</f>
        <v>4.2625000000000002</v>
      </c>
      <c r="W284" s="56">
        <f>(1000*CHOOSE(CONTROL!$C$42, 0.1146, 0.1146)*CHOOSE(CONTROL!$C$42, 121.5, 121.5)*CHOOSE(CONTROL!$C$42, 31, 31))/1000000</f>
        <v>0.43164089999999994</v>
      </c>
      <c r="X284" s="56">
        <f>(31*0.1790888*145000/1000000)+(31*0.2374*100000/1000000)</f>
        <v>1.5409441560000001</v>
      </c>
      <c r="Y284" s="56"/>
      <c r="Z284" s="17"/>
      <c r="AA284" s="55"/>
      <c r="AB284" s="48">
        <f>(B284*194.205+C284*267.466+D284*133.845+E284*153.484+F284*40+G284*85+H284*0+I284*100+J284*300)/(194.205+267.466+133.845+153.484+0+40+85+100+300)</f>
        <v>12.835413143249609</v>
      </c>
      <c r="AC284" s="45">
        <f>(M284*'RAP TEMPLATE-GAS AVAILABILITY'!O283+N284*'RAP TEMPLATE-GAS AVAILABILITY'!P283+O284*'RAP TEMPLATE-GAS AVAILABILITY'!Q283+P284*'RAP TEMPLATE-GAS AVAILABILITY'!R283)/('RAP TEMPLATE-GAS AVAILABILITY'!O283+'RAP TEMPLATE-GAS AVAILABILITY'!P283+'RAP TEMPLATE-GAS AVAILABILITY'!Q283+'RAP TEMPLATE-GAS AVAILABILITY'!R283)</f>
        <v>12.636163309352519</v>
      </c>
    </row>
    <row r="285" spans="1:29" ht="15.75" x14ac:dyDescent="0.25">
      <c r="A285" s="15">
        <v>49553</v>
      </c>
      <c r="B285" s="17">
        <f>CHOOSE(CONTROL!$C$42, 11.9471, 11.9471) * CHOOSE(CONTROL!$C$21, $C$9, 100%, $E$9)</f>
        <v>11.947100000000001</v>
      </c>
      <c r="C285" s="17">
        <f>CHOOSE(CONTROL!$C$42, 11.9551, 11.9551) * CHOOSE(CONTROL!$C$21, $C$9, 100%, $E$9)</f>
        <v>11.9551</v>
      </c>
      <c r="D285" s="17">
        <f>CHOOSE(CONTROL!$C$42, 12.2262, 12.2262) * CHOOSE(CONTROL!$C$21, $C$9, 100%, $E$9)</f>
        <v>12.2262</v>
      </c>
      <c r="E285" s="17">
        <f>CHOOSE(CONTROL!$C$42, 12.2576, 12.2576) * CHOOSE(CONTROL!$C$21, $C$9, 100%, $E$9)</f>
        <v>12.2576</v>
      </c>
      <c r="F285" s="17">
        <f>CHOOSE(CONTROL!$C$42, 11.9663, 11.9663)*CHOOSE(CONTROL!$C$21, $C$9, 100%, $E$9)</f>
        <v>11.9663</v>
      </c>
      <c r="G285" s="17">
        <f>CHOOSE(CONTROL!$C$42, 11.9832, 11.9832)*CHOOSE(CONTROL!$C$21, $C$9, 100%, $E$9)</f>
        <v>11.9832</v>
      </c>
      <c r="H285" s="17">
        <f>CHOOSE(CONTROL!$C$42, 12.2463, 12.2463) * CHOOSE(CONTROL!$C$21, $C$9, 100%, $E$9)</f>
        <v>12.2463</v>
      </c>
      <c r="I285" s="17">
        <f>CHOOSE(CONTROL!$C$42, 12.0044, 12.0044)* CHOOSE(CONTROL!$C$21, $C$9, 100%, $E$9)</f>
        <v>12.0044</v>
      </c>
      <c r="J285" s="17">
        <f>CHOOSE(CONTROL!$C$42, 11.9593, 11.9593)* CHOOSE(CONTROL!$C$21, $C$9, 100%, $E$9)</f>
        <v>11.959300000000001</v>
      </c>
      <c r="K285" s="52">
        <f>CHOOSE(CONTROL!$C$42, 12.0001, 12.0001) * CHOOSE(CONTROL!$C$21, $C$9, 100%, $E$9)</f>
        <v>12.0001</v>
      </c>
      <c r="L285" s="17">
        <f>CHOOSE(CONTROL!$C$42, 12.8333, 12.8333) * CHOOSE(CONTROL!$C$21, $C$9, 100%, $E$9)</f>
        <v>12.833299999999999</v>
      </c>
      <c r="M285" s="17">
        <f>CHOOSE(CONTROL!$C$42, 11.7519, 11.7519) * CHOOSE(CONTROL!$C$21, $C$9, 100%, $E$9)</f>
        <v>11.751899999999999</v>
      </c>
      <c r="N285" s="17">
        <f>CHOOSE(CONTROL!$C$42, 11.7685, 11.7685) * CHOOSE(CONTROL!$C$21, $C$9, 100%, $E$9)</f>
        <v>11.7685</v>
      </c>
      <c r="O285" s="17">
        <f>CHOOSE(CONTROL!$C$42, 12.0337, 12.0337) * CHOOSE(CONTROL!$C$21, $C$9, 100%, $E$9)</f>
        <v>12.0337</v>
      </c>
      <c r="P285" s="17">
        <f>CHOOSE(CONTROL!$C$42, 11.7955, 11.7955) * CHOOSE(CONTROL!$C$21, $C$9, 100%, $E$9)</f>
        <v>11.795500000000001</v>
      </c>
      <c r="Q285" s="17">
        <f>CHOOSE(CONTROL!$C$42, 12.6284, 12.6284) * CHOOSE(CONTROL!$C$21, $C$9, 100%, $E$9)</f>
        <v>12.628399999999999</v>
      </c>
      <c r="R285" s="17">
        <f>CHOOSE(CONTROL!$C$42, 13.247, 13.247) * CHOOSE(CONTROL!$C$21, $C$9, 100%, $E$9)</f>
        <v>13.247</v>
      </c>
      <c r="S285" s="17">
        <f>CHOOSE(CONTROL!$C$42, 11.4693, 11.4693) * CHOOSE(CONTROL!$C$21, $C$9, 100%, $E$9)</f>
        <v>11.4693</v>
      </c>
      <c r="T28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85" s="56">
        <f>(1000*CHOOSE(CONTROL!$C$42, 695, 695)*CHOOSE(CONTROL!$C$42, 0.5599, 0.5599)*CHOOSE(CONTROL!$C$42, 30, 30))/1000000</f>
        <v>11.673914999999997</v>
      </c>
      <c r="V285" s="56">
        <f>(1000*CHOOSE(CONTROL!$C$42, 500, 500)*CHOOSE(CONTROL!$C$42, 0.275, 0.275)*CHOOSE(CONTROL!$C$42, 30, 30))/1000000</f>
        <v>4.125</v>
      </c>
      <c r="W285" s="56">
        <f>(1000*CHOOSE(CONTROL!$C$42, 0.1146, 0.1146)*CHOOSE(CONTROL!$C$42, 121.5, 121.5)*CHOOSE(CONTROL!$C$42, 30, 30))/1000000</f>
        <v>0.417717</v>
      </c>
      <c r="X285" s="56">
        <f>(30*0.1790888*145000/1000000)+(30*0.2374*100000/1000000)</f>
        <v>1.4912362799999999</v>
      </c>
      <c r="Y285" s="56"/>
      <c r="Z285" s="17"/>
      <c r="AA285" s="55"/>
      <c r="AB285" s="48">
        <f>(B285*194.205+C285*267.466+D285*133.845+E285*153.484+F285*40+G285*85+H285*0+I285*100+J285*300)/(194.205+267.466+133.845+153.484+0+40+85+100+300)</f>
        <v>12.025890541208794</v>
      </c>
      <c r="AC285" s="45">
        <f>(M285*'RAP TEMPLATE-GAS AVAILABILITY'!O284+N285*'RAP TEMPLATE-GAS AVAILABILITY'!P284+O285*'RAP TEMPLATE-GAS AVAILABILITY'!Q284+P285*'RAP TEMPLATE-GAS AVAILABILITY'!R284)/('RAP TEMPLATE-GAS AVAILABILITY'!O284+'RAP TEMPLATE-GAS AVAILABILITY'!P284+'RAP TEMPLATE-GAS AVAILABILITY'!Q284+'RAP TEMPLATE-GAS AVAILABILITY'!R284)</f>
        <v>11.841061151079135</v>
      </c>
    </row>
    <row r="286" spans="1:29" ht="15.75" x14ac:dyDescent="0.25">
      <c r="A286" s="15">
        <v>49583</v>
      </c>
      <c r="B286" s="17">
        <f>CHOOSE(CONTROL!$C$42, 11.703, 11.703) * CHOOSE(CONTROL!$C$21, $C$9, 100%, $E$9)</f>
        <v>11.702999999999999</v>
      </c>
      <c r="C286" s="17">
        <f>CHOOSE(CONTROL!$C$42, 11.7083, 11.7083) * CHOOSE(CONTROL!$C$21, $C$9, 100%, $E$9)</f>
        <v>11.708299999999999</v>
      </c>
      <c r="D286" s="17">
        <f>CHOOSE(CONTROL!$C$42, 11.9843, 11.9843) * CHOOSE(CONTROL!$C$21, $C$9, 100%, $E$9)</f>
        <v>11.984299999999999</v>
      </c>
      <c r="E286" s="17">
        <f>CHOOSE(CONTROL!$C$42, 12.0135, 12.0135) * CHOOSE(CONTROL!$C$21, $C$9, 100%, $E$9)</f>
        <v>12.013500000000001</v>
      </c>
      <c r="F286" s="17">
        <f>CHOOSE(CONTROL!$C$42, 11.7244, 11.7244)*CHOOSE(CONTROL!$C$21, $C$9, 100%, $E$9)</f>
        <v>11.724399999999999</v>
      </c>
      <c r="G286" s="17">
        <f>CHOOSE(CONTROL!$C$42, 11.7412, 11.7412)*CHOOSE(CONTROL!$C$21, $C$9, 100%, $E$9)</f>
        <v>11.741199999999999</v>
      </c>
      <c r="H286" s="17">
        <f>CHOOSE(CONTROL!$C$42, 12.0039, 12.0039) * CHOOSE(CONTROL!$C$21, $C$9, 100%, $E$9)</f>
        <v>12.0039</v>
      </c>
      <c r="I286" s="17">
        <f>CHOOSE(CONTROL!$C$42, 11.7613, 11.7613)* CHOOSE(CONTROL!$C$21, $C$9, 100%, $E$9)</f>
        <v>11.7613</v>
      </c>
      <c r="J286" s="17">
        <f>CHOOSE(CONTROL!$C$42, 11.7174, 11.7174)* CHOOSE(CONTROL!$C$21, $C$9, 100%, $E$9)</f>
        <v>11.7174</v>
      </c>
      <c r="K286" s="52">
        <f>CHOOSE(CONTROL!$C$42, 11.757, 11.757) * CHOOSE(CONTROL!$C$21, $C$9, 100%, $E$9)</f>
        <v>11.757</v>
      </c>
      <c r="L286" s="17">
        <f>CHOOSE(CONTROL!$C$42, 12.5909, 12.5909) * CHOOSE(CONTROL!$C$21, $C$9, 100%, $E$9)</f>
        <v>12.5909</v>
      </c>
      <c r="M286" s="17">
        <f>CHOOSE(CONTROL!$C$42, 11.5143, 11.5143) * CHOOSE(CONTROL!$C$21, $C$9, 100%, $E$9)</f>
        <v>11.5143</v>
      </c>
      <c r="N286" s="17">
        <f>CHOOSE(CONTROL!$C$42, 11.5308, 11.5308) * CHOOSE(CONTROL!$C$21, $C$9, 100%, $E$9)</f>
        <v>11.530799999999999</v>
      </c>
      <c r="O286" s="17">
        <f>CHOOSE(CONTROL!$C$42, 11.7957, 11.7957) * CHOOSE(CONTROL!$C$21, $C$9, 100%, $E$9)</f>
        <v>11.7957</v>
      </c>
      <c r="P286" s="17">
        <f>CHOOSE(CONTROL!$C$42, 11.5568, 11.5568) * CHOOSE(CONTROL!$C$21, $C$9, 100%, $E$9)</f>
        <v>11.556800000000001</v>
      </c>
      <c r="Q286" s="17">
        <f>CHOOSE(CONTROL!$C$42, 12.3904, 12.3904) * CHOOSE(CONTROL!$C$21, $C$9, 100%, $E$9)</f>
        <v>12.3904</v>
      </c>
      <c r="R286" s="17">
        <f>CHOOSE(CONTROL!$C$42, 13.0084, 13.0084) * CHOOSE(CONTROL!$C$21, $C$9, 100%, $E$9)</f>
        <v>13.0084</v>
      </c>
      <c r="S286" s="17">
        <f>CHOOSE(CONTROL!$C$42, 11.2365, 11.2365) * CHOOSE(CONTROL!$C$21, $C$9, 100%, $E$9)</f>
        <v>11.236499999999999</v>
      </c>
      <c r="T28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86" s="56">
        <f>(1000*CHOOSE(CONTROL!$C$42, 695, 695)*CHOOSE(CONTROL!$C$42, 0.5599, 0.5599)*CHOOSE(CONTROL!$C$42, 31, 31))/1000000</f>
        <v>12.063045499999998</v>
      </c>
      <c r="V286" s="56">
        <f>(1000*CHOOSE(CONTROL!$C$42, 500, 500)*CHOOSE(CONTROL!$C$42, 0.275, 0.275)*CHOOSE(CONTROL!$C$42, 31, 31))/1000000</f>
        <v>4.2625000000000002</v>
      </c>
      <c r="W286" s="56">
        <f>(1000*CHOOSE(CONTROL!$C$42, 0.1146, 0.1146)*CHOOSE(CONTROL!$C$42, 121.5, 121.5)*CHOOSE(CONTROL!$C$42, 31, 31))/1000000</f>
        <v>0.43164089999999994</v>
      </c>
      <c r="X286" s="56">
        <f>(31*0.1790888*145000/1000000)+(31*0.2374*100000/1000000)</f>
        <v>1.5409441560000001</v>
      </c>
      <c r="Y286" s="56"/>
      <c r="Z286" s="17"/>
      <c r="AA286" s="55"/>
      <c r="AB286" s="48">
        <f>(B286*131.881+C286*277.167+D286*79.08+E286*225.872+F286*40+G286*85+H286*0+I286*100+J286*300)/(131.881+277.167+79.08+225.872+0+40+85+100+300)</f>
        <v>11.790248139709442</v>
      </c>
      <c r="AC286" s="45">
        <f>(M286*'RAP TEMPLATE-GAS AVAILABILITY'!O285+N286*'RAP TEMPLATE-GAS AVAILABILITY'!P285+O286*'RAP TEMPLATE-GAS AVAILABILITY'!Q285+P286*'RAP TEMPLATE-GAS AVAILABILITY'!R285)/('RAP TEMPLATE-GAS AVAILABILITY'!O285+'RAP TEMPLATE-GAS AVAILABILITY'!P285+'RAP TEMPLATE-GAS AVAILABILITY'!Q285+'RAP TEMPLATE-GAS AVAILABILITY'!R285)</f>
        <v>11.603167625899282</v>
      </c>
    </row>
    <row r="287" spans="1:29" ht="15.75" x14ac:dyDescent="0.25">
      <c r="A287" s="15">
        <v>49614</v>
      </c>
      <c r="B287" s="17">
        <f>CHOOSE(CONTROL!$C$42, 12.0106, 12.0106) * CHOOSE(CONTROL!$C$21, $C$9, 100%, $E$9)</f>
        <v>12.0106</v>
      </c>
      <c r="C287" s="17">
        <f>CHOOSE(CONTROL!$C$42, 12.0157, 12.0157) * CHOOSE(CONTROL!$C$21, $C$9, 100%, $E$9)</f>
        <v>12.015700000000001</v>
      </c>
      <c r="D287" s="17">
        <f>CHOOSE(CONTROL!$C$42, 12.1107, 12.1107) * CHOOSE(CONTROL!$C$21, $C$9, 100%, $E$9)</f>
        <v>12.1107</v>
      </c>
      <c r="E287" s="17">
        <f>CHOOSE(CONTROL!$C$42, 12.1448, 12.1448) * CHOOSE(CONTROL!$C$21, $C$9, 100%, $E$9)</f>
        <v>12.1448</v>
      </c>
      <c r="F287" s="17">
        <f>CHOOSE(CONTROL!$C$42, 12.0345, 12.0345)*CHOOSE(CONTROL!$C$21, $C$9, 100%, $E$9)</f>
        <v>12.0345</v>
      </c>
      <c r="G287" s="17">
        <f>CHOOSE(CONTROL!$C$42, 12.0516, 12.0516)*CHOOSE(CONTROL!$C$21, $C$9, 100%, $E$9)</f>
        <v>12.051600000000001</v>
      </c>
      <c r="H287" s="17">
        <f>CHOOSE(CONTROL!$C$42, 12.134, 12.134) * CHOOSE(CONTROL!$C$21, $C$9, 100%, $E$9)</f>
        <v>12.134</v>
      </c>
      <c r="I287" s="17">
        <f>CHOOSE(CONTROL!$C$42, 12.0682, 12.0682)* CHOOSE(CONTROL!$C$21, $C$9, 100%, $E$9)</f>
        <v>12.068199999999999</v>
      </c>
      <c r="J287" s="17">
        <f>CHOOSE(CONTROL!$C$42, 12.0275, 12.0275)* CHOOSE(CONTROL!$C$21, $C$9, 100%, $E$9)</f>
        <v>12.0275</v>
      </c>
      <c r="K287" s="52">
        <f>CHOOSE(CONTROL!$C$42, 12.064, 12.064) * CHOOSE(CONTROL!$C$21, $C$9, 100%, $E$9)</f>
        <v>12.064</v>
      </c>
      <c r="L287" s="17">
        <f>CHOOSE(CONTROL!$C$42, 12.721, 12.721) * CHOOSE(CONTROL!$C$21, $C$9, 100%, $E$9)</f>
        <v>12.721</v>
      </c>
      <c r="M287" s="17">
        <f>CHOOSE(CONTROL!$C$42, 11.8189, 11.8189) * CHOOSE(CONTROL!$C$21, $C$9, 100%, $E$9)</f>
        <v>11.818899999999999</v>
      </c>
      <c r="N287" s="17">
        <f>CHOOSE(CONTROL!$C$42, 11.8356, 11.8356) * CHOOSE(CONTROL!$C$21, $C$9, 100%, $E$9)</f>
        <v>11.835599999999999</v>
      </c>
      <c r="O287" s="17">
        <f>CHOOSE(CONTROL!$C$42, 11.9235, 11.9235) * CHOOSE(CONTROL!$C$21, $C$9, 100%, $E$9)</f>
        <v>11.923500000000001</v>
      </c>
      <c r="P287" s="17">
        <f>CHOOSE(CONTROL!$C$42, 11.8582, 11.8582) * CHOOSE(CONTROL!$C$21, $C$9, 100%, $E$9)</f>
        <v>11.8582</v>
      </c>
      <c r="Q287" s="17">
        <f>CHOOSE(CONTROL!$C$42, 12.5182, 12.5182) * CHOOSE(CONTROL!$C$21, $C$9, 100%, $E$9)</f>
        <v>12.5182</v>
      </c>
      <c r="R287" s="17">
        <f>CHOOSE(CONTROL!$C$42, 13.1365, 13.1365) * CHOOSE(CONTROL!$C$21, $C$9, 100%, $E$9)</f>
        <v>13.1365</v>
      </c>
      <c r="S287" s="17">
        <f>CHOOSE(CONTROL!$C$42, 11.5325, 11.5325) * CHOOSE(CONTROL!$C$21, $C$9, 100%, $E$9)</f>
        <v>11.532500000000001</v>
      </c>
      <c r="T28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87" s="56">
        <f>(1000*CHOOSE(CONTROL!$C$42, 695, 695)*CHOOSE(CONTROL!$C$42, 0.5599, 0.5599)*CHOOSE(CONTROL!$C$42, 30, 30))/1000000</f>
        <v>11.673914999999997</v>
      </c>
      <c r="V287" s="56">
        <f>(1000*CHOOSE(CONTROL!$C$42, 500, 500)*CHOOSE(CONTROL!$C$42, 0.275, 0.275)*CHOOSE(CONTROL!$C$42, 30, 30))/1000000</f>
        <v>4.125</v>
      </c>
      <c r="W287" s="56">
        <f>(1000*CHOOSE(CONTROL!$C$42, 0.1146, 0.1146)*CHOOSE(CONTROL!$C$42, 121.5, 121.5)*CHOOSE(CONTROL!$C$42, 30, 30))/1000000</f>
        <v>0.417717</v>
      </c>
      <c r="X287" s="56">
        <f>(30*0.2374*100000/1000000)</f>
        <v>0.71220000000000006</v>
      </c>
      <c r="Y287" s="56"/>
      <c r="Z287" s="17"/>
      <c r="AA287" s="55"/>
      <c r="AB287" s="48">
        <f>(B287*122.58+C287*297.941+D287*89.177+E287*140.302+F287*40+G287*60+H287*0+I287*100+J287*300)/(122.58+297.941+89.177+140.302+0+40+60+100+300)</f>
        <v>12.048444039304346</v>
      </c>
      <c r="AC287" s="45">
        <f>(M287*'RAP TEMPLATE-GAS AVAILABILITY'!O286+N287*'RAP TEMPLATE-GAS AVAILABILITY'!P286+O287*'RAP TEMPLATE-GAS AVAILABILITY'!Q286+P287*'RAP TEMPLATE-GAS AVAILABILITY'!R286)/('RAP TEMPLATE-GAS AVAILABILITY'!O286+'RAP TEMPLATE-GAS AVAILABILITY'!P286+'RAP TEMPLATE-GAS AVAILABILITY'!Q286+'RAP TEMPLATE-GAS AVAILABILITY'!R286)</f>
        <v>11.872924460431657</v>
      </c>
    </row>
    <row r="288" spans="1:29" ht="15.75" x14ac:dyDescent="0.25">
      <c r="A288" s="15">
        <v>49644</v>
      </c>
      <c r="B288" s="17">
        <f>CHOOSE(CONTROL!$C$42, 12.8288, 12.8288) * CHOOSE(CONTROL!$C$21, $C$9, 100%, $E$9)</f>
        <v>12.828799999999999</v>
      </c>
      <c r="C288" s="17">
        <f>CHOOSE(CONTROL!$C$42, 12.8339, 12.8339) * CHOOSE(CONTROL!$C$21, $C$9, 100%, $E$9)</f>
        <v>12.8339</v>
      </c>
      <c r="D288" s="17">
        <f>CHOOSE(CONTROL!$C$42, 12.9289, 12.9289) * CHOOSE(CONTROL!$C$21, $C$9, 100%, $E$9)</f>
        <v>12.928900000000001</v>
      </c>
      <c r="E288" s="17">
        <f>CHOOSE(CONTROL!$C$42, 12.963, 12.963) * CHOOSE(CONTROL!$C$21, $C$9, 100%, $E$9)</f>
        <v>12.962999999999999</v>
      </c>
      <c r="F288" s="17">
        <f>CHOOSE(CONTROL!$C$42, 12.8551, 12.8551)*CHOOSE(CONTROL!$C$21, $C$9, 100%, $E$9)</f>
        <v>12.8551</v>
      </c>
      <c r="G288" s="17">
        <f>CHOOSE(CONTROL!$C$42, 12.8728, 12.8728)*CHOOSE(CONTROL!$C$21, $C$9, 100%, $E$9)</f>
        <v>12.8728</v>
      </c>
      <c r="H288" s="17">
        <f>CHOOSE(CONTROL!$C$42, 12.9522, 12.9522) * CHOOSE(CONTROL!$C$21, $C$9, 100%, $E$9)</f>
        <v>12.952199999999999</v>
      </c>
      <c r="I288" s="17">
        <f>CHOOSE(CONTROL!$C$42, 12.889, 12.889)* CHOOSE(CONTROL!$C$21, $C$9, 100%, $E$9)</f>
        <v>12.888999999999999</v>
      </c>
      <c r="J288" s="17">
        <f>CHOOSE(CONTROL!$C$42, 12.8481, 12.8481)* CHOOSE(CONTROL!$C$21, $C$9, 100%, $E$9)</f>
        <v>12.848100000000001</v>
      </c>
      <c r="K288" s="52">
        <f>CHOOSE(CONTROL!$C$42, 12.8848, 12.8848) * CHOOSE(CONTROL!$C$21, $C$9, 100%, $E$9)</f>
        <v>12.8848</v>
      </c>
      <c r="L288" s="17">
        <f>CHOOSE(CONTROL!$C$42, 13.5392, 13.5392) * CHOOSE(CONTROL!$C$21, $C$9, 100%, $E$9)</f>
        <v>13.539199999999999</v>
      </c>
      <c r="M288" s="17">
        <f>CHOOSE(CONTROL!$C$42, 12.6247, 12.6247) * CHOOSE(CONTROL!$C$21, $C$9, 100%, $E$9)</f>
        <v>12.624700000000001</v>
      </c>
      <c r="N288" s="17">
        <f>CHOOSE(CONTROL!$C$42, 12.6421, 12.6421) * CHOOSE(CONTROL!$C$21, $C$9, 100%, $E$9)</f>
        <v>12.642099999999999</v>
      </c>
      <c r="O288" s="17">
        <f>CHOOSE(CONTROL!$C$42, 12.727, 12.727) * CHOOSE(CONTROL!$C$21, $C$9, 100%, $E$9)</f>
        <v>12.727</v>
      </c>
      <c r="P288" s="17">
        <f>CHOOSE(CONTROL!$C$42, 12.6642, 12.6642) * CHOOSE(CONTROL!$C$21, $C$9, 100%, $E$9)</f>
        <v>12.664199999999999</v>
      </c>
      <c r="Q288" s="17">
        <f>CHOOSE(CONTROL!$C$42, 13.3217, 13.3217) * CHOOSE(CONTROL!$C$21, $C$9, 100%, $E$9)</f>
        <v>13.3217</v>
      </c>
      <c r="R288" s="17">
        <f>CHOOSE(CONTROL!$C$42, 13.942, 13.942) * CHOOSE(CONTROL!$C$21, $C$9, 100%, $E$9)</f>
        <v>13.942</v>
      </c>
      <c r="S288" s="17">
        <f>CHOOSE(CONTROL!$C$42, 12.3187, 12.3187) * CHOOSE(CONTROL!$C$21, $C$9, 100%, $E$9)</f>
        <v>12.3187</v>
      </c>
      <c r="T28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88" s="56">
        <f>(1000*CHOOSE(CONTROL!$C$42, 695, 695)*CHOOSE(CONTROL!$C$42, 0.5599, 0.5599)*CHOOSE(CONTROL!$C$42, 31, 31))/1000000</f>
        <v>12.063045499999998</v>
      </c>
      <c r="V288" s="56">
        <f>(1000*CHOOSE(CONTROL!$C$42, 500, 500)*CHOOSE(CONTROL!$C$42, 0.275, 0.275)*CHOOSE(CONTROL!$C$42, 31, 31))/1000000</f>
        <v>4.2625000000000002</v>
      </c>
      <c r="W288" s="56">
        <f>(1000*CHOOSE(CONTROL!$C$42, 0.1146, 0.1146)*CHOOSE(CONTROL!$C$42, 121.5, 121.5)*CHOOSE(CONTROL!$C$42, 31, 31))/1000000</f>
        <v>0.43164089999999994</v>
      </c>
      <c r="X288" s="56">
        <f>(31*0.2374*100000/1000000)</f>
        <v>0.73594000000000004</v>
      </c>
      <c r="Y288" s="56"/>
      <c r="Z288" s="17"/>
      <c r="AA288" s="55"/>
      <c r="AB288" s="48">
        <f>(B288*122.58+C288*297.941+D288*89.177+E288*140.302+F288*40+G288*60+H288*0+I288*100+J288*300)/(122.58+297.941+89.177+140.302+0+40+60+100+300)</f>
        <v>12.867736213217391</v>
      </c>
      <c r="AC288" s="45">
        <f>(M288*'RAP TEMPLATE-GAS AVAILABILITY'!O287+N288*'RAP TEMPLATE-GAS AVAILABILITY'!P287+O288*'RAP TEMPLATE-GAS AVAILABILITY'!Q287+P288*'RAP TEMPLATE-GAS AVAILABILITY'!R287)/('RAP TEMPLATE-GAS AVAILABILITY'!O287+'RAP TEMPLATE-GAS AVAILABILITY'!P287+'RAP TEMPLATE-GAS AVAILABILITY'!Q287+'RAP TEMPLATE-GAS AVAILABILITY'!R287)</f>
        <v>12.677751079136691</v>
      </c>
    </row>
    <row r="289" spans="1:29" ht="15.75" x14ac:dyDescent="0.25">
      <c r="A289" s="15">
        <v>49675</v>
      </c>
      <c r="B289" s="17">
        <f>CHOOSE(CONTROL!$C$42, 13.8916, 13.8916) * CHOOSE(CONTROL!$C$21, $C$9, 100%, $E$9)</f>
        <v>13.8916</v>
      </c>
      <c r="C289" s="17">
        <f>CHOOSE(CONTROL!$C$42, 13.8966, 13.8966) * CHOOSE(CONTROL!$C$21, $C$9, 100%, $E$9)</f>
        <v>13.896599999999999</v>
      </c>
      <c r="D289" s="17">
        <f>CHOOSE(CONTROL!$C$42, 14.0151, 14.0151) * CHOOSE(CONTROL!$C$21, $C$9, 100%, $E$9)</f>
        <v>14.0151</v>
      </c>
      <c r="E289" s="17">
        <f>CHOOSE(CONTROL!$C$42, 14.0492, 14.0492) * CHOOSE(CONTROL!$C$21, $C$9, 100%, $E$9)</f>
        <v>14.049200000000001</v>
      </c>
      <c r="F289" s="17">
        <f>CHOOSE(CONTROL!$C$42, 13.912, 13.912)*CHOOSE(CONTROL!$C$21, $C$9, 100%, $E$9)</f>
        <v>13.912000000000001</v>
      </c>
      <c r="G289" s="17">
        <f>CHOOSE(CONTROL!$C$42, 13.9288, 13.9288)*CHOOSE(CONTROL!$C$21, $C$9, 100%, $E$9)</f>
        <v>13.928800000000001</v>
      </c>
      <c r="H289" s="17">
        <f>CHOOSE(CONTROL!$C$42, 14.0384, 14.0384) * CHOOSE(CONTROL!$C$21, $C$9, 100%, $E$9)</f>
        <v>14.038399999999999</v>
      </c>
      <c r="I289" s="17">
        <f>CHOOSE(CONTROL!$C$42, 13.9587, 13.9587)* CHOOSE(CONTROL!$C$21, $C$9, 100%, $E$9)</f>
        <v>13.9587</v>
      </c>
      <c r="J289" s="17">
        <f>CHOOSE(CONTROL!$C$42, 13.905, 13.905)* CHOOSE(CONTROL!$C$21, $C$9, 100%, $E$9)</f>
        <v>13.904999999999999</v>
      </c>
      <c r="K289" s="52">
        <f>CHOOSE(CONTROL!$C$42, 13.9545, 13.9545) * CHOOSE(CONTROL!$C$21, $C$9, 100%, $E$9)</f>
        <v>13.954499999999999</v>
      </c>
      <c r="L289" s="17">
        <f>CHOOSE(CONTROL!$C$42, 14.6254, 14.6254) * CHOOSE(CONTROL!$C$21, $C$9, 100%, $E$9)</f>
        <v>14.625400000000001</v>
      </c>
      <c r="M289" s="17">
        <f>CHOOSE(CONTROL!$C$42, 13.6626, 13.6626) * CHOOSE(CONTROL!$C$21, $C$9, 100%, $E$9)</f>
        <v>13.662599999999999</v>
      </c>
      <c r="N289" s="17">
        <f>CHOOSE(CONTROL!$C$42, 13.6791, 13.6791) * CHOOSE(CONTROL!$C$21, $C$9, 100%, $E$9)</f>
        <v>13.6791</v>
      </c>
      <c r="O289" s="17">
        <f>CHOOSE(CONTROL!$C$42, 13.7936, 13.7936) * CHOOSE(CONTROL!$C$21, $C$9, 100%, $E$9)</f>
        <v>13.7936</v>
      </c>
      <c r="P289" s="17">
        <f>CHOOSE(CONTROL!$C$42, 13.7146, 13.7146) * CHOOSE(CONTROL!$C$21, $C$9, 100%, $E$9)</f>
        <v>13.714600000000001</v>
      </c>
      <c r="Q289" s="17">
        <f>CHOOSE(CONTROL!$C$42, 14.3883, 14.3883) * CHOOSE(CONTROL!$C$21, $C$9, 100%, $E$9)</f>
        <v>14.388299999999999</v>
      </c>
      <c r="R289" s="17">
        <f>CHOOSE(CONTROL!$C$42, 15.0112, 15.0112) * CHOOSE(CONTROL!$C$21, $C$9, 100%, $E$9)</f>
        <v>15.011200000000001</v>
      </c>
      <c r="S289" s="17">
        <f>CHOOSE(CONTROL!$C$42, 13.3399, 13.3399) * CHOOSE(CONTROL!$C$21, $C$9, 100%, $E$9)</f>
        <v>13.3399</v>
      </c>
      <c r="T28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89" s="56">
        <f>(1000*CHOOSE(CONTROL!$C$42, 695, 695)*CHOOSE(CONTROL!$C$42, 0.5599, 0.5599)*CHOOSE(CONTROL!$C$42, 31, 31))/1000000</f>
        <v>12.063045499999998</v>
      </c>
      <c r="V289" s="56">
        <f>(1000*CHOOSE(CONTROL!$C$42, 500, 500)*CHOOSE(CONTROL!$C$42, 0.275, 0.275)*CHOOSE(CONTROL!$C$42, 31, 31))/1000000</f>
        <v>4.2625000000000002</v>
      </c>
      <c r="W289" s="56">
        <f>(1000*CHOOSE(CONTROL!$C$42, 0.1146, 0.1146)*CHOOSE(CONTROL!$C$42, 121.5, 121.5)*CHOOSE(CONTROL!$C$42, 31, 31))/1000000</f>
        <v>0.43164089999999994</v>
      </c>
      <c r="X289" s="56">
        <f>(31*0.2374*100000/1000000)</f>
        <v>0.73594000000000004</v>
      </c>
      <c r="Y289" s="56"/>
      <c r="Z289" s="17"/>
      <c r="AA289" s="55"/>
      <c r="AB289" s="48">
        <f>(B289*122.58+C289*297.941+D289*89.177+E289*140.302+F289*40+G289*60+H289*0+I289*100+J289*300)/(122.58+297.941+89.177+140.302+0+40+60+100+300)</f>
        <v>13.933680573652175</v>
      </c>
      <c r="AC289" s="45">
        <f>(M289*'RAP TEMPLATE-GAS AVAILABILITY'!O288+N289*'RAP TEMPLATE-GAS AVAILABILITY'!P288+O289*'RAP TEMPLATE-GAS AVAILABILITY'!Q288+P289*'RAP TEMPLATE-GAS AVAILABILITY'!R288)/('RAP TEMPLATE-GAS AVAILABILITY'!O288+'RAP TEMPLATE-GAS AVAILABILITY'!P288+'RAP TEMPLATE-GAS AVAILABILITY'!Q288+'RAP TEMPLATE-GAS AVAILABILITY'!R288)</f>
        <v>13.730405755395683</v>
      </c>
    </row>
    <row r="290" spans="1:29" ht="15.75" x14ac:dyDescent="0.25">
      <c r="A290" s="15">
        <v>49706</v>
      </c>
      <c r="B290" s="17">
        <f>CHOOSE(CONTROL!$C$42, 14.1387, 14.1387) * CHOOSE(CONTROL!$C$21, $C$9, 100%, $E$9)</f>
        <v>14.1387</v>
      </c>
      <c r="C290" s="17">
        <f>CHOOSE(CONTROL!$C$42, 14.1438, 14.1438) * CHOOSE(CONTROL!$C$21, $C$9, 100%, $E$9)</f>
        <v>14.143800000000001</v>
      </c>
      <c r="D290" s="17">
        <f>CHOOSE(CONTROL!$C$42, 14.2622, 14.2622) * CHOOSE(CONTROL!$C$21, $C$9, 100%, $E$9)</f>
        <v>14.2622</v>
      </c>
      <c r="E290" s="17">
        <f>CHOOSE(CONTROL!$C$42, 14.2963, 14.2963) * CHOOSE(CONTROL!$C$21, $C$9, 100%, $E$9)</f>
        <v>14.2963</v>
      </c>
      <c r="F290" s="17">
        <f>CHOOSE(CONTROL!$C$42, 14.1591, 14.1591)*CHOOSE(CONTROL!$C$21, $C$9, 100%, $E$9)</f>
        <v>14.1591</v>
      </c>
      <c r="G290" s="17">
        <f>CHOOSE(CONTROL!$C$42, 14.1759, 14.1759)*CHOOSE(CONTROL!$C$21, $C$9, 100%, $E$9)</f>
        <v>14.1759</v>
      </c>
      <c r="H290" s="17">
        <f>CHOOSE(CONTROL!$C$42, 14.2855, 14.2855) * CHOOSE(CONTROL!$C$21, $C$9, 100%, $E$9)</f>
        <v>14.285500000000001</v>
      </c>
      <c r="I290" s="17">
        <f>CHOOSE(CONTROL!$C$42, 14.2066, 14.2066)* CHOOSE(CONTROL!$C$21, $C$9, 100%, $E$9)</f>
        <v>14.2066</v>
      </c>
      <c r="J290" s="17">
        <f>CHOOSE(CONTROL!$C$42, 14.1521, 14.1521)* CHOOSE(CONTROL!$C$21, $C$9, 100%, $E$9)</f>
        <v>14.152100000000001</v>
      </c>
      <c r="K290" s="52">
        <f>CHOOSE(CONTROL!$C$42, 14.2024, 14.2024) * CHOOSE(CONTROL!$C$21, $C$9, 100%, $E$9)</f>
        <v>14.202400000000001</v>
      </c>
      <c r="L290" s="17">
        <f>CHOOSE(CONTROL!$C$42, 14.8725, 14.8725) * CHOOSE(CONTROL!$C$21, $C$9, 100%, $E$9)</f>
        <v>14.8725</v>
      </c>
      <c r="M290" s="17">
        <f>CHOOSE(CONTROL!$C$42, 13.9052, 13.9052) * CHOOSE(CONTROL!$C$21, $C$9, 100%, $E$9)</f>
        <v>13.905200000000001</v>
      </c>
      <c r="N290" s="17">
        <f>CHOOSE(CONTROL!$C$42, 13.9217, 13.9217) * CHOOSE(CONTROL!$C$21, $C$9, 100%, $E$9)</f>
        <v>13.9217</v>
      </c>
      <c r="O290" s="17">
        <f>CHOOSE(CONTROL!$C$42, 14.0362, 14.0362) * CHOOSE(CONTROL!$C$21, $C$9, 100%, $E$9)</f>
        <v>14.036199999999999</v>
      </c>
      <c r="P290" s="17">
        <f>CHOOSE(CONTROL!$C$42, 13.958, 13.958) * CHOOSE(CONTROL!$C$21, $C$9, 100%, $E$9)</f>
        <v>13.958</v>
      </c>
      <c r="Q290" s="17">
        <f>CHOOSE(CONTROL!$C$42, 14.6309, 14.6309) * CHOOSE(CONTROL!$C$21, $C$9, 100%, $E$9)</f>
        <v>14.6309</v>
      </c>
      <c r="R290" s="17">
        <f>CHOOSE(CONTROL!$C$42, 15.2545, 15.2545) * CHOOSE(CONTROL!$C$21, $C$9, 100%, $E$9)</f>
        <v>15.2545</v>
      </c>
      <c r="S290" s="17">
        <f>CHOOSE(CONTROL!$C$42, 13.5773, 13.5773) * CHOOSE(CONTROL!$C$21, $C$9, 100%, $E$9)</f>
        <v>13.577299999999999</v>
      </c>
      <c r="T29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290" s="56">
        <f>(1000*CHOOSE(CONTROL!$C$42, 695, 695)*CHOOSE(CONTROL!$C$42, 0.5599, 0.5599)*CHOOSE(CONTROL!$C$42, 29, 29))/1000000</f>
        <v>11.284784499999999</v>
      </c>
      <c r="V290" s="56">
        <f>(1000*CHOOSE(CONTROL!$C$42, 500, 500)*CHOOSE(CONTROL!$C$42, 0.275, 0.275)*CHOOSE(CONTROL!$C$42, 29, 29))/1000000</f>
        <v>3.9874999999999998</v>
      </c>
      <c r="W290" s="56">
        <f>(1000*CHOOSE(CONTROL!$C$42, 0.1146, 0.1146)*CHOOSE(CONTROL!$C$42, 121.5, 121.5)*CHOOSE(CONTROL!$C$42, 29, 29))/1000000</f>
        <v>0.40379309999999996</v>
      </c>
      <c r="X290" s="56">
        <f>(29*0.2374*100000/1000000)</f>
        <v>0.68845999999999996</v>
      </c>
      <c r="Y290" s="56"/>
      <c r="Z290" s="17"/>
      <c r="AA290" s="55"/>
      <c r="AB290" s="48">
        <f>(B290*122.58+C290*297.941+D290*89.177+E290*140.302+F290*40+G290*60+H290*0+I290*100+J290*300)/(122.58+297.941+89.177+140.302+0+40+60+100+300)</f>
        <v>14.180876046782609</v>
      </c>
      <c r="AC290" s="45">
        <f>(M290*'RAP TEMPLATE-GAS AVAILABILITY'!O289+N290*'RAP TEMPLATE-GAS AVAILABILITY'!P289+O290*'RAP TEMPLATE-GAS AVAILABILITY'!Q289+P290*'RAP TEMPLATE-GAS AVAILABILITY'!R289)/('RAP TEMPLATE-GAS AVAILABILITY'!O289+'RAP TEMPLATE-GAS AVAILABILITY'!P289+'RAP TEMPLATE-GAS AVAILABILITY'!Q289+'RAP TEMPLATE-GAS AVAILABILITY'!R289)</f>
        <v>13.973120863309353</v>
      </c>
    </row>
    <row r="291" spans="1:29" ht="15.75" x14ac:dyDescent="0.25">
      <c r="A291" s="15">
        <v>49735</v>
      </c>
      <c r="B291" s="17">
        <f>CHOOSE(CONTROL!$C$42, 13.7376, 13.7376) * CHOOSE(CONTROL!$C$21, $C$9, 100%, $E$9)</f>
        <v>13.7376</v>
      </c>
      <c r="C291" s="17">
        <f>CHOOSE(CONTROL!$C$42, 13.7426, 13.7426) * CHOOSE(CONTROL!$C$21, $C$9, 100%, $E$9)</f>
        <v>13.742599999999999</v>
      </c>
      <c r="D291" s="17">
        <f>CHOOSE(CONTROL!$C$42, 13.8611, 13.8611) * CHOOSE(CONTROL!$C$21, $C$9, 100%, $E$9)</f>
        <v>13.8611</v>
      </c>
      <c r="E291" s="17">
        <f>CHOOSE(CONTROL!$C$42, 13.8952, 13.8952) * CHOOSE(CONTROL!$C$21, $C$9, 100%, $E$9)</f>
        <v>13.895200000000001</v>
      </c>
      <c r="F291" s="17">
        <f>CHOOSE(CONTROL!$C$42, 13.7573, 13.7573)*CHOOSE(CONTROL!$C$21, $C$9, 100%, $E$9)</f>
        <v>13.757300000000001</v>
      </c>
      <c r="G291" s="17">
        <f>CHOOSE(CONTROL!$C$42, 13.7739, 13.7739)*CHOOSE(CONTROL!$C$21, $C$9, 100%, $E$9)</f>
        <v>13.773899999999999</v>
      </c>
      <c r="H291" s="17">
        <f>CHOOSE(CONTROL!$C$42, 13.8844, 13.8844) * CHOOSE(CONTROL!$C$21, $C$9, 100%, $E$9)</f>
        <v>13.884399999999999</v>
      </c>
      <c r="I291" s="17">
        <f>CHOOSE(CONTROL!$C$42, 13.8042, 13.8042)* CHOOSE(CONTROL!$C$21, $C$9, 100%, $E$9)</f>
        <v>13.8042</v>
      </c>
      <c r="J291" s="17">
        <f>CHOOSE(CONTROL!$C$42, 13.7503, 13.7503)* CHOOSE(CONTROL!$C$21, $C$9, 100%, $E$9)</f>
        <v>13.750299999999999</v>
      </c>
      <c r="K291" s="52">
        <f>CHOOSE(CONTROL!$C$42, 13.8, 13.8) * CHOOSE(CONTROL!$C$21, $C$9, 100%, $E$9)</f>
        <v>13.8</v>
      </c>
      <c r="L291" s="17">
        <f>CHOOSE(CONTROL!$C$42, 14.4714, 14.4714) * CHOOSE(CONTROL!$C$21, $C$9, 100%, $E$9)</f>
        <v>14.471399999999999</v>
      </c>
      <c r="M291" s="17">
        <f>CHOOSE(CONTROL!$C$42, 13.5106, 13.5106) * CHOOSE(CONTROL!$C$21, $C$9, 100%, $E$9)</f>
        <v>13.5106</v>
      </c>
      <c r="N291" s="17">
        <f>CHOOSE(CONTROL!$C$42, 13.527, 13.527) * CHOOSE(CONTROL!$C$21, $C$9, 100%, $E$9)</f>
        <v>13.526999999999999</v>
      </c>
      <c r="O291" s="17">
        <f>CHOOSE(CONTROL!$C$42, 13.6423, 13.6423) * CHOOSE(CONTROL!$C$21, $C$9, 100%, $E$9)</f>
        <v>13.642300000000001</v>
      </c>
      <c r="P291" s="17">
        <f>CHOOSE(CONTROL!$C$42, 13.5629, 13.5629) * CHOOSE(CONTROL!$C$21, $C$9, 100%, $E$9)</f>
        <v>13.562900000000001</v>
      </c>
      <c r="Q291" s="17">
        <f>CHOOSE(CONTROL!$C$42, 14.237, 14.237) * CHOOSE(CONTROL!$C$21, $C$9, 100%, $E$9)</f>
        <v>14.237</v>
      </c>
      <c r="R291" s="17">
        <f>CHOOSE(CONTROL!$C$42, 14.8596, 14.8596) * CHOOSE(CONTROL!$C$21, $C$9, 100%, $E$9)</f>
        <v>14.8596</v>
      </c>
      <c r="S291" s="17">
        <f>CHOOSE(CONTROL!$C$42, 13.1919, 13.1919) * CHOOSE(CONTROL!$C$21, $C$9, 100%, $E$9)</f>
        <v>13.1919</v>
      </c>
      <c r="T29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91" s="56">
        <f>(1000*CHOOSE(CONTROL!$C$42, 695, 695)*CHOOSE(CONTROL!$C$42, 0.5599, 0.5599)*CHOOSE(CONTROL!$C$42, 31, 31))/1000000</f>
        <v>12.063045499999998</v>
      </c>
      <c r="V291" s="56">
        <f>(1000*CHOOSE(CONTROL!$C$42, 500, 500)*CHOOSE(CONTROL!$C$42, 0.275, 0.275)*CHOOSE(CONTROL!$C$42, 31, 31))/1000000</f>
        <v>4.2625000000000002</v>
      </c>
      <c r="W291" s="56">
        <f>(1000*CHOOSE(CONTROL!$C$42, 0.1146, 0.1146)*CHOOSE(CONTROL!$C$42, 121.5, 121.5)*CHOOSE(CONTROL!$C$42, 31, 31))/1000000</f>
        <v>0.43164089999999994</v>
      </c>
      <c r="X291" s="56">
        <f>(31*0.2374*100000/1000000)</f>
        <v>0.73594000000000004</v>
      </c>
      <c r="Y291" s="56"/>
      <c r="Z291" s="17"/>
      <c r="AA291" s="55"/>
      <c r="AB291" s="48">
        <f>(B291*122.58+C291*297.941+D291*89.177+E291*140.302+F291*40+G291*60+H291*0+I291*100+J291*300)/(122.58+297.941+89.177+140.302+0+40+60+100+300)</f>
        <v>13.779383182347825</v>
      </c>
      <c r="AC291" s="45">
        <f>(M291*'RAP TEMPLATE-GAS AVAILABILITY'!O290+N291*'RAP TEMPLATE-GAS AVAILABILITY'!P290+O291*'RAP TEMPLATE-GAS AVAILABILITY'!Q290+P291*'RAP TEMPLATE-GAS AVAILABILITY'!R290)/('RAP TEMPLATE-GAS AVAILABILITY'!O290+'RAP TEMPLATE-GAS AVAILABILITY'!P290+'RAP TEMPLATE-GAS AVAILABILITY'!Q290+'RAP TEMPLATE-GAS AVAILABILITY'!R290)</f>
        <v>13.578760431654676</v>
      </c>
    </row>
    <row r="292" spans="1:29" ht="15.75" x14ac:dyDescent="0.25">
      <c r="A292" s="15">
        <v>49766</v>
      </c>
      <c r="B292" s="17">
        <f>CHOOSE(CONTROL!$C$42, 13.6975, 13.6975) * CHOOSE(CONTROL!$C$21, $C$9, 100%, $E$9)</f>
        <v>13.6975</v>
      </c>
      <c r="C292" s="17">
        <f>CHOOSE(CONTROL!$C$42, 13.7019, 13.7019) * CHOOSE(CONTROL!$C$21, $C$9, 100%, $E$9)</f>
        <v>13.7019</v>
      </c>
      <c r="D292" s="17">
        <f>CHOOSE(CONTROL!$C$42, 13.9761, 13.9761) * CHOOSE(CONTROL!$C$21, $C$9, 100%, $E$9)</f>
        <v>13.976100000000001</v>
      </c>
      <c r="E292" s="17">
        <f>CHOOSE(CONTROL!$C$42, 14.0083, 14.0083) * CHOOSE(CONTROL!$C$21, $C$9, 100%, $E$9)</f>
        <v>14.0083</v>
      </c>
      <c r="F292" s="17">
        <f>CHOOSE(CONTROL!$C$42, 13.7168, 13.7168)*CHOOSE(CONTROL!$C$21, $C$9, 100%, $E$9)</f>
        <v>13.716799999999999</v>
      </c>
      <c r="G292" s="17">
        <f>CHOOSE(CONTROL!$C$42, 13.7331, 13.7331)*CHOOSE(CONTROL!$C$21, $C$9, 100%, $E$9)</f>
        <v>13.7331</v>
      </c>
      <c r="H292" s="17">
        <f>CHOOSE(CONTROL!$C$42, 13.998, 13.998) * CHOOSE(CONTROL!$C$21, $C$9, 100%, $E$9)</f>
        <v>13.997999999999999</v>
      </c>
      <c r="I292" s="17">
        <f>CHOOSE(CONTROL!$C$42, 13.7616, 13.7616)* CHOOSE(CONTROL!$C$21, $C$9, 100%, $E$9)</f>
        <v>13.7616</v>
      </c>
      <c r="J292" s="17">
        <f>CHOOSE(CONTROL!$C$42, 13.7098, 13.7098)* CHOOSE(CONTROL!$C$21, $C$9, 100%, $E$9)</f>
        <v>13.7098</v>
      </c>
      <c r="K292" s="52">
        <f>CHOOSE(CONTROL!$C$42, 13.7574, 13.7574) * CHOOSE(CONTROL!$C$21, $C$9, 100%, $E$9)</f>
        <v>13.757400000000001</v>
      </c>
      <c r="L292" s="17">
        <f>CHOOSE(CONTROL!$C$42, 14.585, 14.585) * CHOOSE(CONTROL!$C$21, $C$9, 100%, $E$9)</f>
        <v>14.585000000000001</v>
      </c>
      <c r="M292" s="17">
        <f>CHOOSE(CONTROL!$C$42, 13.4709, 13.4709) * CHOOSE(CONTROL!$C$21, $C$9, 100%, $E$9)</f>
        <v>13.4709</v>
      </c>
      <c r="N292" s="17">
        <f>CHOOSE(CONTROL!$C$42, 13.4869, 13.4869) * CHOOSE(CONTROL!$C$21, $C$9, 100%, $E$9)</f>
        <v>13.4869</v>
      </c>
      <c r="O292" s="17">
        <f>CHOOSE(CONTROL!$C$42, 13.754, 13.754) * CHOOSE(CONTROL!$C$21, $C$9, 100%, $E$9)</f>
        <v>13.754</v>
      </c>
      <c r="P292" s="17">
        <f>CHOOSE(CONTROL!$C$42, 13.5211, 13.5211) * CHOOSE(CONTROL!$C$21, $C$9, 100%, $E$9)</f>
        <v>13.521100000000001</v>
      </c>
      <c r="Q292" s="17">
        <f>CHOOSE(CONTROL!$C$42, 14.3487, 14.3487) * CHOOSE(CONTROL!$C$21, $C$9, 100%, $E$9)</f>
        <v>14.348699999999999</v>
      </c>
      <c r="R292" s="17">
        <f>CHOOSE(CONTROL!$C$42, 14.9715, 14.9715) * CHOOSE(CONTROL!$C$21, $C$9, 100%, $E$9)</f>
        <v>14.971500000000001</v>
      </c>
      <c r="S292" s="17">
        <f>CHOOSE(CONTROL!$C$42, 13.1526, 13.1526) * CHOOSE(CONTROL!$C$21, $C$9, 100%, $E$9)</f>
        <v>13.1526</v>
      </c>
      <c r="T29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92" s="56">
        <f>(1000*CHOOSE(CONTROL!$C$42, 695, 695)*CHOOSE(CONTROL!$C$42, 0.5599, 0.5599)*CHOOSE(CONTROL!$C$42, 30, 30))/1000000</f>
        <v>11.673914999999997</v>
      </c>
      <c r="V292" s="56">
        <f>(1000*CHOOSE(CONTROL!$C$42, 500, 500)*CHOOSE(CONTROL!$C$42, 0.275, 0.275)*CHOOSE(CONTROL!$C$42, 30, 30))/1000000</f>
        <v>4.125</v>
      </c>
      <c r="W292" s="56">
        <f>(1000*CHOOSE(CONTROL!$C$42, 0.1146, 0.1146)*CHOOSE(CONTROL!$C$42, 121.5, 121.5)*CHOOSE(CONTROL!$C$42, 30, 30))/1000000</f>
        <v>0.417717</v>
      </c>
      <c r="X292" s="56">
        <f>(30*0.1790888*145000/1000000)+(30*0.2374*100000/1000000)</f>
        <v>1.4912362799999999</v>
      </c>
      <c r="Y292" s="56"/>
      <c r="Z292" s="17"/>
      <c r="AA292" s="55"/>
      <c r="AB292" s="48">
        <f>(B292*141.293+C292*267.993+D292*115.016+E292*189.698+F292*40+G292*85+H292*0+I292*100+J292*300)/(141.293+267.993+115.016+189.698+0+40+85+100+300)</f>
        <v>13.783116436803876</v>
      </c>
      <c r="AC292" s="45">
        <f>(M292*'RAP TEMPLATE-GAS AVAILABILITY'!O291+N292*'RAP TEMPLATE-GAS AVAILABILITY'!P291+O292*'RAP TEMPLATE-GAS AVAILABILITY'!Q291+P292*'RAP TEMPLATE-GAS AVAILABILITY'!R291)/('RAP TEMPLATE-GAS AVAILABILITY'!O291+'RAP TEMPLATE-GAS AVAILABILITY'!P291+'RAP TEMPLATE-GAS AVAILABILITY'!Q291+'RAP TEMPLATE-GAS AVAILABILITY'!R291)</f>
        <v>13.561237410071941</v>
      </c>
    </row>
    <row r="293" spans="1:29" ht="15.75" x14ac:dyDescent="0.25">
      <c r="A293" s="15">
        <v>49796</v>
      </c>
      <c r="B293" s="17">
        <f>CHOOSE(CONTROL!$C$42, 13.8197, 13.8197) * CHOOSE(CONTROL!$C$21, $C$9, 100%, $E$9)</f>
        <v>13.819699999999999</v>
      </c>
      <c r="C293" s="17">
        <f>CHOOSE(CONTROL!$C$42, 13.8277, 13.8277) * CHOOSE(CONTROL!$C$21, $C$9, 100%, $E$9)</f>
        <v>13.8277</v>
      </c>
      <c r="D293" s="17">
        <f>CHOOSE(CONTROL!$C$42, 14.0987, 14.0987) * CHOOSE(CONTROL!$C$21, $C$9, 100%, $E$9)</f>
        <v>14.098699999999999</v>
      </c>
      <c r="E293" s="17">
        <f>CHOOSE(CONTROL!$C$42, 14.1302, 14.1302) * CHOOSE(CONTROL!$C$21, $C$9, 100%, $E$9)</f>
        <v>14.1302</v>
      </c>
      <c r="F293" s="17">
        <f>CHOOSE(CONTROL!$C$42, 13.8378, 13.8378)*CHOOSE(CONTROL!$C$21, $C$9, 100%, $E$9)</f>
        <v>13.8378</v>
      </c>
      <c r="G293" s="17">
        <f>CHOOSE(CONTROL!$C$42, 13.8544, 13.8544)*CHOOSE(CONTROL!$C$21, $C$9, 100%, $E$9)</f>
        <v>13.8544</v>
      </c>
      <c r="H293" s="17">
        <f>CHOOSE(CONTROL!$C$42, 14.1188, 14.1188) * CHOOSE(CONTROL!$C$21, $C$9, 100%, $E$9)</f>
        <v>14.1188</v>
      </c>
      <c r="I293" s="17">
        <f>CHOOSE(CONTROL!$C$42, 13.8828, 13.8828)* CHOOSE(CONTROL!$C$21, $C$9, 100%, $E$9)</f>
        <v>13.8828</v>
      </c>
      <c r="J293" s="17">
        <f>CHOOSE(CONTROL!$C$42, 13.8308, 13.8308)* CHOOSE(CONTROL!$C$21, $C$9, 100%, $E$9)</f>
        <v>13.8308</v>
      </c>
      <c r="K293" s="52">
        <f>CHOOSE(CONTROL!$C$42, 13.8786, 13.8786) * CHOOSE(CONTROL!$C$21, $C$9, 100%, $E$9)</f>
        <v>13.8786</v>
      </c>
      <c r="L293" s="17">
        <f>CHOOSE(CONTROL!$C$42, 14.7058, 14.7058) * CHOOSE(CONTROL!$C$21, $C$9, 100%, $E$9)</f>
        <v>14.7058</v>
      </c>
      <c r="M293" s="17">
        <f>CHOOSE(CONTROL!$C$42, 13.5897, 13.5897) * CHOOSE(CONTROL!$C$21, $C$9, 100%, $E$9)</f>
        <v>13.589700000000001</v>
      </c>
      <c r="N293" s="17">
        <f>CHOOSE(CONTROL!$C$42, 13.6061, 13.6061) * CHOOSE(CONTROL!$C$21, $C$9, 100%, $E$9)</f>
        <v>13.6061</v>
      </c>
      <c r="O293" s="17">
        <f>CHOOSE(CONTROL!$C$42, 13.8726, 13.8726) * CHOOSE(CONTROL!$C$21, $C$9, 100%, $E$9)</f>
        <v>13.8726</v>
      </c>
      <c r="P293" s="17">
        <f>CHOOSE(CONTROL!$C$42, 13.6401, 13.6401) * CHOOSE(CONTROL!$C$21, $C$9, 100%, $E$9)</f>
        <v>13.6401</v>
      </c>
      <c r="Q293" s="17">
        <f>CHOOSE(CONTROL!$C$42, 14.4673, 14.4673) * CHOOSE(CONTROL!$C$21, $C$9, 100%, $E$9)</f>
        <v>14.4673</v>
      </c>
      <c r="R293" s="17">
        <f>CHOOSE(CONTROL!$C$42, 15.0904, 15.0904) * CHOOSE(CONTROL!$C$21, $C$9, 100%, $E$9)</f>
        <v>15.090400000000001</v>
      </c>
      <c r="S293" s="17">
        <f>CHOOSE(CONTROL!$C$42, 13.2687, 13.2687) * CHOOSE(CONTROL!$C$21, $C$9, 100%, $E$9)</f>
        <v>13.268700000000001</v>
      </c>
      <c r="T29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93" s="56">
        <f>(1000*CHOOSE(CONTROL!$C$42, 695, 695)*CHOOSE(CONTROL!$C$42, 0.5599, 0.5599)*CHOOSE(CONTROL!$C$42, 31, 31))/1000000</f>
        <v>12.063045499999998</v>
      </c>
      <c r="V293" s="56">
        <f>(1000*CHOOSE(CONTROL!$C$42, 500, 500)*CHOOSE(CONTROL!$C$42, 0.275, 0.275)*CHOOSE(CONTROL!$C$42, 31, 31))/1000000</f>
        <v>4.2625000000000002</v>
      </c>
      <c r="W293" s="56">
        <f>(1000*CHOOSE(CONTROL!$C$42, 0.1146, 0.1146)*CHOOSE(CONTROL!$C$42, 121.5, 121.5)*CHOOSE(CONTROL!$C$42, 31, 31))/1000000</f>
        <v>0.43164089999999994</v>
      </c>
      <c r="X293" s="56">
        <f>(31*0.1790888*145000/1000000)+(31*0.2374*100000/1000000)</f>
        <v>1.5409441560000001</v>
      </c>
      <c r="Y293" s="56"/>
      <c r="Z293" s="17"/>
      <c r="AA293" s="55"/>
      <c r="AB293" s="48">
        <f>(B293*194.205+C293*267.466+D293*133.845+E293*153.484+F293*40+G293*85+H293*0+I293*100+J293*300)/(194.205+267.466+133.845+153.484+0+40+85+100+300)</f>
        <v>13.898548324175826</v>
      </c>
      <c r="AC293" s="45">
        <f>(M293*'RAP TEMPLATE-GAS AVAILABILITY'!O292+N293*'RAP TEMPLATE-GAS AVAILABILITY'!P292+O293*'RAP TEMPLATE-GAS AVAILABILITY'!Q292+P293*'RAP TEMPLATE-GAS AVAILABILITY'!R292)/('RAP TEMPLATE-GAS AVAILABILITY'!O292+'RAP TEMPLATE-GAS AVAILABILITY'!P292+'RAP TEMPLATE-GAS AVAILABILITY'!Q292+'RAP TEMPLATE-GAS AVAILABILITY'!R292)</f>
        <v>13.680102158273382</v>
      </c>
    </row>
    <row r="294" spans="1:29" ht="15.75" x14ac:dyDescent="0.25">
      <c r="A294" s="15">
        <v>49827</v>
      </c>
      <c r="B294" s="17">
        <f>CHOOSE(CONTROL!$C$42, 14.2113, 14.2113) * CHOOSE(CONTROL!$C$21, $C$9, 100%, $E$9)</f>
        <v>14.2113</v>
      </c>
      <c r="C294" s="17">
        <f>CHOOSE(CONTROL!$C$42, 14.2194, 14.2194) * CHOOSE(CONTROL!$C$21, $C$9, 100%, $E$9)</f>
        <v>14.2194</v>
      </c>
      <c r="D294" s="17">
        <f>CHOOSE(CONTROL!$C$42, 14.4904, 14.4904) * CHOOSE(CONTROL!$C$21, $C$9, 100%, $E$9)</f>
        <v>14.490399999999999</v>
      </c>
      <c r="E294" s="17">
        <f>CHOOSE(CONTROL!$C$42, 14.5219, 14.5219) * CHOOSE(CONTROL!$C$21, $C$9, 100%, $E$9)</f>
        <v>14.5219</v>
      </c>
      <c r="F294" s="17">
        <f>CHOOSE(CONTROL!$C$42, 14.2298, 14.2298)*CHOOSE(CONTROL!$C$21, $C$9, 100%, $E$9)</f>
        <v>14.229799999999999</v>
      </c>
      <c r="G294" s="17">
        <f>CHOOSE(CONTROL!$C$42, 14.2465, 14.2465)*CHOOSE(CONTROL!$C$21, $C$9, 100%, $E$9)</f>
        <v>14.246499999999999</v>
      </c>
      <c r="H294" s="17">
        <f>CHOOSE(CONTROL!$C$42, 14.5105, 14.5105) * CHOOSE(CONTROL!$C$21, $C$9, 100%, $E$9)</f>
        <v>14.5105</v>
      </c>
      <c r="I294" s="17">
        <f>CHOOSE(CONTROL!$C$42, 14.2757, 14.2757)* CHOOSE(CONTROL!$C$21, $C$9, 100%, $E$9)</f>
        <v>14.275700000000001</v>
      </c>
      <c r="J294" s="17">
        <f>CHOOSE(CONTROL!$C$42, 14.2228, 14.2228)* CHOOSE(CONTROL!$C$21, $C$9, 100%, $E$9)</f>
        <v>14.222799999999999</v>
      </c>
      <c r="K294" s="52">
        <f>CHOOSE(CONTROL!$C$42, 14.2715, 14.2715) * CHOOSE(CONTROL!$C$21, $C$9, 100%, $E$9)</f>
        <v>14.2715</v>
      </c>
      <c r="L294" s="17">
        <f>CHOOSE(CONTROL!$C$42, 15.0975, 15.0975) * CHOOSE(CONTROL!$C$21, $C$9, 100%, $E$9)</f>
        <v>15.0975</v>
      </c>
      <c r="M294" s="17">
        <f>CHOOSE(CONTROL!$C$42, 13.9747, 13.9747) * CHOOSE(CONTROL!$C$21, $C$9, 100%, $E$9)</f>
        <v>13.9747</v>
      </c>
      <c r="N294" s="17">
        <f>CHOOSE(CONTROL!$C$42, 13.9911, 13.9911) * CHOOSE(CONTROL!$C$21, $C$9, 100%, $E$9)</f>
        <v>13.991099999999999</v>
      </c>
      <c r="O294" s="17">
        <f>CHOOSE(CONTROL!$C$42, 14.2572, 14.2572) * CHOOSE(CONTROL!$C$21, $C$9, 100%, $E$9)</f>
        <v>14.257199999999999</v>
      </c>
      <c r="P294" s="17">
        <f>CHOOSE(CONTROL!$C$42, 14.0259, 14.0259) * CHOOSE(CONTROL!$C$21, $C$9, 100%, $E$9)</f>
        <v>14.0259</v>
      </c>
      <c r="Q294" s="17">
        <f>CHOOSE(CONTROL!$C$42, 14.8519, 14.8519) * CHOOSE(CONTROL!$C$21, $C$9, 100%, $E$9)</f>
        <v>14.851900000000001</v>
      </c>
      <c r="R294" s="17">
        <f>CHOOSE(CONTROL!$C$42, 15.476, 15.476) * CHOOSE(CONTROL!$C$21, $C$9, 100%, $E$9)</f>
        <v>15.476000000000001</v>
      </c>
      <c r="S294" s="17">
        <f>CHOOSE(CONTROL!$C$42, 13.645, 13.645) * CHOOSE(CONTROL!$C$21, $C$9, 100%, $E$9)</f>
        <v>13.645</v>
      </c>
      <c r="T29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94" s="56">
        <f>(1000*CHOOSE(CONTROL!$C$42, 695, 695)*CHOOSE(CONTROL!$C$42, 0.5599, 0.5599)*CHOOSE(CONTROL!$C$42, 30, 30))/1000000</f>
        <v>11.673914999999997</v>
      </c>
      <c r="V294" s="56">
        <f>(1000*CHOOSE(CONTROL!$C$42, 500, 500)*CHOOSE(CONTROL!$C$42, 0.275, 0.275)*CHOOSE(CONTROL!$C$42, 30, 30))/1000000</f>
        <v>4.125</v>
      </c>
      <c r="W294" s="56">
        <f>(1000*CHOOSE(CONTROL!$C$42, 0.1146, 0.1146)*CHOOSE(CONTROL!$C$42, 121.5, 121.5)*CHOOSE(CONTROL!$C$42, 30, 30))/1000000</f>
        <v>0.417717</v>
      </c>
      <c r="X294" s="56">
        <f>(30*0.1790888*145000/1000000)+(30*0.2374*100000/1000000)</f>
        <v>1.4912362799999999</v>
      </c>
      <c r="Y294" s="56"/>
      <c r="Z294" s="17"/>
      <c r="AA294" s="55"/>
      <c r="AB294" s="48">
        <f>(B294*194.205+C294*267.466+D294*133.845+E294*153.484+F294*40+G294*85+H294*0+I294*100+J294*300)/(194.205+267.466+133.845+153.484+0+40+85+100+300)</f>
        <v>14.290434022370485</v>
      </c>
      <c r="AC294" s="45">
        <f>(M294*'RAP TEMPLATE-GAS AVAILABILITY'!O293+N294*'RAP TEMPLATE-GAS AVAILABILITY'!P293+O294*'RAP TEMPLATE-GAS AVAILABILITY'!Q293+P294*'RAP TEMPLATE-GAS AVAILABILITY'!R293)/('RAP TEMPLATE-GAS AVAILABILITY'!O293+'RAP TEMPLATE-GAS AVAILABILITY'!P293+'RAP TEMPLATE-GAS AVAILABILITY'!Q293+'RAP TEMPLATE-GAS AVAILABILITY'!R293)</f>
        <v>14.065105035971223</v>
      </c>
    </row>
    <row r="295" spans="1:29" ht="15.75" x14ac:dyDescent="0.25">
      <c r="A295" s="15">
        <v>49857</v>
      </c>
      <c r="B295" s="17">
        <f>CHOOSE(CONTROL!$C$42, 13.9389, 13.9389) * CHOOSE(CONTROL!$C$21, $C$9, 100%, $E$9)</f>
        <v>13.9389</v>
      </c>
      <c r="C295" s="17">
        <f>CHOOSE(CONTROL!$C$42, 13.9469, 13.9469) * CHOOSE(CONTROL!$C$21, $C$9, 100%, $E$9)</f>
        <v>13.946899999999999</v>
      </c>
      <c r="D295" s="17">
        <f>CHOOSE(CONTROL!$C$42, 14.218, 14.218) * CHOOSE(CONTROL!$C$21, $C$9, 100%, $E$9)</f>
        <v>14.218</v>
      </c>
      <c r="E295" s="17">
        <f>CHOOSE(CONTROL!$C$42, 14.2495, 14.2495) * CHOOSE(CONTROL!$C$21, $C$9, 100%, $E$9)</f>
        <v>14.249499999999999</v>
      </c>
      <c r="F295" s="17">
        <f>CHOOSE(CONTROL!$C$42, 13.9578, 13.9578)*CHOOSE(CONTROL!$C$21, $C$9, 100%, $E$9)</f>
        <v>13.957800000000001</v>
      </c>
      <c r="G295" s="17">
        <f>CHOOSE(CONTROL!$C$42, 13.9746, 13.9746)*CHOOSE(CONTROL!$C$21, $C$9, 100%, $E$9)</f>
        <v>13.974600000000001</v>
      </c>
      <c r="H295" s="17">
        <f>CHOOSE(CONTROL!$C$42, 14.2381, 14.2381) * CHOOSE(CONTROL!$C$21, $C$9, 100%, $E$9)</f>
        <v>14.238099999999999</v>
      </c>
      <c r="I295" s="17">
        <f>CHOOSE(CONTROL!$C$42, 14.0024, 14.0024)* CHOOSE(CONTROL!$C$21, $C$9, 100%, $E$9)</f>
        <v>14.0024</v>
      </c>
      <c r="J295" s="17">
        <f>CHOOSE(CONTROL!$C$42, 13.9508, 13.9508)* CHOOSE(CONTROL!$C$21, $C$9, 100%, $E$9)</f>
        <v>13.950799999999999</v>
      </c>
      <c r="K295" s="52">
        <f>CHOOSE(CONTROL!$C$42, 13.9982, 13.9982) * CHOOSE(CONTROL!$C$21, $C$9, 100%, $E$9)</f>
        <v>13.998200000000001</v>
      </c>
      <c r="L295" s="17">
        <f>CHOOSE(CONTROL!$C$42, 14.8251, 14.8251) * CHOOSE(CONTROL!$C$21, $C$9, 100%, $E$9)</f>
        <v>14.825100000000001</v>
      </c>
      <c r="M295" s="17">
        <f>CHOOSE(CONTROL!$C$42, 13.7076, 13.7076) * CHOOSE(CONTROL!$C$21, $C$9, 100%, $E$9)</f>
        <v>13.707599999999999</v>
      </c>
      <c r="N295" s="17">
        <f>CHOOSE(CONTROL!$C$42, 13.7241, 13.7241) * CHOOSE(CONTROL!$C$21, $C$9, 100%, $E$9)</f>
        <v>13.7241</v>
      </c>
      <c r="O295" s="17">
        <f>CHOOSE(CONTROL!$C$42, 13.9897, 13.9897) * CHOOSE(CONTROL!$C$21, $C$9, 100%, $E$9)</f>
        <v>13.989699999999999</v>
      </c>
      <c r="P295" s="17">
        <f>CHOOSE(CONTROL!$C$42, 13.7576, 13.7576) * CHOOSE(CONTROL!$C$21, $C$9, 100%, $E$9)</f>
        <v>13.7576</v>
      </c>
      <c r="Q295" s="17">
        <f>CHOOSE(CONTROL!$C$42, 14.5844, 14.5844) * CHOOSE(CONTROL!$C$21, $C$9, 100%, $E$9)</f>
        <v>14.5844</v>
      </c>
      <c r="R295" s="17">
        <f>CHOOSE(CONTROL!$C$42, 15.2079, 15.2079) * CHOOSE(CONTROL!$C$21, $C$9, 100%, $E$9)</f>
        <v>15.2079</v>
      </c>
      <c r="S295" s="17">
        <f>CHOOSE(CONTROL!$C$42, 13.3833, 13.3833) * CHOOSE(CONTROL!$C$21, $C$9, 100%, $E$9)</f>
        <v>13.3833</v>
      </c>
      <c r="T29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95" s="56">
        <f>(1000*CHOOSE(CONTROL!$C$42, 695, 695)*CHOOSE(CONTROL!$C$42, 0.5599, 0.5599)*CHOOSE(CONTROL!$C$42, 31, 31))/1000000</f>
        <v>12.063045499999998</v>
      </c>
      <c r="V295" s="56">
        <f>(1000*CHOOSE(CONTROL!$C$42, 500, 500)*CHOOSE(CONTROL!$C$42, 0.275, 0.275)*CHOOSE(CONTROL!$C$42, 31, 31))/1000000</f>
        <v>4.2625000000000002</v>
      </c>
      <c r="W295" s="56">
        <f>(1000*CHOOSE(CONTROL!$C$42, 0.1146, 0.1146)*CHOOSE(CONTROL!$C$42, 121.5, 121.5)*CHOOSE(CONTROL!$C$42, 31, 31))/1000000</f>
        <v>0.43164089999999994</v>
      </c>
      <c r="X295" s="56">
        <f>(31*0.1790888*145000/1000000)+(31*0.2374*100000/1000000)</f>
        <v>1.5409441560000001</v>
      </c>
      <c r="Y295" s="56"/>
      <c r="Z295" s="17"/>
      <c r="AA295" s="55"/>
      <c r="AB295" s="48">
        <f>(B295*194.205+C295*267.466+D295*133.845+E295*153.484+F295*40+G295*85+H295*0+I295*100+J295*300)/(194.205+267.466+133.845+153.484+0+40+85+100+300)</f>
        <v>14.018082494427002</v>
      </c>
      <c r="AC295" s="45">
        <f>(M295*'RAP TEMPLATE-GAS AVAILABILITY'!O294+N295*'RAP TEMPLATE-GAS AVAILABILITY'!P294+O295*'RAP TEMPLATE-GAS AVAILABILITY'!Q294+P295*'RAP TEMPLATE-GAS AVAILABILITY'!R294)/('RAP TEMPLATE-GAS AVAILABILITY'!O294+'RAP TEMPLATE-GAS AVAILABILITY'!P294+'RAP TEMPLATE-GAS AVAILABILITY'!Q294+'RAP TEMPLATE-GAS AVAILABILITY'!R294)</f>
        <v>13.797743165467624</v>
      </c>
    </row>
    <row r="296" spans="1:29" ht="15.75" x14ac:dyDescent="0.25">
      <c r="A296" s="15">
        <v>49888</v>
      </c>
      <c r="B296" s="17">
        <f>CHOOSE(CONTROL!$C$42, 13.251, 13.251) * CHOOSE(CONTROL!$C$21, $C$9, 100%, $E$9)</f>
        <v>13.250999999999999</v>
      </c>
      <c r="C296" s="17">
        <f>CHOOSE(CONTROL!$C$42, 13.259, 13.259) * CHOOSE(CONTROL!$C$21, $C$9, 100%, $E$9)</f>
        <v>13.259</v>
      </c>
      <c r="D296" s="17">
        <f>CHOOSE(CONTROL!$C$42, 13.5301, 13.5301) * CHOOSE(CONTROL!$C$21, $C$9, 100%, $E$9)</f>
        <v>13.530099999999999</v>
      </c>
      <c r="E296" s="17">
        <f>CHOOSE(CONTROL!$C$42, 13.5615, 13.5615) * CHOOSE(CONTROL!$C$21, $C$9, 100%, $E$9)</f>
        <v>13.561500000000001</v>
      </c>
      <c r="F296" s="17">
        <f>CHOOSE(CONTROL!$C$42, 13.2701, 13.2701)*CHOOSE(CONTROL!$C$21, $C$9, 100%, $E$9)</f>
        <v>13.270099999999999</v>
      </c>
      <c r="G296" s="17">
        <f>CHOOSE(CONTROL!$C$42, 13.287, 13.287)*CHOOSE(CONTROL!$C$21, $C$9, 100%, $E$9)</f>
        <v>13.287000000000001</v>
      </c>
      <c r="H296" s="17">
        <f>CHOOSE(CONTROL!$C$42, 13.5502, 13.5502) * CHOOSE(CONTROL!$C$21, $C$9, 100%, $E$9)</f>
        <v>13.5502</v>
      </c>
      <c r="I296" s="17">
        <f>CHOOSE(CONTROL!$C$42, 13.3124, 13.3124)* CHOOSE(CONTROL!$C$21, $C$9, 100%, $E$9)</f>
        <v>13.3124</v>
      </c>
      <c r="J296" s="17">
        <f>CHOOSE(CONTROL!$C$42, 13.2631, 13.2631)* CHOOSE(CONTROL!$C$21, $C$9, 100%, $E$9)</f>
        <v>13.2631</v>
      </c>
      <c r="K296" s="52">
        <f>CHOOSE(CONTROL!$C$42, 13.3081, 13.3081) * CHOOSE(CONTROL!$C$21, $C$9, 100%, $E$9)</f>
        <v>13.3081</v>
      </c>
      <c r="L296" s="17">
        <f>CHOOSE(CONTROL!$C$42, 14.1372, 14.1372) * CHOOSE(CONTROL!$C$21, $C$9, 100%, $E$9)</f>
        <v>14.1372</v>
      </c>
      <c r="M296" s="17">
        <f>CHOOSE(CONTROL!$C$42, 13.0323, 13.0323) * CHOOSE(CONTROL!$C$21, $C$9, 100%, $E$9)</f>
        <v>13.032299999999999</v>
      </c>
      <c r="N296" s="17">
        <f>CHOOSE(CONTROL!$C$42, 13.0488, 13.0488) * CHOOSE(CONTROL!$C$21, $C$9, 100%, $E$9)</f>
        <v>13.0488</v>
      </c>
      <c r="O296" s="17">
        <f>CHOOSE(CONTROL!$C$42, 13.3141, 13.3141) * CHOOSE(CONTROL!$C$21, $C$9, 100%, $E$9)</f>
        <v>13.3141</v>
      </c>
      <c r="P296" s="17">
        <f>CHOOSE(CONTROL!$C$42, 13.0799, 13.0799) * CHOOSE(CONTROL!$C$21, $C$9, 100%, $E$9)</f>
        <v>13.0799</v>
      </c>
      <c r="Q296" s="17">
        <f>CHOOSE(CONTROL!$C$42, 13.9088, 13.9088) * CHOOSE(CONTROL!$C$21, $C$9, 100%, $E$9)</f>
        <v>13.908799999999999</v>
      </c>
      <c r="R296" s="17">
        <f>CHOOSE(CONTROL!$C$42, 14.5306, 14.5306) * CHOOSE(CONTROL!$C$21, $C$9, 100%, $E$9)</f>
        <v>14.5306</v>
      </c>
      <c r="S296" s="17">
        <f>CHOOSE(CONTROL!$C$42, 12.7222, 12.7222) * CHOOSE(CONTROL!$C$21, $C$9, 100%, $E$9)</f>
        <v>12.722200000000001</v>
      </c>
      <c r="T29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96" s="56">
        <f>(1000*CHOOSE(CONTROL!$C$42, 695, 695)*CHOOSE(CONTROL!$C$42, 0.5599, 0.5599)*CHOOSE(CONTROL!$C$42, 31, 31))/1000000</f>
        <v>12.063045499999998</v>
      </c>
      <c r="V296" s="56">
        <f>(1000*CHOOSE(CONTROL!$C$42, 500, 500)*CHOOSE(CONTROL!$C$42, 0.275, 0.275)*CHOOSE(CONTROL!$C$42, 31, 31))/1000000</f>
        <v>4.2625000000000002</v>
      </c>
      <c r="W296" s="56">
        <f>(1000*CHOOSE(CONTROL!$C$42, 0.1146, 0.1146)*CHOOSE(CONTROL!$C$42, 121.5, 121.5)*CHOOSE(CONTROL!$C$42, 31, 31))/1000000</f>
        <v>0.43164089999999994</v>
      </c>
      <c r="X296" s="56">
        <f>(31*0.1790888*145000/1000000)+(31*0.2374*100000/1000000)</f>
        <v>1.5409441560000001</v>
      </c>
      <c r="Y296" s="56"/>
      <c r="Z296" s="17"/>
      <c r="AA296" s="55"/>
      <c r="AB296" s="48">
        <f>(B296*194.205+C296*267.466+D296*133.845+E296*153.484+F296*40+G296*85+H296*0+I296*100+J296*300)/(194.205+267.466+133.845+153.484+0+40+85+100+300)</f>
        <v>13.330079002747254</v>
      </c>
      <c r="AC296" s="45">
        <f>(M296*'RAP TEMPLATE-GAS AVAILABILITY'!O295+N296*'RAP TEMPLATE-GAS AVAILABILITY'!P295+O296*'RAP TEMPLATE-GAS AVAILABILITY'!Q295+P296*'RAP TEMPLATE-GAS AVAILABILITY'!R295)/('RAP TEMPLATE-GAS AVAILABILITY'!O295+'RAP TEMPLATE-GAS AVAILABILITY'!P295+'RAP TEMPLATE-GAS AVAILABILITY'!Q295+'RAP TEMPLATE-GAS AVAILABILITY'!R295)</f>
        <v>13.122013669064748</v>
      </c>
    </row>
    <row r="297" spans="1:29" ht="15.75" x14ac:dyDescent="0.25">
      <c r="A297" s="15">
        <v>49919</v>
      </c>
      <c r="B297" s="17">
        <f>CHOOSE(CONTROL!$C$42, 12.4103, 12.4103) * CHOOSE(CONTROL!$C$21, $C$9, 100%, $E$9)</f>
        <v>12.410299999999999</v>
      </c>
      <c r="C297" s="17">
        <f>CHOOSE(CONTROL!$C$42, 12.4183, 12.4183) * CHOOSE(CONTROL!$C$21, $C$9, 100%, $E$9)</f>
        <v>12.4183</v>
      </c>
      <c r="D297" s="17">
        <f>CHOOSE(CONTROL!$C$42, 12.6893, 12.6893) * CHOOSE(CONTROL!$C$21, $C$9, 100%, $E$9)</f>
        <v>12.689299999999999</v>
      </c>
      <c r="E297" s="17">
        <f>CHOOSE(CONTROL!$C$42, 12.7208, 12.7208) * CHOOSE(CONTROL!$C$21, $C$9, 100%, $E$9)</f>
        <v>12.720800000000001</v>
      </c>
      <c r="F297" s="17">
        <f>CHOOSE(CONTROL!$C$42, 12.4294, 12.4294)*CHOOSE(CONTROL!$C$21, $C$9, 100%, $E$9)</f>
        <v>12.429399999999999</v>
      </c>
      <c r="G297" s="17">
        <f>CHOOSE(CONTROL!$C$42, 12.4463, 12.4463)*CHOOSE(CONTROL!$C$21, $C$9, 100%, $E$9)</f>
        <v>12.446300000000001</v>
      </c>
      <c r="H297" s="17">
        <f>CHOOSE(CONTROL!$C$42, 12.7094, 12.7094) * CHOOSE(CONTROL!$C$21, $C$9, 100%, $E$9)</f>
        <v>12.7094</v>
      </c>
      <c r="I297" s="17">
        <f>CHOOSE(CONTROL!$C$42, 12.469, 12.469)* CHOOSE(CONTROL!$C$21, $C$9, 100%, $E$9)</f>
        <v>12.468999999999999</v>
      </c>
      <c r="J297" s="17">
        <f>CHOOSE(CONTROL!$C$42, 12.4224, 12.4224)* CHOOSE(CONTROL!$C$21, $C$9, 100%, $E$9)</f>
        <v>12.4224</v>
      </c>
      <c r="K297" s="52">
        <f>CHOOSE(CONTROL!$C$42, 12.4648, 12.4648) * CHOOSE(CONTROL!$C$21, $C$9, 100%, $E$9)</f>
        <v>12.4648</v>
      </c>
      <c r="L297" s="17">
        <f>CHOOSE(CONTROL!$C$42, 13.2964, 13.2964) * CHOOSE(CONTROL!$C$21, $C$9, 100%, $E$9)</f>
        <v>13.2964</v>
      </c>
      <c r="M297" s="17">
        <f>CHOOSE(CONTROL!$C$42, 12.2067, 12.2067) * CHOOSE(CONTROL!$C$21, $C$9, 100%, $E$9)</f>
        <v>12.2067</v>
      </c>
      <c r="N297" s="17">
        <f>CHOOSE(CONTROL!$C$42, 12.2233, 12.2233) * CHOOSE(CONTROL!$C$21, $C$9, 100%, $E$9)</f>
        <v>12.2233</v>
      </c>
      <c r="O297" s="17">
        <f>CHOOSE(CONTROL!$C$42, 12.4885, 12.4885) * CHOOSE(CONTROL!$C$21, $C$9, 100%, $E$9)</f>
        <v>12.4885</v>
      </c>
      <c r="P297" s="17">
        <f>CHOOSE(CONTROL!$C$42, 12.2518, 12.2518) * CHOOSE(CONTROL!$C$21, $C$9, 100%, $E$9)</f>
        <v>12.251799999999999</v>
      </c>
      <c r="Q297" s="17">
        <f>CHOOSE(CONTROL!$C$42, 13.0832, 13.0832) * CHOOSE(CONTROL!$C$21, $C$9, 100%, $E$9)</f>
        <v>13.0832</v>
      </c>
      <c r="R297" s="17">
        <f>CHOOSE(CONTROL!$C$42, 13.7029, 13.7029) * CHOOSE(CONTROL!$C$21, $C$9, 100%, $E$9)</f>
        <v>13.7029</v>
      </c>
      <c r="S297" s="17">
        <f>CHOOSE(CONTROL!$C$42, 11.9144, 11.9144) * CHOOSE(CONTROL!$C$21, $C$9, 100%, $E$9)</f>
        <v>11.914400000000001</v>
      </c>
      <c r="T29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97" s="56">
        <f>(1000*CHOOSE(CONTROL!$C$42, 695, 695)*CHOOSE(CONTROL!$C$42, 0.5599, 0.5599)*CHOOSE(CONTROL!$C$42, 30, 30))/1000000</f>
        <v>11.673914999999997</v>
      </c>
      <c r="V297" s="56">
        <f>(1000*CHOOSE(CONTROL!$C$42, 500, 500)*CHOOSE(CONTROL!$C$42, 0.275, 0.275)*CHOOSE(CONTROL!$C$42, 30, 30))/1000000</f>
        <v>4.125</v>
      </c>
      <c r="W297" s="56">
        <f>(1000*CHOOSE(CONTROL!$C$42, 0.1146, 0.1146)*CHOOSE(CONTROL!$C$42, 121.5, 121.5)*CHOOSE(CONTROL!$C$42, 30, 30))/1000000</f>
        <v>0.417717</v>
      </c>
      <c r="X297" s="56">
        <f>(30*0.1790888*145000/1000000)+(30*0.2374*100000/1000000)</f>
        <v>1.4912362799999999</v>
      </c>
      <c r="Y297" s="56"/>
      <c r="Z297" s="17"/>
      <c r="AA297" s="55"/>
      <c r="AB297" s="48">
        <f>(B297*194.205+C297*267.466+D297*133.845+E297*153.484+F297*40+G297*85+H297*0+I297*100+J297*300)/(194.205+267.466+133.845+153.484+0+40+85+100+300)</f>
        <v>12.489156565934065</v>
      </c>
      <c r="AC297" s="45">
        <f>(M297*'RAP TEMPLATE-GAS AVAILABILITY'!O296+N297*'RAP TEMPLATE-GAS AVAILABILITY'!P296+O297*'RAP TEMPLATE-GAS AVAILABILITY'!Q296+P297*'RAP TEMPLATE-GAS AVAILABILITY'!R296)/('RAP TEMPLATE-GAS AVAILABILITY'!O296+'RAP TEMPLATE-GAS AVAILABILITY'!P296+'RAP TEMPLATE-GAS AVAILABILITY'!Q296+'RAP TEMPLATE-GAS AVAILABILITY'!R296)</f>
        <v>12.296076978417265</v>
      </c>
    </row>
    <row r="298" spans="1:29" ht="15.75" x14ac:dyDescent="0.25">
      <c r="A298" s="15">
        <v>49949</v>
      </c>
      <c r="B298" s="17">
        <f>CHOOSE(CONTROL!$C$42, 12.1568, 12.1568) * CHOOSE(CONTROL!$C$21, $C$9, 100%, $E$9)</f>
        <v>12.1568</v>
      </c>
      <c r="C298" s="17">
        <f>CHOOSE(CONTROL!$C$42, 12.1621, 12.1621) * CHOOSE(CONTROL!$C$21, $C$9, 100%, $E$9)</f>
        <v>12.162100000000001</v>
      </c>
      <c r="D298" s="17">
        <f>CHOOSE(CONTROL!$C$42, 12.4381, 12.4381) * CHOOSE(CONTROL!$C$21, $C$9, 100%, $E$9)</f>
        <v>12.4381</v>
      </c>
      <c r="E298" s="17">
        <f>CHOOSE(CONTROL!$C$42, 12.4672, 12.4672) * CHOOSE(CONTROL!$C$21, $C$9, 100%, $E$9)</f>
        <v>12.4672</v>
      </c>
      <c r="F298" s="17">
        <f>CHOOSE(CONTROL!$C$42, 12.1782, 12.1782)*CHOOSE(CONTROL!$C$21, $C$9, 100%, $E$9)</f>
        <v>12.1782</v>
      </c>
      <c r="G298" s="17">
        <f>CHOOSE(CONTROL!$C$42, 12.1949, 12.1949)*CHOOSE(CONTROL!$C$21, $C$9, 100%, $E$9)</f>
        <v>12.194900000000001</v>
      </c>
      <c r="H298" s="17">
        <f>CHOOSE(CONTROL!$C$42, 12.4577, 12.4577) * CHOOSE(CONTROL!$C$21, $C$9, 100%, $E$9)</f>
        <v>12.457700000000001</v>
      </c>
      <c r="I298" s="17">
        <f>CHOOSE(CONTROL!$C$42, 12.2165, 12.2165)* CHOOSE(CONTROL!$C$21, $C$9, 100%, $E$9)</f>
        <v>12.2165</v>
      </c>
      <c r="J298" s="17">
        <f>CHOOSE(CONTROL!$C$42, 12.1712, 12.1712)* CHOOSE(CONTROL!$C$21, $C$9, 100%, $E$9)</f>
        <v>12.171200000000001</v>
      </c>
      <c r="K298" s="52">
        <f>CHOOSE(CONTROL!$C$42, 12.2122, 12.2122) * CHOOSE(CONTROL!$C$21, $C$9, 100%, $E$9)</f>
        <v>12.212199999999999</v>
      </c>
      <c r="L298" s="17">
        <f>CHOOSE(CONTROL!$C$42, 13.0447, 13.0447) * CHOOSE(CONTROL!$C$21, $C$9, 100%, $E$9)</f>
        <v>13.044700000000001</v>
      </c>
      <c r="M298" s="17">
        <f>CHOOSE(CONTROL!$C$42, 11.9599, 11.9599) * CHOOSE(CONTROL!$C$21, $C$9, 100%, $E$9)</f>
        <v>11.959899999999999</v>
      </c>
      <c r="N298" s="17">
        <f>CHOOSE(CONTROL!$C$42, 11.9764, 11.9764) * CHOOSE(CONTROL!$C$21, $C$9, 100%, $E$9)</f>
        <v>11.9764</v>
      </c>
      <c r="O298" s="17">
        <f>CHOOSE(CONTROL!$C$42, 12.2413, 12.2413) * CHOOSE(CONTROL!$C$21, $C$9, 100%, $E$9)</f>
        <v>12.241300000000001</v>
      </c>
      <c r="P298" s="17">
        <f>CHOOSE(CONTROL!$C$42, 12.0038, 12.0038) * CHOOSE(CONTROL!$C$21, $C$9, 100%, $E$9)</f>
        <v>12.0038</v>
      </c>
      <c r="Q298" s="17">
        <f>CHOOSE(CONTROL!$C$42, 12.836, 12.836) * CHOOSE(CONTROL!$C$21, $C$9, 100%, $E$9)</f>
        <v>12.836</v>
      </c>
      <c r="R298" s="17">
        <f>CHOOSE(CONTROL!$C$42, 13.4551, 13.4551) * CHOOSE(CONTROL!$C$21, $C$9, 100%, $E$9)</f>
        <v>13.4551</v>
      </c>
      <c r="S298" s="17">
        <f>CHOOSE(CONTROL!$C$42, 11.6725, 11.6725) * CHOOSE(CONTROL!$C$21, $C$9, 100%, $E$9)</f>
        <v>11.672499999999999</v>
      </c>
      <c r="T29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98" s="56">
        <f>(1000*CHOOSE(CONTROL!$C$42, 695, 695)*CHOOSE(CONTROL!$C$42, 0.5599, 0.5599)*CHOOSE(CONTROL!$C$42, 31, 31))/1000000</f>
        <v>12.063045499999998</v>
      </c>
      <c r="V298" s="56">
        <f>(1000*CHOOSE(CONTROL!$C$42, 500, 500)*CHOOSE(CONTROL!$C$42, 0.275, 0.275)*CHOOSE(CONTROL!$C$42, 31, 31))/1000000</f>
        <v>4.2625000000000002</v>
      </c>
      <c r="W298" s="56">
        <f>(1000*CHOOSE(CONTROL!$C$42, 0.1146, 0.1146)*CHOOSE(CONTROL!$C$42, 121.5, 121.5)*CHOOSE(CONTROL!$C$42, 31, 31))/1000000</f>
        <v>0.43164089999999994</v>
      </c>
      <c r="X298" s="56">
        <f>(31*0.1790888*145000/1000000)+(31*0.2374*100000/1000000)</f>
        <v>1.5409441560000001</v>
      </c>
      <c r="Y298" s="56"/>
      <c r="Z298" s="17"/>
      <c r="AA298" s="55"/>
      <c r="AB298" s="48">
        <f>(B298*131.881+C298*277.167+D298*79.08+E298*225.872+F298*40+G298*85+H298*0+I298*100+J298*300)/(131.881+277.167+79.08+225.872+0+40+85+100+300)</f>
        <v>12.244136043502825</v>
      </c>
      <c r="AC298" s="45">
        <f>(M298*'RAP TEMPLATE-GAS AVAILABILITY'!O297+N298*'RAP TEMPLATE-GAS AVAILABILITY'!P297+O298*'RAP TEMPLATE-GAS AVAILABILITY'!Q297+P298*'RAP TEMPLATE-GAS AVAILABILITY'!R297)/('RAP TEMPLATE-GAS AVAILABILITY'!O297+'RAP TEMPLATE-GAS AVAILABILITY'!P297+'RAP TEMPLATE-GAS AVAILABILITY'!Q297+'RAP TEMPLATE-GAS AVAILABILITY'!R297)</f>
        <v>12.048969064748201</v>
      </c>
    </row>
    <row r="299" spans="1:29" ht="15.75" x14ac:dyDescent="0.25">
      <c r="A299" s="15">
        <v>49980</v>
      </c>
      <c r="B299" s="17">
        <f>CHOOSE(CONTROL!$C$42, 12.4763, 12.4763) * CHOOSE(CONTROL!$C$21, $C$9, 100%, $E$9)</f>
        <v>12.4763</v>
      </c>
      <c r="C299" s="17">
        <f>CHOOSE(CONTROL!$C$42, 12.4814, 12.4814) * CHOOSE(CONTROL!$C$21, $C$9, 100%, $E$9)</f>
        <v>12.481400000000001</v>
      </c>
      <c r="D299" s="17">
        <f>CHOOSE(CONTROL!$C$42, 12.5764, 12.5764) * CHOOSE(CONTROL!$C$21, $C$9, 100%, $E$9)</f>
        <v>12.5764</v>
      </c>
      <c r="E299" s="17">
        <f>CHOOSE(CONTROL!$C$42, 12.6105, 12.6105) * CHOOSE(CONTROL!$C$21, $C$9, 100%, $E$9)</f>
        <v>12.6105</v>
      </c>
      <c r="F299" s="17">
        <f>CHOOSE(CONTROL!$C$42, 12.5002, 12.5002)*CHOOSE(CONTROL!$C$21, $C$9, 100%, $E$9)</f>
        <v>12.5002</v>
      </c>
      <c r="G299" s="17">
        <f>CHOOSE(CONTROL!$C$42, 12.5173, 12.5173)*CHOOSE(CONTROL!$C$21, $C$9, 100%, $E$9)</f>
        <v>12.517300000000001</v>
      </c>
      <c r="H299" s="17">
        <f>CHOOSE(CONTROL!$C$42, 12.5997, 12.5997) * CHOOSE(CONTROL!$C$21, $C$9, 100%, $E$9)</f>
        <v>12.5997</v>
      </c>
      <c r="I299" s="17">
        <f>CHOOSE(CONTROL!$C$42, 12.5354, 12.5354)* CHOOSE(CONTROL!$C$21, $C$9, 100%, $E$9)</f>
        <v>12.535399999999999</v>
      </c>
      <c r="J299" s="17">
        <f>CHOOSE(CONTROL!$C$42, 12.4932, 12.4932)* CHOOSE(CONTROL!$C$21, $C$9, 100%, $E$9)</f>
        <v>12.4932</v>
      </c>
      <c r="K299" s="52">
        <f>CHOOSE(CONTROL!$C$42, 12.5312, 12.5312) * CHOOSE(CONTROL!$C$21, $C$9, 100%, $E$9)</f>
        <v>12.5312</v>
      </c>
      <c r="L299" s="17">
        <f>CHOOSE(CONTROL!$C$42, 13.1867, 13.1867) * CHOOSE(CONTROL!$C$21, $C$9, 100%, $E$9)</f>
        <v>13.1867</v>
      </c>
      <c r="M299" s="17">
        <f>CHOOSE(CONTROL!$C$42, 12.2762, 12.2762) * CHOOSE(CONTROL!$C$21, $C$9, 100%, $E$9)</f>
        <v>12.276199999999999</v>
      </c>
      <c r="N299" s="17">
        <f>CHOOSE(CONTROL!$C$42, 12.293, 12.293) * CHOOSE(CONTROL!$C$21, $C$9, 100%, $E$9)</f>
        <v>12.292999999999999</v>
      </c>
      <c r="O299" s="17">
        <f>CHOOSE(CONTROL!$C$42, 12.3808, 12.3808) * CHOOSE(CONTROL!$C$21, $C$9, 100%, $E$9)</f>
        <v>12.380800000000001</v>
      </c>
      <c r="P299" s="17">
        <f>CHOOSE(CONTROL!$C$42, 12.317, 12.317) * CHOOSE(CONTROL!$C$21, $C$9, 100%, $E$9)</f>
        <v>12.317</v>
      </c>
      <c r="Q299" s="17">
        <f>CHOOSE(CONTROL!$C$42, 12.9755, 12.9755) * CHOOSE(CONTROL!$C$21, $C$9, 100%, $E$9)</f>
        <v>12.9755</v>
      </c>
      <c r="R299" s="17">
        <f>CHOOSE(CONTROL!$C$42, 13.5949, 13.5949) * CHOOSE(CONTROL!$C$21, $C$9, 100%, $E$9)</f>
        <v>13.594900000000001</v>
      </c>
      <c r="S299" s="17">
        <f>CHOOSE(CONTROL!$C$42, 11.98, 11.98) * CHOOSE(CONTROL!$C$21, $C$9, 100%, $E$9)</f>
        <v>11.98</v>
      </c>
      <c r="T29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99" s="56">
        <f>(1000*CHOOSE(CONTROL!$C$42, 695, 695)*CHOOSE(CONTROL!$C$42, 0.5599, 0.5599)*CHOOSE(CONTROL!$C$42, 30, 30))/1000000</f>
        <v>11.673914999999997</v>
      </c>
      <c r="V299" s="56">
        <f>(1000*CHOOSE(CONTROL!$C$42, 500, 500)*CHOOSE(CONTROL!$C$42, 0.275, 0.275)*CHOOSE(CONTROL!$C$42, 30, 30))/1000000</f>
        <v>4.125</v>
      </c>
      <c r="W299" s="56">
        <f>(1000*CHOOSE(CONTROL!$C$42, 0.1146, 0.1146)*CHOOSE(CONTROL!$C$42, 121.5, 121.5)*CHOOSE(CONTROL!$C$42, 30, 30))/1000000</f>
        <v>0.417717</v>
      </c>
      <c r="X299" s="56">
        <f>(30*0.2374*100000/1000000)</f>
        <v>0.71220000000000006</v>
      </c>
      <c r="Y299" s="56"/>
      <c r="Z299" s="17"/>
      <c r="AA299" s="55"/>
      <c r="AB299" s="48">
        <f>(B299*122.58+C299*297.941+D299*89.177+E299*140.302+F299*40+G299*60+H299*0+I299*100+J299*300)/(122.58+297.941+89.177+140.302+0+40+60+100+300)</f>
        <v>12.514274474086955</v>
      </c>
      <c r="AC299" s="45">
        <f>(M299*'RAP TEMPLATE-GAS AVAILABILITY'!O298+N299*'RAP TEMPLATE-GAS AVAILABILITY'!P298+O299*'RAP TEMPLATE-GAS AVAILABILITY'!Q298+P299*'RAP TEMPLATE-GAS AVAILABILITY'!R298)/('RAP TEMPLATE-GAS AVAILABILITY'!O298+'RAP TEMPLATE-GAS AVAILABILITY'!P298+'RAP TEMPLATE-GAS AVAILABILITY'!Q298+'RAP TEMPLATE-GAS AVAILABILITY'!R298)</f>
        <v>12.330446043165468</v>
      </c>
    </row>
    <row r="300" spans="1:29" ht="15.75" x14ac:dyDescent="0.25">
      <c r="A300" s="15">
        <v>50010</v>
      </c>
      <c r="B300" s="17">
        <f>CHOOSE(CONTROL!$C$42, 13.3263, 13.3263) * CHOOSE(CONTROL!$C$21, $C$9, 100%, $E$9)</f>
        <v>13.3263</v>
      </c>
      <c r="C300" s="17">
        <f>CHOOSE(CONTROL!$C$42, 13.3314, 13.3314) * CHOOSE(CONTROL!$C$21, $C$9, 100%, $E$9)</f>
        <v>13.3314</v>
      </c>
      <c r="D300" s="17">
        <f>CHOOSE(CONTROL!$C$42, 13.4264, 13.4264) * CHOOSE(CONTROL!$C$21, $C$9, 100%, $E$9)</f>
        <v>13.426399999999999</v>
      </c>
      <c r="E300" s="17">
        <f>CHOOSE(CONTROL!$C$42, 13.4605, 13.4605) * CHOOSE(CONTROL!$C$21, $C$9, 100%, $E$9)</f>
        <v>13.4605</v>
      </c>
      <c r="F300" s="17">
        <f>CHOOSE(CONTROL!$C$42, 13.3526, 13.3526)*CHOOSE(CONTROL!$C$21, $C$9, 100%, $E$9)</f>
        <v>13.352600000000001</v>
      </c>
      <c r="G300" s="17">
        <f>CHOOSE(CONTROL!$C$42, 13.3702, 13.3702)*CHOOSE(CONTROL!$C$21, $C$9, 100%, $E$9)</f>
        <v>13.370200000000001</v>
      </c>
      <c r="H300" s="17">
        <f>CHOOSE(CONTROL!$C$42, 13.4497, 13.4497) * CHOOSE(CONTROL!$C$21, $C$9, 100%, $E$9)</f>
        <v>13.4497</v>
      </c>
      <c r="I300" s="17">
        <f>CHOOSE(CONTROL!$C$42, 13.388, 13.388)* CHOOSE(CONTROL!$C$21, $C$9, 100%, $E$9)</f>
        <v>13.388</v>
      </c>
      <c r="J300" s="17">
        <f>CHOOSE(CONTROL!$C$42, 13.3456, 13.3456)* CHOOSE(CONTROL!$C$21, $C$9, 100%, $E$9)</f>
        <v>13.345599999999999</v>
      </c>
      <c r="K300" s="52">
        <f>CHOOSE(CONTROL!$C$42, 13.3838, 13.3838) * CHOOSE(CONTROL!$C$21, $C$9, 100%, $E$9)</f>
        <v>13.383800000000001</v>
      </c>
      <c r="L300" s="17">
        <f>CHOOSE(CONTROL!$C$42, 14.0367, 14.0367) * CHOOSE(CONTROL!$C$21, $C$9, 100%, $E$9)</f>
        <v>14.0367</v>
      </c>
      <c r="M300" s="17">
        <f>CHOOSE(CONTROL!$C$42, 13.1132, 13.1132) * CHOOSE(CONTROL!$C$21, $C$9, 100%, $E$9)</f>
        <v>13.113200000000001</v>
      </c>
      <c r="N300" s="17">
        <f>CHOOSE(CONTROL!$C$42, 13.1306, 13.1306) * CHOOSE(CONTROL!$C$21, $C$9, 100%, $E$9)</f>
        <v>13.130599999999999</v>
      </c>
      <c r="O300" s="17">
        <f>CHOOSE(CONTROL!$C$42, 13.2155, 13.2155) * CHOOSE(CONTROL!$C$21, $C$9, 100%, $E$9)</f>
        <v>13.2155</v>
      </c>
      <c r="P300" s="17">
        <f>CHOOSE(CONTROL!$C$42, 13.1542, 13.1542) * CHOOSE(CONTROL!$C$21, $C$9, 100%, $E$9)</f>
        <v>13.154199999999999</v>
      </c>
      <c r="Q300" s="17">
        <f>CHOOSE(CONTROL!$C$42, 13.8102, 13.8102) * CHOOSE(CONTROL!$C$21, $C$9, 100%, $E$9)</f>
        <v>13.8102</v>
      </c>
      <c r="R300" s="17">
        <f>CHOOSE(CONTROL!$C$42, 14.4317, 14.4317) * CHOOSE(CONTROL!$C$21, $C$9, 100%, $E$9)</f>
        <v>14.431699999999999</v>
      </c>
      <c r="S300" s="17">
        <f>CHOOSE(CONTROL!$C$42, 12.7967, 12.7967) * CHOOSE(CONTROL!$C$21, $C$9, 100%, $E$9)</f>
        <v>12.7967</v>
      </c>
      <c r="T30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00" s="56">
        <f>(1000*CHOOSE(CONTROL!$C$42, 695, 695)*CHOOSE(CONTROL!$C$42, 0.5599, 0.5599)*CHOOSE(CONTROL!$C$42, 31, 31))/1000000</f>
        <v>12.063045499999998</v>
      </c>
      <c r="V300" s="56">
        <f>(1000*CHOOSE(CONTROL!$C$42, 500, 500)*CHOOSE(CONTROL!$C$42, 0.275, 0.275)*CHOOSE(CONTROL!$C$42, 31, 31))/1000000</f>
        <v>4.2625000000000002</v>
      </c>
      <c r="W300" s="56">
        <f>(1000*CHOOSE(CONTROL!$C$42, 0.1146, 0.1146)*CHOOSE(CONTROL!$C$42, 121.5, 121.5)*CHOOSE(CONTROL!$C$42, 31, 31))/1000000</f>
        <v>0.43164089999999994</v>
      </c>
      <c r="X300" s="56">
        <f>(31*0.2374*100000/1000000)</f>
        <v>0.73594000000000004</v>
      </c>
      <c r="Y300" s="56"/>
      <c r="Z300" s="17"/>
      <c r="AA300" s="55"/>
      <c r="AB300" s="48">
        <f>(B300*122.58+C300*297.941+D300*89.177+E300*140.302+F300*40+G300*60+H300*0+I300*100+J300*300)/(122.58+297.941+89.177+140.302+0+40+60+100+300)</f>
        <v>13.365361430608695</v>
      </c>
      <c r="AC300" s="45">
        <f>(M300*'RAP TEMPLATE-GAS AVAILABILITY'!O299+N300*'RAP TEMPLATE-GAS AVAILABILITY'!P299+O300*'RAP TEMPLATE-GAS AVAILABILITY'!Q299+P300*'RAP TEMPLATE-GAS AVAILABILITY'!R299)/('RAP TEMPLATE-GAS AVAILABILITY'!O299+'RAP TEMPLATE-GAS AVAILABILITY'!P299+'RAP TEMPLATE-GAS AVAILABILITY'!Q299+'RAP TEMPLATE-GAS AVAILABILITY'!R299)</f>
        <v>13.16646690647482</v>
      </c>
    </row>
    <row r="301" spans="1:29" ht="15.75" x14ac:dyDescent="0.25">
      <c r="A301" s="15">
        <v>50041</v>
      </c>
      <c r="B301" s="17">
        <f>CHOOSE(CONTROL!$C$42, 14.4303, 14.4303) * CHOOSE(CONTROL!$C$21, $C$9, 100%, $E$9)</f>
        <v>14.430300000000001</v>
      </c>
      <c r="C301" s="17">
        <f>CHOOSE(CONTROL!$C$42, 14.4353, 14.4353) * CHOOSE(CONTROL!$C$21, $C$9, 100%, $E$9)</f>
        <v>14.4353</v>
      </c>
      <c r="D301" s="17">
        <f>CHOOSE(CONTROL!$C$42, 14.5538, 14.5538) * CHOOSE(CONTROL!$C$21, $C$9, 100%, $E$9)</f>
        <v>14.553800000000001</v>
      </c>
      <c r="E301" s="17">
        <f>CHOOSE(CONTROL!$C$42, 14.5879, 14.5879) * CHOOSE(CONTROL!$C$21, $C$9, 100%, $E$9)</f>
        <v>14.587899999999999</v>
      </c>
      <c r="F301" s="17">
        <f>CHOOSE(CONTROL!$C$42, 14.4507, 14.4507)*CHOOSE(CONTROL!$C$21, $C$9, 100%, $E$9)</f>
        <v>14.450699999999999</v>
      </c>
      <c r="G301" s="17">
        <f>CHOOSE(CONTROL!$C$42, 14.4675, 14.4675)*CHOOSE(CONTROL!$C$21, $C$9, 100%, $E$9)</f>
        <v>14.467499999999999</v>
      </c>
      <c r="H301" s="17">
        <f>CHOOSE(CONTROL!$C$42, 14.5771, 14.5771) * CHOOSE(CONTROL!$C$21, $C$9, 100%, $E$9)</f>
        <v>14.5771</v>
      </c>
      <c r="I301" s="17">
        <f>CHOOSE(CONTROL!$C$42, 14.4991, 14.4991)* CHOOSE(CONTROL!$C$21, $C$9, 100%, $E$9)</f>
        <v>14.4991</v>
      </c>
      <c r="J301" s="17">
        <f>CHOOSE(CONTROL!$C$42, 14.4437, 14.4437)* CHOOSE(CONTROL!$C$21, $C$9, 100%, $E$9)</f>
        <v>14.4437</v>
      </c>
      <c r="K301" s="52">
        <f>CHOOSE(CONTROL!$C$42, 14.4949, 14.4949) * CHOOSE(CONTROL!$C$21, $C$9, 100%, $E$9)</f>
        <v>14.494899999999999</v>
      </c>
      <c r="L301" s="17">
        <f>CHOOSE(CONTROL!$C$42, 15.1641, 15.1641) * CHOOSE(CONTROL!$C$21, $C$9, 100%, $E$9)</f>
        <v>15.164099999999999</v>
      </c>
      <c r="M301" s="17">
        <f>CHOOSE(CONTROL!$C$42, 14.1916, 14.1916) * CHOOSE(CONTROL!$C$21, $C$9, 100%, $E$9)</f>
        <v>14.191599999999999</v>
      </c>
      <c r="N301" s="17">
        <f>CHOOSE(CONTROL!$C$42, 14.2081, 14.2081) * CHOOSE(CONTROL!$C$21, $C$9, 100%, $E$9)</f>
        <v>14.2081</v>
      </c>
      <c r="O301" s="17">
        <f>CHOOSE(CONTROL!$C$42, 14.3226, 14.3226) * CHOOSE(CONTROL!$C$21, $C$9, 100%, $E$9)</f>
        <v>14.3226</v>
      </c>
      <c r="P301" s="17">
        <f>CHOOSE(CONTROL!$C$42, 14.2453, 14.2453) * CHOOSE(CONTROL!$C$21, $C$9, 100%, $E$9)</f>
        <v>14.2453</v>
      </c>
      <c r="Q301" s="17">
        <f>CHOOSE(CONTROL!$C$42, 14.9173, 14.9173) * CHOOSE(CONTROL!$C$21, $C$9, 100%, $E$9)</f>
        <v>14.917299999999999</v>
      </c>
      <c r="R301" s="17">
        <f>CHOOSE(CONTROL!$C$42, 15.5416, 15.5416) * CHOOSE(CONTROL!$C$21, $C$9, 100%, $E$9)</f>
        <v>15.541600000000001</v>
      </c>
      <c r="S301" s="17">
        <f>CHOOSE(CONTROL!$C$42, 13.8575, 13.8575) * CHOOSE(CONTROL!$C$21, $C$9, 100%, $E$9)</f>
        <v>13.8575</v>
      </c>
      <c r="T30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01" s="56">
        <f>(1000*CHOOSE(CONTROL!$C$42, 695, 695)*CHOOSE(CONTROL!$C$42, 0.5599, 0.5599)*CHOOSE(CONTROL!$C$42, 31, 31))/1000000</f>
        <v>12.063045499999998</v>
      </c>
      <c r="V301" s="56">
        <f>(1000*CHOOSE(CONTROL!$C$42, 500, 500)*CHOOSE(CONTROL!$C$42, 0.275, 0.275)*CHOOSE(CONTROL!$C$42, 31, 31))/1000000</f>
        <v>4.2625000000000002</v>
      </c>
      <c r="W301" s="56">
        <f>(1000*CHOOSE(CONTROL!$C$42, 0.1146, 0.1146)*CHOOSE(CONTROL!$C$42, 121.5, 121.5)*CHOOSE(CONTROL!$C$42, 31, 31))/1000000</f>
        <v>0.43164089999999994</v>
      </c>
      <c r="X301" s="56">
        <f>(31*0.2374*100000/1000000)</f>
        <v>0.73594000000000004</v>
      </c>
      <c r="Y301" s="56"/>
      <c r="Z301" s="17"/>
      <c r="AA301" s="55"/>
      <c r="AB301" s="48">
        <f>(B301*122.58+C301*297.941+D301*89.177+E301*140.302+F301*40+G301*60+H301*0+I301*100+J301*300)/(122.58+297.941+89.177+140.302+0+40+60+100+300)</f>
        <v>14.472528399739129</v>
      </c>
      <c r="AC301" s="45">
        <f>(M301*'RAP TEMPLATE-GAS AVAILABILITY'!O300+N301*'RAP TEMPLATE-GAS AVAILABILITY'!P300+O301*'RAP TEMPLATE-GAS AVAILABILITY'!Q300+P301*'RAP TEMPLATE-GAS AVAILABILITY'!R300)/('RAP TEMPLATE-GAS AVAILABILITY'!O300+'RAP TEMPLATE-GAS AVAILABILITY'!P300+'RAP TEMPLATE-GAS AVAILABILITY'!Q300+'RAP TEMPLATE-GAS AVAILABILITY'!R300)</f>
        <v>14.25965035971223</v>
      </c>
    </row>
    <row r="302" spans="1:29" ht="15.75" x14ac:dyDescent="0.25">
      <c r="A302" s="15">
        <v>50072</v>
      </c>
      <c r="B302" s="17">
        <f>CHOOSE(CONTROL!$C$42, 14.687, 14.687) * CHOOSE(CONTROL!$C$21, $C$9, 100%, $E$9)</f>
        <v>14.686999999999999</v>
      </c>
      <c r="C302" s="17">
        <f>CHOOSE(CONTROL!$C$42, 14.6921, 14.6921) * CHOOSE(CONTROL!$C$21, $C$9, 100%, $E$9)</f>
        <v>14.6921</v>
      </c>
      <c r="D302" s="17">
        <f>CHOOSE(CONTROL!$C$42, 14.8105, 14.8105) * CHOOSE(CONTROL!$C$21, $C$9, 100%, $E$9)</f>
        <v>14.810499999999999</v>
      </c>
      <c r="E302" s="17">
        <f>CHOOSE(CONTROL!$C$42, 14.8446, 14.8446) * CHOOSE(CONTROL!$C$21, $C$9, 100%, $E$9)</f>
        <v>14.8446</v>
      </c>
      <c r="F302" s="17">
        <f>CHOOSE(CONTROL!$C$42, 14.7074, 14.7074)*CHOOSE(CONTROL!$C$21, $C$9, 100%, $E$9)</f>
        <v>14.7074</v>
      </c>
      <c r="G302" s="17">
        <f>CHOOSE(CONTROL!$C$42, 14.7242, 14.7242)*CHOOSE(CONTROL!$C$21, $C$9, 100%, $E$9)</f>
        <v>14.7242</v>
      </c>
      <c r="H302" s="17">
        <f>CHOOSE(CONTROL!$C$42, 14.8338, 14.8338) * CHOOSE(CONTROL!$C$21, $C$9, 100%, $E$9)</f>
        <v>14.8338</v>
      </c>
      <c r="I302" s="17">
        <f>CHOOSE(CONTROL!$C$42, 14.7566, 14.7566)* CHOOSE(CONTROL!$C$21, $C$9, 100%, $E$9)</f>
        <v>14.756600000000001</v>
      </c>
      <c r="J302" s="17">
        <f>CHOOSE(CONTROL!$C$42, 14.7004, 14.7004)* CHOOSE(CONTROL!$C$21, $C$9, 100%, $E$9)</f>
        <v>14.7004</v>
      </c>
      <c r="K302" s="52">
        <f>CHOOSE(CONTROL!$C$42, 14.7524, 14.7524) * CHOOSE(CONTROL!$C$21, $C$9, 100%, $E$9)</f>
        <v>14.7524</v>
      </c>
      <c r="L302" s="17">
        <f>CHOOSE(CONTROL!$C$42, 15.4208, 15.4208) * CHOOSE(CONTROL!$C$21, $C$9, 100%, $E$9)</f>
        <v>15.4208</v>
      </c>
      <c r="M302" s="17">
        <f>CHOOSE(CONTROL!$C$42, 14.4436, 14.4436) * CHOOSE(CONTROL!$C$21, $C$9, 100%, $E$9)</f>
        <v>14.4436</v>
      </c>
      <c r="N302" s="17">
        <f>CHOOSE(CONTROL!$C$42, 14.4602, 14.4602) * CHOOSE(CONTROL!$C$21, $C$9, 100%, $E$9)</f>
        <v>14.4602</v>
      </c>
      <c r="O302" s="17">
        <f>CHOOSE(CONTROL!$C$42, 14.5747, 14.5747) * CHOOSE(CONTROL!$C$21, $C$9, 100%, $E$9)</f>
        <v>14.5747</v>
      </c>
      <c r="P302" s="17">
        <f>CHOOSE(CONTROL!$C$42, 14.4981, 14.4981) * CHOOSE(CONTROL!$C$21, $C$9, 100%, $E$9)</f>
        <v>14.498100000000001</v>
      </c>
      <c r="Q302" s="17">
        <f>CHOOSE(CONTROL!$C$42, 15.1694, 15.1694) * CHOOSE(CONTROL!$C$21, $C$9, 100%, $E$9)</f>
        <v>15.1694</v>
      </c>
      <c r="R302" s="17">
        <f>CHOOSE(CONTROL!$C$42, 15.7943, 15.7943) * CHOOSE(CONTROL!$C$21, $C$9, 100%, $E$9)</f>
        <v>15.7943</v>
      </c>
      <c r="S302" s="17">
        <f>CHOOSE(CONTROL!$C$42, 14.1042, 14.1042) * CHOOSE(CONTROL!$C$21, $C$9, 100%, $E$9)</f>
        <v>14.104200000000001</v>
      </c>
      <c r="T30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02" s="56">
        <f>(1000*CHOOSE(CONTROL!$C$42, 695, 695)*CHOOSE(CONTROL!$C$42, 0.5599, 0.5599)*CHOOSE(CONTROL!$C$42, 28, 28))/1000000</f>
        <v>10.895653999999999</v>
      </c>
      <c r="V302" s="56">
        <f>(1000*CHOOSE(CONTROL!$C$42, 500, 500)*CHOOSE(CONTROL!$C$42, 0.275, 0.275)*CHOOSE(CONTROL!$C$42, 28, 28))/1000000</f>
        <v>3.85</v>
      </c>
      <c r="W302" s="56">
        <f>(1000*CHOOSE(CONTROL!$C$42, 0.1146, 0.1146)*CHOOSE(CONTROL!$C$42, 121.5, 121.5)*CHOOSE(CONTROL!$C$42, 28, 28))/1000000</f>
        <v>0.38986920000000003</v>
      </c>
      <c r="X302" s="56">
        <f>(28*0.2374*100000/1000000)</f>
        <v>0.66471999999999998</v>
      </c>
      <c r="Y302" s="56"/>
      <c r="Z302" s="17"/>
      <c r="AA302" s="55"/>
      <c r="AB302" s="48">
        <f>(B302*122.58+C302*297.941+D302*89.177+E302*140.302+F302*40+G302*60+H302*0+I302*100+J302*300)/(122.58+297.941+89.177+140.302+0+40+60+100+300)</f>
        <v>14.729323872869562</v>
      </c>
      <c r="AC302" s="45">
        <f>(M302*'RAP TEMPLATE-GAS AVAILABILITY'!O301+N302*'RAP TEMPLATE-GAS AVAILABILITY'!P301+O302*'RAP TEMPLATE-GAS AVAILABILITY'!Q301+P302*'RAP TEMPLATE-GAS AVAILABILITY'!R301)/('RAP TEMPLATE-GAS AVAILABILITY'!O301+'RAP TEMPLATE-GAS AVAILABILITY'!P301+'RAP TEMPLATE-GAS AVAILABILITY'!Q301+'RAP TEMPLATE-GAS AVAILABILITY'!R301)</f>
        <v>14.511816546762589</v>
      </c>
    </row>
    <row r="303" spans="1:29" ht="15.75" x14ac:dyDescent="0.25">
      <c r="A303" s="15">
        <v>50100</v>
      </c>
      <c r="B303" s="17">
        <f>CHOOSE(CONTROL!$C$42, 14.2703, 14.2703) * CHOOSE(CONTROL!$C$21, $C$9, 100%, $E$9)</f>
        <v>14.270300000000001</v>
      </c>
      <c r="C303" s="17">
        <f>CHOOSE(CONTROL!$C$42, 14.2754, 14.2754) * CHOOSE(CONTROL!$C$21, $C$9, 100%, $E$9)</f>
        <v>14.275399999999999</v>
      </c>
      <c r="D303" s="17">
        <f>CHOOSE(CONTROL!$C$42, 14.3938, 14.3938) * CHOOSE(CONTROL!$C$21, $C$9, 100%, $E$9)</f>
        <v>14.393800000000001</v>
      </c>
      <c r="E303" s="17">
        <f>CHOOSE(CONTROL!$C$42, 14.4279, 14.4279) * CHOOSE(CONTROL!$C$21, $C$9, 100%, $E$9)</f>
        <v>14.427899999999999</v>
      </c>
      <c r="F303" s="17">
        <f>CHOOSE(CONTROL!$C$42, 14.29, 14.29)*CHOOSE(CONTROL!$C$21, $C$9, 100%, $E$9)</f>
        <v>14.29</v>
      </c>
      <c r="G303" s="17">
        <f>CHOOSE(CONTROL!$C$42, 14.3066, 14.3066)*CHOOSE(CONTROL!$C$21, $C$9, 100%, $E$9)</f>
        <v>14.3066</v>
      </c>
      <c r="H303" s="17">
        <f>CHOOSE(CONTROL!$C$42, 14.4171, 14.4171) * CHOOSE(CONTROL!$C$21, $C$9, 100%, $E$9)</f>
        <v>14.4171</v>
      </c>
      <c r="I303" s="17">
        <f>CHOOSE(CONTROL!$C$42, 14.3386, 14.3386)* CHOOSE(CONTROL!$C$21, $C$9, 100%, $E$9)</f>
        <v>14.3386</v>
      </c>
      <c r="J303" s="17">
        <f>CHOOSE(CONTROL!$C$42, 14.283, 14.283)* CHOOSE(CONTROL!$C$21, $C$9, 100%, $E$9)</f>
        <v>14.282999999999999</v>
      </c>
      <c r="K303" s="52">
        <f>CHOOSE(CONTROL!$C$42, 14.3344, 14.3344) * CHOOSE(CONTROL!$C$21, $C$9, 100%, $E$9)</f>
        <v>14.3344</v>
      </c>
      <c r="L303" s="17">
        <f>CHOOSE(CONTROL!$C$42, 15.0041, 15.0041) * CHOOSE(CONTROL!$C$21, $C$9, 100%, $E$9)</f>
        <v>15.004099999999999</v>
      </c>
      <c r="M303" s="17">
        <f>CHOOSE(CONTROL!$C$42, 14.0338, 14.0338) * CHOOSE(CONTROL!$C$21, $C$9, 100%, $E$9)</f>
        <v>14.033799999999999</v>
      </c>
      <c r="N303" s="17">
        <f>CHOOSE(CONTROL!$C$42, 14.0501, 14.0501) * CHOOSE(CONTROL!$C$21, $C$9, 100%, $E$9)</f>
        <v>14.0501</v>
      </c>
      <c r="O303" s="17">
        <f>CHOOSE(CONTROL!$C$42, 14.1655, 14.1655) * CHOOSE(CONTROL!$C$21, $C$9, 100%, $E$9)</f>
        <v>14.1655</v>
      </c>
      <c r="P303" s="17">
        <f>CHOOSE(CONTROL!$C$42, 14.0877, 14.0877) * CHOOSE(CONTROL!$C$21, $C$9, 100%, $E$9)</f>
        <v>14.0877</v>
      </c>
      <c r="Q303" s="17">
        <f>CHOOSE(CONTROL!$C$42, 14.7602, 14.7602) * CHOOSE(CONTROL!$C$21, $C$9, 100%, $E$9)</f>
        <v>14.760199999999999</v>
      </c>
      <c r="R303" s="17">
        <f>CHOOSE(CONTROL!$C$42, 15.3841, 15.3841) * CHOOSE(CONTROL!$C$21, $C$9, 100%, $E$9)</f>
        <v>15.3841</v>
      </c>
      <c r="S303" s="17">
        <f>CHOOSE(CONTROL!$C$42, 13.7038, 13.7038) * CHOOSE(CONTROL!$C$21, $C$9, 100%, $E$9)</f>
        <v>13.703799999999999</v>
      </c>
      <c r="T30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03" s="56">
        <f>(1000*CHOOSE(CONTROL!$C$42, 695, 695)*CHOOSE(CONTROL!$C$42, 0.5599, 0.5599)*CHOOSE(CONTROL!$C$42, 31, 31))/1000000</f>
        <v>12.063045499999998</v>
      </c>
      <c r="V303" s="56">
        <f>(1000*CHOOSE(CONTROL!$C$42, 500, 500)*CHOOSE(CONTROL!$C$42, 0.275, 0.275)*CHOOSE(CONTROL!$C$42, 31, 31))/1000000</f>
        <v>4.2625000000000002</v>
      </c>
      <c r="W303" s="56">
        <f>(1000*CHOOSE(CONTROL!$C$42, 0.1146, 0.1146)*CHOOSE(CONTROL!$C$42, 121.5, 121.5)*CHOOSE(CONTROL!$C$42, 31, 31))/1000000</f>
        <v>0.43164089999999994</v>
      </c>
      <c r="X303" s="56">
        <f>(31*0.2374*100000/1000000)</f>
        <v>0.73594000000000004</v>
      </c>
      <c r="Y303" s="56"/>
      <c r="Z303" s="17"/>
      <c r="AA303" s="55"/>
      <c r="AB303" s="48">
        <f>(B303*122.58+C303*297.941+D303*89.177+E303*140.302+F303*40+G303*60+H303*0+I303*100+J303*300)/(122.58+297.941+89.177+140.302+0+40+60+100+300)</f>
        <v>14.312256916347826</v>
      </c>
      <c r="AC303" s="45">
        <f>(M303*'RAP TEMPLATE-GAS AVAILABILITY'!O302+N303*'RAP TEMPLATE-GAS AVAILABILITY'!P302+O303*'RAP TEMPLATE-GAS AVAILABILITY'!Q302+P303*'RAP TEMPLATE-GAS AVAILABILITY'!R302)/('RAP TEMPLATE-GAS AVAILABILITY'!O302+'RAP TEMPLATE-GAS AVAILABILITY'!P302+'RAP TEMPLATE-GAS AVAILABILITY'!Q302+'RAP TEMPLATE-GAS AVAILABILITY'!R302)</f>
        <v>14.102184892086331</v>
      </c>
    </row>
    <row r="304" spans="1:29" ht="15.75" x14ac:dyDescent="0.25">
      <c r="A304" s="15">
        <v>50131</v>
      </c>
      <c r="B304" s="17">
        <f>CHOOSE(CONTROL!$C$42, 14.2286, 14.2286) * CHOOSE(CONTROL!$C$21, $C$9, 100%, $E$9)</f>
        <v>14.2286</v>
      </c>
      <c r="C304" s="17">
        <f>CHOOSE(CONTROL!$C$42, 14.2331, 14.2331) * CHOOSE(CONTROL!$C$21, $C$9, 100%, $E$9)</f>
        <v>14.2331</v>
      </c>
      <c r="D304" s="17">
        <f>CHOOSE(CONTROL!$C$42, 14.5073, 14.5073) * CHOOSE(CONTROL!$C$21, $C$9, 100%, $E$9)</f>
        <v>14.507300000000001</v>
      </c>
      <c r="E304" s="17">
        <f>CHOOSE(CONTROL!$C$42, 14.5394, 14.5394) * CHOOSE(CONTROL!$C$21, $C$9, 100%, $E$9)</f>
        <v>14.539400000000001</v>
      </c>
      <c r="F304" s="17">
        <f>CHOOSE(CONTROL!$C$42, 14.2479, 14.2479)*CHOOSE(CONTROL!$C$21, $C$9, 100%, $E$9)</f>
        <v>14.2479</v>
      </c>
      <c r="G304" s="17">
        <f>CHOOSE(CONTROL!$C$42, 14.2642, 14.2642)*CHOOSE(CONTROL!$C$21, $C$9, 100%, $E$9)</f>
        <v>14.264200000000001</v>
      </c>
      <c r="H304" s="17">
        <f>CHOOSE(CONTROL!$C$42, 14.5292, 14.5292) * CHOOSE(CONTROL!$C$21, $C$9, 100%, $E$9)</f>
        <v>14.529199999999999</v>
      </c>
      <c r="I304" s="17">
        <f>CHOOSE(CONTROL!$C$42, 14.2944, 14.2944)* CHOOSE(CONTROL!$C$21, $C$9, 100%, $E$9)</f>
        <v>14.2944</v>
      </c>
      <c r="J304" s="17">
        <f>CHOOSE(CONTROL!$C$42, 14.2409, 14.2409)* CHOOSE(CONTROL!$C$21, $C$9, 100%, $E$9)</f>
        <v>14.2409</v>
      </c>
      <c r="K304" s="52">
        <f>CHOOSE(CONTROL!$C$42, 14.2902, 14.2902) * CHOOSE(CONTROL!$C$21, $C$9, 100%, $E$9)</f>
        <v>14.2902</v>
      </c>
      <c r="L304" s="17">
        <f>CHOOSE(CONTROL!$C$42, 15.1162, 15.1162) * CHOOSE(CONTROL!$C$21, $C$9, 100%, $E$9)</f>
        <v>15.116199999999999</v>
      </c>
      <c r="M304" s="17">
        <f>CHOOSE(CONTROL!$C$42, 13.9925, 13.9925) * CHOOSE(CONTROL!$C$21, $C$9, 100%, $E$9)</f>
        <v>13.9925</v>
      </c>
      <c r="N304" s="17">
        <f>CHOOSE(CONTROL!$C$42, 14.0085, 14.0085) * CHOOSE(CONTROL!$C$21, $C$9, 100%, $E$9)</f>
        <v>14.0085</v>
      </c>
      <c r="O304" s="17">
        <f>CHOOSE(CONTROL!$C$42, 14.2755, 14.2755) * CHOOSE(CONTROL!$C$21, $C$9, 100%, $E$9)</f>
        <v>14.275499999999999</v>
      </c>
      <c r="P304" s="17">
        <f>CHOOSE(CONTROL!$C$42, 14.0443, 14.0443) * CHOOSE(CONTROL!$C$21, $C$9, 100%, $E$9)</f>
        <v>14.0443</v>
      </c>
      <c r="Q304" s="17">
        <f>CHOOSE(CONTROL!$C$42, 14.8702, 14.8702) * CHOOSE(CONTROL!$C$21, $C$9, 100%, $E$9)</f>
        <v>14.870200000000001</v>
      </c>
      <c r="R304" s="17">
        <f>CHOOSE(CONTROL!$C$42, 15.4944, 15.4944) * CHOOSE(CONTROL!$C$21, $C$9, 100%, $E$9)</f>
        <v>15.494400000000001</v>
      </c>
      <c r="S304" s="17">
        <f>CHOOSE(CONTROL!$C$42, 13.663, 13.663) * CHOOSE(CONTROL!$C$21, $C$9, 100%, $E$9)</f>
        <v>13.663</v>
      </c>
      <c r="T30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04" s="56">
        <f>(1000*CHOOSE(CONTROL!$C$42, 695, 695)*CHOOSE(CONTROL!$C$42, 0.5599, 0.5599)*CHOOSE(CONTROL!$C$42, 30, 30))/1000000</f>
        <v>11.673914999999997</v>
      </c>
      <c r="V304" s="56">
        <f>(1000*CHOOSE(CONTROL!$C$42, 500, 500)*CHOOSE(CONTROL!$C$42, 0.275, 0.275)*CHOOSE(CONTROL!$C$42, 30, 30))/1000000</f>
        <v>4.125</v>
      </c>
      <c r="W304" s="56">
        <f>(1000*CHOOSE(CONTROL!$C$42, 0.1146, 0.1146)*CHOOSE(CONTROL!$C$42, 121.5, 121.5)*CHOOSE(CONTROL!$C$42, 30, 30))/1000000</f>
        <v>0.417717</v>
      </c>
      <c r="X304" s="56">
        <f>(30*0.1790888*145000/1000000)+(30*0.2374*100000/1000000)</f>
        <v>1.4912362799999999</v>
      </c>
      <c r="Y304" s="56"/>
      <c r="Z304" s="17"/>
      <c r="AA304" s="55"/>
      <c r="AB304" s="48">
        <f>(B304*141.293+C304*267.993+D304*115.016+E304*189.698+F304*40+G304*85+H304*0+I304*100+J304*300)/(141.293+267.993+115.016+189.698+0+40+85+100+300)</f>
        <v>14.314384556981436</v>
      </c>
      <c r="AC304" s="45">
        <f>(M304*'RAP TEMPLATE-GAS AVAILABILITY'!O303+N304*'RAP TEMPLATE-GAS AVAILABILITY'!P303+O304*'RAP TEMPLATE-GAS AVAILABILITY'!Q303+P304*'RAP TEMPLATE-GAS AVAILABILITY'!R303)/('RAP TEMPLATE-GAS AVAILABILITY'!O303+'RAP TEMPLATE-GAS AVAILABILITY'!P303+'RAP TEMPLATE-GAS AVAILABILITY'!Q303+'RAP TEMPLATE-GAS AVAILABILITY'!R303)</f>
        <v>14.083039568345324</v>
      </c>
    </row>
    <row r="305" spans="1:29" ht="15.75" x14ac:dyDescent="0.25">
      <c r="A305" s="15">
        <v>50161</v>
      </c>
      <c r="B305" s="17">
        <f>CHOOSE(CONTROL!$C$42, 14.3555, 14.3555) * CHOOSE(CONTROL!$C$21, $C$9, 100%, $E$9)</f>
        <v>14.355499999999999</v>
      </c>
      <c r="C305" s="17">
        <f>CHOOSE(CONTROL!$C$42, 14.3635, 14.3635) * CHOOSE(CONTROL!$C$21, $C$9, 100%, $E$9)</f>
        <v>14.3635</v>
      </c>
      <c r="D305" s="17">
        <f>CHOOSE(CONTROL!$C$42, 14.6346, 14.6346) * CHOOSE(CONTROL!$C$21, $C$9, 100%, $E$9)</f>
        <v>14.634600000000001</v>
      </c>
      <c r="E305" s="17">
        <f>CHOOSE(CONTROL!$C$42, 14.666, 14.666) * CHOOSE(CONTROL!$C$21, $C$9, 100%, $E$9)</f>
        <v>14.666</v>
      </c>
      <c r="F305" s="17">
        <f>CHOOSE(CONTROL!$C$42, 14.3736, 14.3736)*CHOOSE(CONTROL!$C$21, $C$9, 100%, $E$9)</f>
        <v>14.3736</v>
      </c>
      <c r="G305" s="17">
        <f>CHOOSE(CONTROL!$C$42, 14.3903, 14.3903)*CHOOSE(CONTROL!$C$21, $C$9, 100%, $E$9)</f>
        <v>14.3903</v>
      </c>
      <c r="H305" s="17">
        <f>CHOOSE(CONTROL!$C$42, 14.6547, 14.6547) * CHOOSE(CONTROL!$C$21, $C$9, 100%, $E$9)</f>
        <v>14.6547</v>
      </c>
      <c r="I305" s="17">
        <f>CHOOSE(CONTROL!$C$42, 14.4203, 14.4203)* CHOOSE(CONTROL!$C$21, $C$9, 100%, $E$9)</f>
        <v>14.420299999999999</v>
      </c>
      <c r="J305" s="17">
        <f>CHOOSE(CONTROL!$C$42, 14.3666, 14.3666)* CHOOSE(CONTROL!$C$21, $C$9, 100%, $E$9)</f>
        <v>14.3666</v>
      </c>
      <c r="K305" s="52">
        <f>CHOOSE(CONTROL!$C$42, 14.4161, 14.4161) * CHOOSE(CONTROL!$C$21, $C$9, 100%, $E$9)</f>
        <v>14.4161</v>
      </c>
      <c r="L305" s="17">
        <f>CHOOSE(CONTROL!$C$42, 15.2417, 15.2417) * CHOOSE(CONTROL!$C$21, $C$9, 100%, $E$9)</f>
        <v>15.2417</v>
      </c>
      <c r="M305" s="17">
        <f>CHOOSE(CONTROL!$C$42, 14.1159, 14.1159) * CHOOSE(CONTROL!$C$21, $C$9, 100%, $E$9)</f>
        <v>14.1159</v>
      </c>
      <c r="N305" s="17">
        <f>CHOOSE(CONTROL!$C$42, 14.1323, 14.1323) * CHOOSE(CONTROL!$C$21, $C$9, 100%, $E$9)</f>
        <v>14.132300000000001</v>
      </c>
      <c r="O305" s="17">
        <f>CHOOSE(CONTROL!$C$42, 14.3988, 14.3988) * CHOOSE(CONTROL!$C$21, $C$9, 100%, $E$9)</f>
        <v>14.3988</v>
      </c>
      <c r="P305" s="17">
        <f>CHOOSE(CONTROL!$C$42, 14.1679, 14.1679) * CHOOSE(CONTROL!$C$21, $C$9, 100%, $E$9)</f>
        <v>14.167899999999999</v>
      </c>
      <c r="Q305" s="17">
        <f>CHOOSE(CONTROL!$C$42, 14.9935, 14.9935) * CHOOSE(CONTROL!$C$21, $C$9, 100%, $E$9)</f>
        <v>14.993499999999999</v>
      </c>
      <c r="R305" s="17">
        <f>CHOOSE(CONTROL!$C$42, 15.618, 15.618) * CHOOSE(CONTROL!$C$21, $C$9, 100%, $E$9)</f>
        <v>15.618</v>
      </c>
      <c r="S305" s="17">
        <f>CHOOSE(CONTROL!$C$42, 13.7836, 13.7836) * CHOOSE(CONTROL!$C$21, $C$9, 100%, $E$9)</f>
        <v>13.7836</v>
      </c>
      <c r="T30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05" s="56">
        <f>(1000*CHOOSE(CONTROL!$C$42, 695, 695)*CHOOSE(CONTROL!$C$42, 0.5599, 0.5599)*CHOOSE(CONTROL!$C$42, 31, 31))/1000000</f>
        <v>12.063045499999998</v>
      </c>
      <c r="V305" s="56">
        <f>(1000*CHOOSE(CONTROL!$C$42, 500, 500)*CHOOSE(CONTROL!$C$42, 0.275, 0.275)*CHOOSE(CONTROL!$C$42, 31, 31))/1000000</f>
        <v>4.2625000000000002</v>
      </c>
      <c r="W305" s="56">
        <f>(1000*CHOOSE(CONTROL!$C$42, 0.1146, 0.1146)*CHOOSE(CONTROL!$C$42, 121.5, 121.5)*CHOOSE(CONTROL!$C$42, 31, 31))/1000000</f>
        <v>0.43164089999999994</v>
      </c>
      <c r="X305" s="56">
        <f>(31*0.1790888*145000/1000000)+(31*0.2374*100000/1000000)</f>
        <v>1.5409441560000001</v>
      </c>
      <c r="Y305" s="56"/>
      <c r="Z305" s="17"/>
      <c r="AA305" s="55"/>
      <c r="AB305" s="48">
        <f>(B305*194.205+C305*267.466+D305*133.845+E305*153.484+F305*40+G305*85+H305*0+I305*100+J305*300)/(194.205+267.466+133.845+153.484+0+40+85+100+300)</f>
        <v>14.434498939952904</v>
      </c>
      <c r="AC305" s="45">
        <f>(M305*'RAP TEMPLATE-GAS AVAILABILITY'!O304+N305*'RAP TEMPLATE-GAS AVAILABILITY'!P304+O305*'RAP TEMPLATE-GAS AVAILABILITY'!Q304+P305*'RAP TEMPLATE-GAS AVAILABILITY'!R304)/('RAP TEMPLATE-GAS AVAILABILITY'!O304+'RAP TEMPLATE-GAS AVAILABILITY'!P304+'RAP TEMPLATE-GAS AVAILABILITY'!Q304+'RAP TEMPLATE-GAS AVAILABILITY'!R304)</f>
        <v>14.206532374100721</v>
      </c>
    </row>
    <row r="306" spans="1:29" ht="15.75" x14ac:dyDescent="0.25">
      <c r="A306" s="15">
        <v>50192</v>
      </c>
      <c r="B306" s="17">
        <f>CHOOSE(CONTROL!$C$42, 14.7624, 14.7624) * CHOOSE(CONTROL!$C$21, $C$9, 100%, $E$9)</f>
        <v>14.7624</v>
      </c>
      <c r="C306" s="17">
        <f>CHOOSE(CONTROL!$C$42, 14.7704, 14.7704) * CHOOSE(CONTROL!$C$21, $C$9, 100%, $E$9)</f>
        <v>14.7704</v>
      </c>
      <c r="D306" s="17">
        <f>CHOOSE(CONTROL!$C$42, 15.0414, 15.0414) * CHOOSE(CONTROL!$C$21, $C$9, 100%, $E$9)</f>
        <v>15.041399999999999</v>
      </c>
      <c r="E306" s="17">
        <f>CHOOSE(CONTROL!$C$42, 15.0729, 15.0729) * CHOOSE(CONTROL!$C$21, $C$9, 100%, $E$9)</f>
        <v>15.072900000000001</v>
      </c>
      <c r="F306" s="17">
        <f>CHOOSE(CONTROL!$C$42, 14.7808, 14.7808)*CHOOSE(CONTROL!$C$21, $C$9, 100%, $E$9)</f>
        <v>14.780799999999999</v>
      </c>
      <c r="G306" s="17">
        <f>CHOOSE(CONTROL!$C$42, 14.7975, 14.7975)*CHOOSE(CONTROL!$C$21, $C$9, 100%, $E$9)</f>
        <v>14.797499999999999</v>
      </c>
      <c r="H306" s="17">
        <f>CHOOSE(CONTROL!$C$42, 15.0615, 15.0615) * CHOOSE(CONTROL!$C$21, $C$9, 100%, $E$9)</f>
        <v>15.061500000000001</v>
      </c>
      <c r="I306" s="17">
        <f>CHOOSE(CONTROL!$C$42, 14.8285, 14.8285)* CHOOSE(CONTROL!$C$21, $C$9, 100%, $E$9)</f>
        <v>14.8285</v>
      </c>
      <c r="J306" s="17">
        <f>CHOOSE(CONTROL!$C$42, 14.7738, 14.7738)* CHOOSE(CONTROL!$C$21, $C$9, 100%, $E$9)</f>
        <v>14.7738</v>
      </c>
      <c r="K306" s="52">
        <f>CHOOSE(CONTROL!$C$42, 14.8242, 14.8242) * CHOOSE(CONTROL!$C$21, $C$9, 100%, $E$9)</f>
        <v>14.824199999999999</v>
      </c>
      <c r="L306" s="17">
        <f>CHOOSE(CONTROL!$C$42, 15.6485, 15.6485) * CHOOSE(CONTROL!$C$21, $C$9, 100%, $E$9)</f>
        <v>15.6485</v>
      </c>
      <c r="M306" s="17">
        <f>CHOOSE(CONTROL!$C$42, 14.5158, 14.5158) * CHOOSE(CONTROL!$C$21, $C$9, 100%, $E$9)</f>
        <v>14.5158</v>
      </c>
      <c r="N306" s="17">
        <f>CHOOSE(CONTROL!$C$42, 14.5322, 14.5322) * CHOOSE(CONTROL!$C$21, $C$9, 100%, $E$9)</f>
        <v>14.5322</v>
      </c>
      <c r="O306" s="17">
        <f>CHOOSE(CONTROL!$C$42, 14.7983, 14.7983) * CHOOSE(CONTROL!$C$21, $C$9, 100%, $E$9)</f>
        <v>14.798299999999999</v>
      </c>
      <c r="P306" s="17">
        <f>CHOOSE(CONTROL!$C$42, 14.5687, 14.5687) * CHOOSE(CONTROL!$C$21, $C$9, 100%, $E$9)</f>
        <v>14.5687</v>
      </c>
      <c r="Q306" s="17">
        <f>CHOOSE(CONTROL!$C$42, 15.393, 15.393) * CHOOSE(CONTROL!$C$21, $C$9, 100%, $E$9)</f>
        <v>15.393000000000001</v>
      </c>
      <c r="R306" s="17">
        <f>CHOOSE(CONTROL!$C$42, 16.0185, 16.0185) * CHOOSE(CONTROL!$C$21, $C$9, 100%, $E$9)</f>
        <v>16.0185</v>
      </c>
      <c r="S306" s="17">
        <f>CHOOSE(CONTROL!$C$42, 14.1745, 14.1745) * CHOOSE(CONTROL!$C$21, $C$9, 100%, $E$9)</f>
        <v>14.1745</v>
      </c>
      <c r="T30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06" s="56">
        <f>(1000*CHOOSE(CONTROL!$C$42, 695, 695)*CHOOSE(CONTROL!$C$42, 0.5599, 0.5599)*CHOOSE(CONTROL!$C$42, 30, 30))/1000000</f>
        <v>11.673914999999997</v>
      </c>
      <c r="V306" s="56">
        <f>(1000*CHOOSE(CONTROL!$C$42, 500, 500)*CHOOSE(CONTROL!$C$42, 0.275, 0.275)*CHOOSE(CONTROL!$C$42, 30, 30))/1000000</f>
        <v>4.125</v>
      </c>
      <c r="W306" s="56">
        <f>(1000*CHOOSE(CONTROL!$C$42, 0.1146, 0.1146)*CHOOSE(CONTROL!$C$42, 121.5, 121.5)*CHOOSE(CONTROL!$C$42, 30, 30))/1000000</f>
        <v>0.417717</v>
      </c>
      <c r="X306" s="56">
        <f>(30*0.1790888*145000/1000000)+(30*0.2374*100000/1000000)</f>
        <v>1.4912362799999999</v>
      </c>
      <c r="Y306" s="56"/>
      <c r="Z306" s="17"/>
      <c r="AA306" s="55"/>
      <c r="AB306" s="48">
        <f>(B306*194.205+C306*267.466+D306*133.845+E306*153.484+F306*40+G306*85+H306*0+I306*100+J306*300)/(194.205+267.466+133.845+153.484+0+40+85+100+300)</f>
        <v>14.841590553375198</v>
      </c>
      <c r="AC306" s="45">
        <f>(M306*'RAP TEMPLATE-GAS AVAILABILITY'!O305+N306*'RAP TEMPLATE-GAS AVAILABILITY'!P305+O306*'RAP TEMPLATE-GAS AVAILABILITY'!Q305+P306*'RAP TEMPLATE-GAS AVAILABILITY'!R305)/('RAP TEMPLATE-GAS AVAILABILITY'!O305+'RAP TEMPLATE-GAS AVAILABILITY'!P305+'RAP TEMPLATE-GAS AVAILABILITY'!Q305+'RAP TEMPLATE-GAS AVAILABILITY'!R305)</f>
        <v>14.606449640287767</v>
      </c>
    </row>
    <row r="307" spans="1:29" ht="15.75" x14ac:dyDescent="0.25">
      <c r="A307" s="15">
        <v>50222</v>
      </c>
      <c r="B307" s="17">
        <f>CHOOSE(CONTROL!$C$42, 14.4794, 14.4794) * CHOOSE(CONTROL!$C$21, $C$9, 100%, $E$9)</f>
        <v>14.4794</v>
      </c>
      <c r="C307" s="17">
        <f>CHOOSE(CONTROL!$C$42, 14.4874, 14.4874) * CHOOSE(CONTROL!$C$21, $C$9, 100%, $E$9)</f>
        <v>14.487399999999999</v>
      </c>
      <c r="D307" s="17">
        <f>CHOOSE(CONTROL!$C$42, 14.7585, 14.7585) * CHOOSE(CONTROL!$C$21, $C$9, 100%, $E$9)</f>
        <v>14.7585</v>
      </c>
      <c r="E307" s="17">
        <f>CHOOSE(CONTROL!$C$42, 14.7899, 14.7899) * CHOOSE(CONTROL!$C$21, $C$9, 100%, $E$9)</f>
        <v>14.789899999999999</v>
      </c>
      <c r="F307" s="17">
        <f>CHOOSE(CONTROL!$C$42, 14.4982, 14.4982)*CHOOSE(CONTROL!$C$21, $C$9, 100%, $E$9)</f>
        <v>14.498200000000001</v>
      </c>
      <c r="G307" s="17">
        <f>CHOOSE(CONTROL!$C$42, 14.5151, 14.5151)*CHOOSE(CONTROL!$C$21, $C$9, 100%, $E$9)</f>
        <v>14.5151</v>
      </c>
      <c r="H307" s="17">
        <f>CHOOSE(CONTROL!$C$42, 14.7786, 14.7786) * CHOOSE(CONTROL!$C$21, $C$9, 100%, $E$9)</f>
        <v>14.778600000000001</v>
      </c>
      <c r="I307" s="17">
        <f>CHOOSE(CONTROL!$C$42, 14.5446, 14.5446)* CHOOSE(CONTROL!$C$21, $C$9, 100%, $E$9)</f>
        <v>14.544600000000001</v>
      </c>
      <c r="J307" s="17">
        <f>CHOOSE(CONTROL!$C$42, 14.4912, 14.4912)* CHOOSE(CONTROL!$C$21, $C$9, 100%, $E$9)</f>
        <v>14.491199999999999</v>
      </c>
      <c r="K307" s="52">
        <f>CHOOSE(CONTROL!$C$42, 14.5404, 14.5404) * CHOOSE(CONTROL!$C$21, $C$9, 100%, $E$9)</f>
        <v>14.5404</v>
      </c>
      <c r="L307" s="17">
        <f>CHOOSE(CONTROL!$C$42, 15.3656, 15.3656) * CHOOSE(CONTROL!$C$21, $C$9, 100%, $E$9)</f>
        <v>15.365600000000001</v>
      </c>
      <c r="M307" s="17">
        <f>CHOOSE(CONTROL!$C$42, 14.2383, 14.2383) * CHOOSE(CONTROL!$C$21, $C$9, 100%, $E$9)</f>
        <v>14.238300000000001</v>
      </c>
      <c r="N307" s="17">
        <f>CHOOSE(CONTROL!$C$42, 14.2548, 14.2548) * CHOOSE(CONTROL!$C$21, $C$9, 100%, $E$9)</f>
        <v>14.254799999999999</v>
      </c>
      <c r="O307" s="17">
        <f>CHOOSE(CONTROL!$C$42, 14.5204, 14.5204) * CHOOSE(CONTROL!$C$21, $C$9, 100%, $E$9)</f>
        <v>14.5204</v>
      </c>
      <c r="P307" s="17">
        <f>CHOOSE(CONTROL!$C$42, 14.2899, 14.2899) * CHOOSE(CONTROL!$C$21, $C$9, 100%, $E$9)</f>
        <v>14.289899999999999</v>
      </c>
      <c r="Q307" s="17">
        <f>CHOOSE(CONTROL!$C$42, 15.1151, 15.1151) * CHOOSE(CONTROL!$C$21, $C$9, 100%, $E$9)</f>
        <v>15.1151</v>
      </c>
      <c r="R307" s="17">
        <f>CHOOSE(CONTROL!$C$42, 15.7399, 15.7399) * CHOOSE(CONTROL!$C$21, $C$9, 100%, $E$9)</f>
        <v>15.7399</v>
      </c>
      <c r="S307" s="17">
        <f>CHOOSE(CONTROL!$C$42, 13.9026, 13.9026) * CHOOSE(CONTROL!$C$21, $C$9, 100%, $E$9)</f>
        <v>13.9026</v>
      </c>
      <c r="T30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07" s="56">
        <f>(1000*CHOOSE(CONTROL!$C$42, 695, 695)*CHOOSE(CONTROL!$C$42, 0.5599, 0.5599)*CHOOSE(CONTROL!$C$42, 31, 31))/1000000</f>
        <v>12.063045499999998</v>
      </c>
      <c r="V307" s="56">
        <f>(1000*CHOOSE(CONTROL!$C$42, 500, 500)*CHOOSE(CONTROL!$C$42, 0.275, 0.275)*CHOOSE(CONTROL!$C$42, 31, 31))/1000000</f>
        <v>4.2625000000000002</v>
      </c>
      <c r="W307" s="56">
        <f>(1000*CHOOSE(CONTROL!$C$42, 0.1146, 0.1146)*CHOOSE(CONTROL!$C$42, 121.5, 121.5)*CHOOSE(CONTROL!$C$42, 31, 31))/1000000</f>
        <v>0.43164089999999994</v>
      </c>
      <c r="X307" s="56">
        <f>(31*0.1790888*145000/1000000)+(31*0.2374*100000/1000000)</f>
        <v>1.5409441560000001</v>
      </c>
      <c r="Y307" s="56"/>
      <c r="Z307" s="17"/>
      <c r="AA307" s="55"/>
      <c r="AB307" s="48">
        <f>(B307*194.205+C307*267.466+D307*133.845+E307*153.484+F307*40+G307*85+H307*0+I307*100+J307*300)/(194.205+267.466+133.845+153.484+0+40+85+100+300)</f>
        <v>14.558677197409732</v>
      </c>
      <c r="AC307" s="45">
        <f>(M307*'RAP TEMPLATE-GAS AVAILABILITY'!O306+N307*'RAP TEMPLATE-GAS AVAILABILITY'!P306+O307*'RAP TEMPLATE-GAS AVAILABILITY'!Q306+P307*'RAP TEMPLATE-GAS AVAILABILITY'!R306)/('RAP TEMPLATE-GAS AVAILABILITY'!O306+'RAP TEMPLATE-GAS AVAILABILITY'!P306+'RAP TEMPLATE-GAS AVAILABILITY'!Q306+'RAP TEMPLATE-GAS AVAILABILITY'!R306)</f>
        <v>14.328673381294964</v>
      </c>
    </row>
    <row r="308" spans="1:29" ht="15.75" x14ac:dyDescent="0.25">
      <c r="A308" s="15">
        <v>50253</v>
      </c>
      <c r="B308" s="17">
        <f>CHOOSE(CONTROL!$C$42, 13.7648, 13.7648) * CHOOSE(CONTROL!$C$21, $C$9, 100%, $E$9)</f>
        <v>13.764799999999999</v>
      </c>
      <c r="C308" s="17">
        <f>CHOOSE(CONTROL!$C$42, 13.7728, 13.7728) * CHOOSE(CONTROL!$C$21, $C$9, 100%, $E$9)</f>
        <v>13.7728</v>
      </c>
      <c r="D308" s="17">
        <f>CHOOSE(CONTROL!$C$42, 14.0438, 14.0438) * CHOOSE(CONTROL!$C$21, $C$9, 100%, $E$9)</f>
        <v>14.043799999999999</v>
      </c>
      <c r="E308" s="17">
        <f>CHOOSE(CONTROL!$C$42, 14.0753, 14.0753) * CHOOSE(CONTROL!$C$21, $C$9, 100%, $E$9)</f>
        <v>14.0753</v>
      </c>
      <c r="F308" s="17">
        <f>CHOOSE(CONTROL!$C$42, 13.7839, 13.7839)*CHOOSE(CONTROL!$C$21, $C$9, 100%, $E$9)</f>
        <v>13.783899999999999</v>
      </c>
      <c r="G308" s="17">
        <f>CHOOSE(CONTROL!$C$42, 13.8008, 13.8008)*CHOOSE(CONTROL!$C$21, $C$9, 100%, $E$9)</f>
        <v>13.800800000000001</v>
      </c>
      <c r="H308" s="17">
        <f>CHOOSE(CONTROL!$C$42, 14.0639, 14.0639) * CHOOSE(CONTROL!$C$21, $C$9, 100%, $E$9)</f>
        <v>14.0639</v>
      </c>
      <c r="I308" s="17">
        <f>CHOOSE(CONTROL!$C$42, 13.8277, 13.8277)* CHOOSE(CONTROL!$C$21, $C$9, 100%, $E$9)</f>
        <v>13.8277</v>
      </c>
      <c r="J308" s="17">
        <f>CHOOSE(CONTROL!$C$42, 13.7769, 13.7769)* CHOOSE(CONTROL!$C$21, $C$9, 100%, $E$9)</f>
        <v>13.776899999999999</v>
      </c>
      <c r="K308" s="52">
        <f>CHOOSE(CONTROL!$C$42, 13.8235, 13.8235) * CHOOSE(CONTROL!$C$21, $C$9, 100%, $E$9)</f>
        <v>13.823499999999999</v>
      </c>
      <c r="L308" s="17">
        <f>CHOOSE(CONTROL!$C$42, 14.6509, 14.6509) * CHOOSE(CONTROL!$C$21, $C$9, 100%, $E$9)</f>
        <v>14.6509</v>
      </c>
      <c r="M308" s="17">
        <f>CHOOSE(CONTROL!$C$42, 13.5368, 13.5368) * CHOOSE(CONTROL!$C$21, $C$9, 100%, $E$9)</f>
        <v>13.536799999999999</v>
      </c>
      <c r="N308" s="17">
        <f>CHOOSE(CONTROL!$C$42, 13.5533, 13.5533) * CHOOSE(CONTROL!$C$21, $C$9, 100%, $E$9)</f>
        <v>13.5533</v>
      </c>
      <c r="O308" s="17">
        <f>CHOOSE(CONTROL!$C$42, 13.8187, 13.8187) * CHOOSE(CONTROL!$C$21, $C$9, 100%, $E$9)</f>
        <v>13.8187</v>
      </c>
      <c r="P308" s="17">
        <f>CHOOSE(CONTROL!$C$42, 13.586, 13.586) * CHOOSE(CONTROL!$C$21, $C$9, 100%, $E$9)</f>
        <v>13.586</v>
      </c>
      <c r="Q308" s="17">
        <f>CHOOSE(CONTROL!$C$42, 14.4134, 14.4134) * CHOOSE(CONTROL!$C$21, $C$9, 100%, $E$9)</f>
        <v>14.413399999999999</v>
      </c>
      <c r="R308" s="17">
        <f>CHOOSE(CONTROL!$C$42, 15.0364, 15.0364) * CHOOSE(CONTROL!$C$21, $C$9, 100%, $E$9)</f>
        <v>15.0364</v>
      </c>
      <c r="S308" s="17">
        <f>CHOOSE(CONTROL!$C$42, 13.2159, 13.2159) * CHOOSE(CONTROL!$C$21, $C$9, 100%, $E$9)</f>
        <v>13.2159</v>
      </c>
      <c r="T30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08" s="56">
        <f>(1000*CHOOSE(CONTROL!$C$42, 695, 695)*CHOOSE(CONTROL!$C$42, 0.5599, 0.5599)*CHOOSE(CONTROL!$C$42, 31, 31))/1000000</f>
        <v>12.063045499999998</v>
      </c>
      <c r="V308" s="56">
        <f>(1000*CHOOSE(CONTROL!$C$42, 500, 500)*CHOOSE(CONTROL!$C$42, 0.275, 0.275)*CHOOSE(CONTROL!$C$42, 31, 31))/1000000</f>
        <v>4.2625000000000002</v>
      </c>
      <c r="W308" s="56">
        <f>(1000*CHOOSE(CONTROL!$C$42, 0.1146, 0.1146)*CHOOSE(CONTROL!$C$42, 121.5, 121.5)*CHOOSE(CONTROL!$C$42, 31, 31))/1000000</f>
        <v>0.43164089999999994</v>
      </c>
      <c r="X308" s="56">
        <f>(31*0.1790888*145000/1000000)+(31*0.2374*100000/1000000)</f>
        <v>1.5409441560000001</v>
      </c>
      <c r="Y308" s="56"/>
      <c r="Z308" s="17"/>
      <c r="AA308" s="55"/>
      <c r="AB308" s="48">
        <f>(B308*194.205+C308*267.466+D308*133.845+E308*153.484+F308*40+G308*85+H308*0+I308*100+J308*300)/(194.205+267.466+133.845+153.484+0+40+85+100+300)</f>
        <v>13.843986236263738</v>
      </c>
      <c r="AC308" s="45">
        <f>(M308*'RAP TEMPLATE-GAS AVAILABILITY'!O307+N308*'RAP TEMPLATE-GAS AVAILABILITY'!P307+O308*'RAP TEMPLATE-GAS AVAILABILITY'!Q307+P308*'RAP TEMPLATE-GAS AVAILABILITY'!R307)/('RAP TEMPLATE-GAS AVAILABILITY'!O307+'RAP TEMPLATE-GAS AVAILABILITY'!P307+'RAP TEMPLATE-GAS AVAILABILITY'!Q307+'RAP TEMPLATE-GAS AVAILABILITY'!R307)</f>
        <v>13.626771942446043</v>
      </c>
    </row>
    <row r="309" spans="1:29" ht="15.75" x14ac:dyDescent="0.25">
      <c r="A309" s="15">
        <v>50284</v>
      </c>
      <c r="B309" s="17">
        <f>CHOOSE(CONTROL!$C$42, 12.8914, 12.8914) * CHOOSE(CONTROL!$C$21, $C$9, 100%, $E$9)</f>
        <v>12.891400000000001</v>
      </c>
      <c r="C309" s="17">
        <f>CHOOSE(CONTROL!$C$42, 12.8994, 12.8994) * CHOOSE(CONTROL!$C$21, $C$9, 100%, $E$9)</f>
        <v>12.8994</v>
      </c>
      <c r="D309" s="17">
        <f>CHOOSE(CONTROL!$C$42, 13.1705, 13.1705) * CHOOSE(CONTROL!$C$21, $C$9, 100%, $E$9)</f>
        <v>13.170500000000001</v>
      </c>
      <c r="E309" s="17">
        <f>CHOOSE(CONTROL!$C$42, 13.2019, 13.2019) * CHOOSE(CONTROL!$C$21, $C$9, 100%, $E$9)</f>
        <v>13.2019</v>
      </c>
      <c r="F309" s="17">
        <f>CHOOSE(CONTROL!$C$42, 12.9106, 12.9106)*CHOOSE(CONTROL!$C$21, $C$9, 100%, $E$9)</f>
        <v>12.910600000000001</v>
      </c>
      <c r="G309" s="17">
        <f>CHOOSE(CONTROL!$C$42, 12.9275, 12.9275)*CHOOSE(CONTROL!$C$21, $C$9, 100%, $E$9)</f>
        <v>12.9275</v>
      </c>
      <c r="H309" s="17">
        <f>CHOOSE(CONTROL!$C$42, 13.1906, 13.1906) * CHOOSE(CONTROL!$C$21, $C$9, 100%, $E$9)</f>
        <v>13.1906</v>
      </c>
      <c r="I309" s="17">
        <f>CHOOSE(CONTROL!$C$42, 12.9516, 12.9516)* CHOOSE(CONTROL!$C$21, $C$9, 100%, $E$9)</f>
        <v>12.951599999999999</v>
      </c>
      <c r="J309" s="17">
        <f>CHOOSE(CONTROL!$C$42, 12.9036, 12.9036)* CHOOSE(CONTROL!$C$21, $C$9, 100%, $E$9)</f>
        <v>12.903600000000001</v>
      </c>
      <c r="K309" s="52">
        <f>CHOOSE(CONTROL!$C$42, 12.9474, 12.9474) * CHOOSE(CONTROL!$C$21, $C$9, 100%, $E$9)</f>
        <v>12.9474</v>
      </c>
      <c r="L309" s="17">
        <f>CHOOSE(CONTROL!$C$42, 13.7776, 13.7776) * CHOOSE(CONTROL!$C$21, $C$9, 100%, $E$9)</f>
        <v>13.7776</v>
      </c>
      <c r="M309" s="17">
        <f>CHOOSE(CONTROL!$C$42, 12.6792, 12.6792) * CHOOSE(CONTROL!$C$21, $C$9, 100%, $E$9)</f>
        <v>12.6792</v>
      </c>
      <c r="N309" s="17">
        <f>CHOOSE(CONTROL!$C$42, 12.6958, 12.6958) * CHOOSE(CONTROL!$C$21, $C$9, 100%, $E$9)</f>
        <v>12.6958</v>
      </c>
      <c r="O309" s="17">
        <f>CHOOSE(CONTROL!$C$42, 12.961, 12.961) * CHOOSE(CONTROL!$C$21, $C$9, 100%, $E$9)</f>
        <v>12.961</v>
      </c>
      <c r="P309" s="17">
        <f>CHOOSE(CONTROL!$C$42, 12.7257, 12.7257) * CHOOSE(CONTROL!$C$21, $C$9, 100%, $E$9)</f>
        <v>12.7257</v>
      </c>
      <c r="Q309" s="17">
        <f>CHOOSE(CONTROL!$C$42, 13.5557, 13.5557) * CHOOSE(CONTROL!$C$21, $C$9, 100%, $E$9)</f>
        <v>13.5557</v>
      </c>
      <c r="R309" s="17">
        <f>CHOOSE(CONTROL!$C$42, 14.1766, 14.1766) * CHOOSE(CONTROL!$C$21, $C$9, 100%, $E$9)</f>
        <v>14.176600000000001</v>
      </c>
      <c r="S309" s="17">
        <f>CHOOSE(CONTROL!$C$42, 12.3767, 12.3767) * CHOOSE(CONTROL!$C$21, $C$9, 100%, $E$9)</f>
        <v>12.3767</v>
      </c>
      <c r="T30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09" s="56">
        <f>(1000*CHOOSE(CONTROL!$C$42, 695, 695)*CHOOSE(CONTROL!$C$42, 0.5599, 0.5599)*CHOOSE(CONTROL!$C$42, 30, 30))/1000000</f>
        <v>11.673914999999997</v>
      </c>
      <c r="V309" s="56">
        <f>(1000*CHOOSE(CONTROL!$C$42, 500, 500)*CHOOSE(CONTROL!$C$42, 0.275, 0.275)*CHOOSE(CONTROL!$C$42, 30, 30))/1000000</f>
        <v>4.125</v>
      </c>
      <c r="W309" s="56">
        <f>(1000*CHOOSE(CONTROL!$C$42, 0.1146, 0.1146)*CHOOSE(CONTROL!$C$42, 121.5, 121.5)*CHOOSE(CONTROL!$C$42, 30, 30))/1000000</f>
        <v>0.417717</v>
      </c>
      <c r="X309" s="56">
        <f>(30*0.1790888*145000/1000000)+(30*0.2374*100000/1000000)</f>
        <v>1.4912362799999999</v>
      </c>
      <c r="Y309" s="56"/>
      <c r="Z309" s="17"/>
      <c r="AA309" s="55"/>
      <c r="AB309" s="48">
        <f>(B309*194.205+C309*267.466+D309*133.845+E309*153.484+F309*40+G309*85+H309*0+I309*100+J309*300)/(194.205+267.466+133.845+153.484+0+40+85+100+300)</f>
        <v>12.970418170722136</v>
      </c>
      <c r="AC309" s="45">
        <f>(M309*'RAP TEMPLATE-GAS AVAILABILITY'!O308+N309*'RAP TEMPLATE-GAS AVAILABILITY'!P308+O309*'RAP TEMPLATE-GAS AVAILABILITY'!Q308+P309*'RAP TEMPLATE-GAS AVAILABILITY'!R308)/('RAP TEMPLATE-GAS AVAILABILITY'!O308+'RAP TEMPLATE-GAS AVAILABILITY'!P308+'RAP TEMPLATE-GAS AVAILABILITY'!Q308+'RAP TEMPLATE-GAS AVAILABILITY'!R308)</f>
        <v>12.768778417266187</v>
      </c>
    </row>
    <row r="310" spans="1:29" ht="15.75" x14ac:dyDescent="0.25">
      <c r="A310" s="15">
        <v>50314</v>
      </c>
      <c r="B310" s="17">
        <f>CHOOSE(CONTROL!$C$42, 12.6281, 12.6281) * CHOOSE(CONTROL!$C$21, $C$9, 100%, $E$9)</f>
        <v>12.6281</v>
      </c>
      <c r="C310" s="17">
        <f>CHOOSE(CONTROL!$C$42, 12.6334, 12.6334) * CHOOSE(CONTROL!$C$21, $C$9, 100%, $E$9)</f>
        <v>12.6334</v>
      </c>
      <c r="D310" s="17">
        <f>CHOOSE(CONTROL!$C$42, 12.9095, 12.9095) * CHOOSE(CONTROL!$C$21, $C$9, 100%, $E$9)</f>
        <v>12.9095</v>
      </c>
      <c r="E310" s="17">
        <f>CHOOSE(CONTROL!$C$42, 12.9386, 12.9386) * CHOOSE(CONTROL!$C$21, $C$9, 100%, $E$9)</f>
        <v>12.938599999999999</v>
      </c>
      <c r="F310" s="17">
        <f>CHOOSE(CONTROL!$C$42, 12.6495, 12.6495)*CHOOSE(CONTROL!$C$21, $C$9, 100%, $E$9)</f>
        <v>12.6495</v>
      </c>
      <c r="G310" s="17">
        <f>CHOOSE(CONTROL!$C$42, 12.6663, 12.6663)*CHOOSE(CONTROL!$C$21, $C$9, 100%, $E$9)</f>
        <v>12.6663</v>
      </c>
      <c r="H310" s="17">
        <f>CHOOSE(CONTROL!$C$42, 12.9291, 12.9291) * CHOOSE(CONTROL!$C$21, $C$9, 100%, $E$9)</f>
        <v>12.9291</v>
      </c>
      <c r="I310" s="17">
        <f>CHOOSE(CONTROL!$C$42, 12.6893, 12.6893)* CHOOSE(CONTROL!$C$21, $C$9, 100%, $E$9)</f>
        <v>12.689299999999999</v>
      </c>
      <c r="J310" s="17">
        <f>CHOOSE(CONTROL!$C$42, 12.6425, 12.6425)* CHOOSE(CONTROL!$C$21, $C$9, 100%, $E$9)</f>
        <v>12.6425</v>
      </c>
      <c r="K310" s="52">
        <f>CHOOSE(CONTROL!$C$42, 12.6851, 12.6851) * CHOOSE(CONTROL!$C$21, $C$9, 100%, $E$9)</f>
        <v>12.6851</v>
      </c>
      <c r="L310" s="17">
        <f>CHOOSE(CONTROL!$C$42, 13.5161, 13.5161) * CHOOSE(CONTROL!$C$21, $C$9, 100%, $E$9)</f>
        <v>13.5161</v>
      </c>
      <c r="M310" s="17">
        <f>CHOOSE(CONTROL!$C$42, 12.4228, 12.4228) * CHOOSE(CONTROL!$C$21, $C$9, 100%, $E$9)</f>
        <v>12.422800000000001</v>
      </c>
      <c r="N310" s="17">
        <f>CHOOSE(CONTROL!$C$42, 12.4393, 12.4393) * CHOOSE(CONTROL!$C$21, $C$9, 100%, $E$9)</f>
        <v>12.439299999999999</v>
      </c>
      <c r="O310" s="17">
        <f>CHOOSE(CONTROL!$C$42, 12.7042, 12.7042) * CHOOSE(CONTROL!$C$21, $C$9, 100%, $E$9)</f>
        <v>12.7042</v>
      </c>
      <c r="P310" s="17">
        <f>CHOOSE(CONTROL!$C$42, 12.4681, 12.4681) * CHOOSE(CONTROL!$C$21, $C$9, 100%, $E$9)</f>
        <v>12.4681</v>
      </c>
      <c r="Q310" s="17">
        <f>CHOOSE(CONTROL!$C$42, 13.2989, 13.2989) * CHOOSE(CONTROL!$C$21, $C$9, 100%, $E$9)</f>
        <v>13.2989</v>
      </c>
      <c r="R310" s="17">
        <f>CHOOSE(CONTROL!$C$42, 13.9192, 13.9192) * CHOOSE(CONTROL!$C$21, $C$9, 100%, $E$9)</f>
        <v>13.9192</v>
      </c>
      <c r="S310" s="17">
        <f>CHOOSE(CONTROL!$C$42, 12.1254, 12.1254) * CHOOSE(CONTROL!$C$21, $C$9, 100%, $E$9)</f>
        <v>12.125400000000001</v>
      </c>
      <c r="T31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10" s="56">
        <f>(1000*CHOOSE(CONTROL!$C$42, 695, 695)*CHOOSE(CONTROL!$C$42, 0.5599, 0.5599)*CHOOSE(CONTROL!$C$42, 31, 31))/1000000</f>
        <v>12.063045499999998</v>
      </c>
      <c r="V310" s="56">
        <f>(1000*CHOOSE(CONTROL!$C$42, 500, 500)*CHOOSE(CONTROL!$C$42, 0.275, 0.275)*CHOOSE(CONTROL!$C$42, 31, 31))/1000000</f>
        <v>4.2625000000000002</v>
      </c>
      <c r="W310" s="56">
        <f>(1000*CHOOSE(CONTROL!$C$42, 0.1146, 0.1146)*CHOOSE(CONTROL!$C$42, 121.5, 121.5)*CHOOSE(CONTROL!$C$42, 31, 31))/1000000</f>
        <v>0.43164089999999994</v>
      </c>
      <c r="X310" s="56">
        <f>(31*0.1790888*145000/1000000)+(31*0.2374*100000/1000000)</f>
        <v>1.5409441560000001</v>
      </c>
      <c r="Y310" s="56"/>
      <c r="Z310" s="17"/>
      <c r="AA310" s="55"/>
      <c r="AB310" s="48">
        <f>(B310*131.881+C310*277.167+D310*79.08+E310*225.872+F310*40+G310*85+H310*0+I310*100+J310*300)/(131.881+277.167+79.08+225.872+0+40+85+100+300)</f>
        <v>12.715588582001615</v>
      </c>
      <c r="AC310" s="45">
        <f>(M310*'RAP TEMPLATE-GAS AVAILABILITY'!O309+N310*'RAP TEMPLATE-GAS AVAILABILITY'!P309+O310*'RAP TEMPLATE-GAS AVAILABILITY'!Q309+P310*'RAP TEMPLATE-GAS AVAILABILITY'!R309)/('RAP TEMPLATE-GAS AVAILABILITY'!O309+'RAP TEMPLATE-GAS AVAILABILITY'!P309+'RAP TEMPLATE-GAS AVAILABILITY'!Q309+'RAP TEMPLATE-GAS AVAILABILITY'!R309)</f>
        <v>12.512070503597121</v>
      </c>
    </row>
    <row r="311" spans="1:29" ht="15.75" x14ac:dyDescent="0.25">
      <c r="A311" s="15">
        <v>50345</v>
      </c>
      <c r="B311" s="17">
        <f>CHOOSE(CONTROL!$C$42, 12.9601, 12.9601) * CHOOSE(CONTROL!$C$21, $C$9, 100%, $E$9)</f>
        <v>12.960100000000001</v>
      </c>
      <c r="C311" s="17">
        <f>CHOOSE(CONTROL!$C$42, 12.9652, 12.9652) * CHOOSE(CONTROL!$C$21, $C$9, 100%, $E$9)</f>
        <v>12.965199999999999</v>
      </c>
      <c r="D311" s="17">
        <f>CHOOSE(CONTROL!$C$42, 13.0602, 13.0602) * CHOOSE(CONTROL!$C$21, $C$9, 100%, $E$9)</f>
        <v>13.0602</v>
      </c>
      <c r="E311" s="17">
        <f>CHOOSE(CONTROL!$C$42, 13.0943, 13.0943) * CHOOSE(CONTROL!$C$21, $C$9, 100%, $E$9)</f>
        <v>13.0943</v>
      </c>
      <c r="F311" s="17">
        <f>CHOOSE(CONTROL!$C$42, 12.984, 12.984)*CHOOSE(CONTROL!$C$21, $C$9, 100%, $E$9)</f>
        <v>12.984</v>
      </c>
      <c r="G311" s="17">
        <f>CHOOSE(CONTROL!$C$42, 13.0011, 13.0011)*CHOOSE(CONTROL!$C$21, $C$9, 100%, $E$9)</f>
        <v>13.001099999999999</v>
      </c>
      <c r="H311" s="17">
        <f>CHOOSE(CONTROL!$C$42, 13.0835, 13.0835) * CHOOSE(CONTROL!$C$21, $C$9, 100%, $E$9)</f>
        <v>13.083500000000001</v>
      </c>
      <c r="I311" s="17">
        <f>CHOOSE(CONTROL!$C$42, 13.0207, 13.0207)* CHOOSE(CONTROL!$C$21, $C$9, 100%, $E$9)</f>
        <v>13.0207</v>
      </c>
      <c r="J311" s="17">
        <f>CHOOSE(CONTROL!$C$42, 12.977, 12.977)* CHOOSE(CONTROL!$C$21, $C$9, 100%, $E$9)</f>
        <v>12.977</v>
      </c>
      <c r="K311" s="52">
        <f>CHOOSE(CONTROL!$C$42, 13.0165, 13.0165) * CHOOSE(CONTROL!$C$21, $C$9, 100%, $E$9)</f>
        <v>13.016500000000001</v>
      </c>
      <c r="L311" s="17">
        <f>CHOOSE(CONTROL!$C$42, 13.6705, 13.6705) * CHOOSE(CONTROL!$C$21, $C$9, 100%, $E$9)</f>
        <v>13.670500000000001</v>
      </c>
      <c r="M311" s="17">
        <f>CHOOSE(CONTROL!$C$42, 12.7513, 12.7513) * CHOOSE(CONTROL!$C$21, $C$9, 100%, $E$9)</f>
        <v>12.751300000000001</v>
      </c>
      <c r="N311" s="17">
        <f>CHOOSE(CONTROL!$C$42, 12.7681, 12.7681) * CHOOSE(CONTROL!$C$21, $C$9, 100%, $E$9)</f>
        <v>12.7681</v>
      </c>
      <c r="O311" s="17">
        <f>CHOOSE(CONTROL!$C$42, 12.8559, 12.8559) * CHOOSE(CONTROL!$C$21, $C$9, 100%, $E$9)</f>
        <v>12.8559</v>
      </c>
      <c r="P311" s="17">
        <f>CHOOSE(CONTROL!$C$42, 12.7935, 12.7935) * CHOOSE(CONTROL!$C$21, $C$9, 100%, $E$9)</f>
        <v>12.7935</v>
      </c>
      <c r="Q311" s="17">
        <f>CHOOSE(CONTROL!$C$42, 13.4506, 13.4506) * CHOOSE(CONTROL!$C$21, $C$9, 100%, $E$9)</f>
        <v>13.4506</v>
      </c>
      <c r="R311" s="17">
        <f>CHOOSE(CONTROL!$C$42, 14.0712, 14.0712) * CHOOSE(CONTROL!$C$21, $C$9, 100%, $E$9)</f>
        <v>14.071199999999999</v>
      </c>
      <c r="S311" s="17">
        <f>CHOOSE(CONTROL!$C$42, 12.4448, 12.4448) * CHOOSE(CONTROL!$C$21, $C$9, 100%, $E$9)</f>
        <v>12.444800000000001</v>
      </c>
      <c r="T31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11" s="56">
        <f>(1000*CHOOSE(CONTROL!$C$42, 695, 695)*CHOOSE(CONTROL!$C$42, 0.5599, 0.5599)*CHOOSE(CONTROL!$C$42, 30, 30))/1000000</f>
        <v>11.673914999999997</v>
      </c>
      <c r="V311" s="56">
        <f>(1000*CHOOSE(CONTROL!$C$42, 500, 500)*CHOOSE(CONTROL!$C$42, 0.275, 0.275)*CHOOSE(CONTROL!$C$42, 30, 30))/1000000</f>
        <v>4.125</v>
      </c>
      <c r="W311" s="56">
        <f>(1000*CHOOSE(CONTROL!$C$42, 0.1146, 0.1146)*CHOOSE(CONTROL!$C$42, 121.5, 121.5)*CHOOSE(CONTROL!$C$42, 30, 30))/1000000</f>
        <v>0.417717</v>
      </c>
      <c r="X311" s="56">
        <f>(30*0.2374*100000/1000000)</f>
        <v>0.71220000000000006</v>
      </c>
      <c r="Y311" s="56"/>
      <c r="Z311" s="17"/>
      <c r="AA311" s="55"/>
      <c r="AB311" s="48">
        <f>(B311*122.58+C311*297.941+D311*89.177+E311*140.302+F311*40+G311*60+H311*0+I311*100+J311*300)/(122.58+297.941+89.177+140.302+0+40+60+100+300)</f>
        <v>12.998204908869566</v>
      </c>
      <c r="AC311" s="45">
        <f>(M311*'RAP TEMPLATE-GAS AVAILABILITY'!O310+N311*'RAP TEMPLATE-GAS AVAILABILITY'!P310+O311*'RAP TEMPLATE-GAS AVAILABILITY'!Q310+P311*'RAP TEMPLATE-GAS AVAILABILITY'!R310)/('RAP TEMPLATE-GAS AVAILABILITY'!O310+'RAP TEMPLATE-GAS AVAILABILITY'!P310+'RAP TEMPLATE-GAS AVAILABILITY'!Q310+'RAP TEMPLATE-GAS AVAILABILITY'!R310)</f>
        <v>12.80574748201439</v>
      </c>
    </row>
    <row r="312" spans="1:29" ht="15.75" x14ac:dyDescent="0.25">
      <c r="A312" s="15">
        <v>50375</v>
      </c>
      <c r="B312" s="17">
        <f>CHOOSE(CONTROL!$C$42, 13.8431, 13.8431) * CHOOSE(CONTROL!$C$21, $C$9, 100%, $E$9)</f>
        <v>13.8431</v>
      </c>
      <c r="C312" s="17">
        <f>CHOOSE(CONTROL!$C$42, 13.8482, 13.8482) * CHOOSE(CONTROL!$C$21, $C$9, 100%, $E$9)</f>
        <v>13.8482</v>
      </c>
      <c r="D312" s="17">
        <f>CHOOSE(CONTROL!$C$42, 13.9432, 13.9432) * CHOOSE(CONTROL!$C$21, $C$9, 100%, $E$9)</f>
        <v>13.943199999999999</v>
      </c>
      <c r="E312" s="17">
        <f>CHOOSE(CONTROL!$C$42, 13.9773, 13.9773) * CHOOSE(CONTROL!$C$21, $C$9, 100%, $E$9)</f>
        <v>13.9773</v>
      </c>
      <c r="F312" s="17">
        <f>CHOOSE(CONTROL!$C$42, 13.8693, 13.8693)*CHOOSE(CONTROL!$C$21, $C$9, 100%, $E$9)</f>
        <v>13.869300000000001</v>
      </c>
      <c r="G312" s="17">
        <f>CHOOSE(CONTROL!$C$42, 13.887, 13.887)*CHOOSE(CONTROL!$C$21, $C$9, 100%, $E$9)</f>
        <v>13.887</v>
      </c>
      <c r="H312" s="17">
        <f>CHOOSE(CONTROL!$C$42, 13.9665, 13.9665) * CHOOSE(CONTROL!$C$21, $C$9, 100%, $E$9)</f>
        <v>13.9665</v>
      </c>
      <c r="I312" s="17">
        <f>CHOOSE(CONTROL!$C$42, 13.9064, 13.9064)* CHOOSE(CONTROL!$C$21, $C$9, 100%, $E$9)</f>
        <v>13.9064</v>
      </c>
      <c r="J312" s="17">
        <f>CHOOSE(CONTROL!$C$42, 13.8623, 13.8623)* CHOOSE(CONTROL!$C$21, $C$9, 100%, $E$9)</f>
        <v>13.862299999999999</v>
      </c>
      <c r="K312" s="52">
        <f>CHOOSE(CONTROL!$C$42, 13.9022, 13.9022) * CHOOSE(CONTROL!$C$21, $C$9, 100%, $E$9)</f>
        <v>13.902200000000001</v>
      </c>
      <c r="L312" s="17">
        <f>CHOOSE(CONTROL!$C$42, 14.5535, 14.5535) * CHOOSE(CONTROL!$C$21, $C$9, 100%, $E$9)</f>
        <v>14.5535</v>
      </c>
      <c r="M312" s="17">
        <f>CHOOSE(CONTROL!$C$42, 13.6207, 13.6207) * CHOOSE(CONTROL!$C$21, $C$9, 100%, $E$9)</f>
        <v>13.620699999999999</v>
      </c>
      <c r="N312" s="17">
        <f>CHOOSE(CONTROL!$C$42, 13.6381, 13.6381) * CHOOSE(CONTROL!$C$21, $C$9, 100%, $E$9)</f>
        <v>13.6381</v>
      </c>
      <c r="O312" s="17">
        <f>CHOOSE(CONTROL!$C$42, 13.723, 13.723) * CHOOSE(CONTROL!$C$21, $C$9, 100%, $E$9)</f>
        <v>13.723000000000001</v>
      </c>
      <c r="P312" s="17">
        <f>CHOOSE(CONTROL!$C$42, 13.6633, 13.6633) * CHOOSE(CONTROL!$C$21, $C$9, 100%, $E$9)</f>
        <v>13.6633</v>
      </c>
      <c r="Q312" s="17">
        <f>CHOOSE(CONTROL!$C$42, 14.3177, 14.3177) * CHOOSE(CONTROL!$C$21, $C$9, 100%, $E$9)</f>
        <v>14.3177</v>
      </c>
      <c r="R312" s="17">
        <f>CHOOSE(CONTROL!$C$42, 14.9405, 14.9405) * CHOOSE(CONTROL!$C$21, $C$9, 100%, $E$9)</f>
        <v>14.9405</v>
      </c>
      <c r="S312" s="17">
        <f>CHOOSE(CONTROL!$C$42, 13.2933, 13.2933) * CHOOSE(CONTROL!$C$21, $C$9, 100%, $E$9)</f>
        <v>13.2933</v>
      </c>
      <c r="T31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12" s="56">
        <f>(1000*CHOOSE(CONTROL!$C$42, 695, 695)*CHOOSE(CONTROL!$C$42, 0.5599, 0.5599)*CHOOSE(CONTROL!$C$42, 31, 31))/1000000</f>
        <v>12.063045499999998</v>
      </c>
      <c r="V312" s="56">
        <f>(1000*CHOOSE(CONTROL!$C$42, 500, 500)*CHOOSE(CONTROL!$C$42, 0.275, 0.275)*CHOOSE(CONTROL!$C$42, 31, 31))/1000000</f>
        <v>4.2625000000000002</v>
      </c>
      <c r="W312" s="56">
        <f>(1000*CHOOSE(CONTROL!$C$42, 0.1146, 0.1146)*CHOOSE(CONTROL!$C$42, 121.5, 121.5)*CHOOSE(CONTROL!$C$42, 31, 31))/1000000</f>
        <v>0.43164089999999994</v>
      </c>
      <c r="X312" s="56">
        <f>(31*0.2374*100000/1000000)</f>
        <v>0.73594000000000004</v>
      </c>
      <c r="Y312" s="56"/>
      <c r="Z312" s="17"/>
      <c r="AA312" s="55"/>
      <c r="AB312" s="48">
        <f>(B312*122.58+C312*297.941+D312*89.177+E312*140.302+F312*40+G312*60+H312*0+I312*100+J312*300)/(122.58+297.941+89.177+140.302+0+40+60+100+300)</f>
        <v>13.882270995826087</v>
      </c>
      <c r="AC312" s="45">
        <f>(M312*'RAP TEMPLATE-GAS AVAILABILITY'!O311+N312*'RAP TEMPLATE-GAS AVAILABILITY'!P311+O312*'RAP TEMPLATE-GAS AVAILABILITY'!Q311+P312*'RAP TEMPLATE-GAS AVAILABILITY'!R311)/('RAP TEMPLATE-GAS AVAILABILITY'!O311+'RAP TEMPLATE-GAS AVAILABILITY'!P311+'RAP TEMPLATE-GAS AVAILABILITY'!Q311+'RAP TEMPLATE-GAS AVAILABILITY'!R311)</f>
        <v>13.674197122302157</v>
      </c>
    </row>
    <row r="313" spans="1:29" ht="15.75" x14ac:dyDescent="0.25">
      <c r="A313" s="14">
        <v>50436</v>
      </c>
      <c r="B313" s="17">
        <f>CHOOSE(CONTROL!$C$42, 14.9899, 14.9899) * CHOOSE(CONTROL!$C$21, $C$9, 100%, $E$9)</f>
        <v>14.9899</v>
      </c>
      <c r="C313" s="17">
        <f>CHOOSE(CONTROL!$C$42, 14.995, 14.995) * CHOOSE(CONTROL!$C$21, $C$9, 100%, $E$9)</f>
        <v>14.994999999999999</v>
      </c>
      <c r="D313" s="17">
        <f>CHOOSE(CONTROL!$C$42, 15.1134, 15.1134) * CHOOSE(CONTROL!$C$21, $C$9, 100%, $E$9)</f>
        <v>15.1134</v>
      </c>
      <c r="E313" s="17">
        <f>CHOOSE(CONTROL!$C$42, 15.1475, 15.1475) * CHOOSE(CONTROL!$C$21, $C$9, 100%, $E$9)</f>
        <v>15.147500000000001</v>
      </c>
      <c r="F313" s="17">
        <f>CHOOSE(CONTROL!$C$42, 15.0103, 15.0103)*CHOOSE(CONTROL!$C$21, $C$9, 100%, $E$9)</f>
        <v>15.010300000000001</v>
      </c>
      <c r="G313" s="17">
        <f>CHOOSE(CONTROL!$C$42, 15.0271, 15.0271)*CHOOSE(CONTROL!$C$21, $C$9, 100%, $E$9)</f>
        <v>15.027100000000001</v>
      </c>
      <c r="H313" s="17">
        <f>CHOOSE(CONTROL!$C$42, 15.1367, 15.1367) * CHOOSE(CONTROL!$C$21, $C$9, 100%, $E$9)</f>
        <v>15.136699999999999</v>
      </c>
      <c r="I313" s="17">
        <f>CHOOSE(CONTROL!$C$42, 15.0605, 15.0605)* CHOOSE(CONTROL!$C$21, $C$9, 100%, $E$9)</f>
        <v>15.060499999999999</v>
      </c>
      <c r="J313" s="17">
        <f>CHOOSE(CONTROL!$C$42, 15.0033, 15.0033)* CHOOSE(CONTROL!$C$21, $C$9, 100%, $E$9)</f>
        <v>15.003299999999999</v>
      </c>
      <c r="K313" s="52">
        <f>CHOOSE(CONTROL!$C$42, 15.0562, 15.0562) * CHOOSE(CONTROL!$C$21, $C$9, 100%, $E$9)</f>
        <v>15.0562</v>
      </c>
      <c r="L313" s="17">
        <f>CHOOSE(CONTROL!$C$42, 15.7237, 15.7237) * CHOOSE(CONTROL!$C$21, $C$9, 100%, $E$9)</f>
        <v>15.723699999999999</v>
      </c>
      <c r="M313" s="17">
        <f>CHOOSE(CONTROL!$C$42, 14.7411, 14.7411) * CHOOSE(CONTROL!$C$21, $C$9, 100%, $E$9)</f>
        <v>14.741099999999999</v>
      </c>
      <c r="N313" s="17">
        <f>CHOOSE(CONTROL!$C$42, 14.7577, 14.7577) * CHOOSE(CONTROL!$C$21, $C$9, 100%, $E$9)</f>
        <v>14.7577</v>
      </c>
      <c r="O313" s="17">
        <f>CHOOSE(CONTROL!$C$42, 14.8721, 14.8721) * CHOOSE(CONTROL!$C$21, $C$9, 100%, $E$9)</f>
        <v>14.8721</v>
      </c>
      <c r="P313" s="17">
        <f>CHOOSE(CONTROL!$C$42, 14.7965, 14.7965) * CHOOSE(CONTROL!$C$21, $C$9, 100%, $E$9)</f>
        <v>14.7965</v>
      </c>
      <c r="Q313" s="17">
        <f>CHOOSE(CONTROL!$C$42, 15.4668, 15.4668) * CHOOSE(CONTROL!$C$21, $C$9, 100%, $E$9)</f>
        <v>15.466799999999999</v>
      </c>
      <c r="R313" s="17">
        <f>CHOOSE(CONTROL!$C$42, 16.0925, 16.0925) * CHOOSE(CONTROL!$C$21, $C$9, 100%, $E$9)</f>
        <v>16.092500000000001</v>
      </c>
      <c r="S313" s="17">
        <f>CHOOSE(CONTROL!$C$42, 14.3952, 14.3952) * CHOOSE(CONTROL!$C$21, $C$9, 100%, $E$9)</f>
        <v>14.395200000000001</v>
      </c>
      <c r="T31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13" s="56">
        <f>(1000*CHOOSE(CONTROL!$C$42, 695, 695)*CHOOSE(CONTROL!$C$42, 0.5599, 0.5599)*CHOOSE(CONTROL!$C$42, 31, 31))/1000000</f>
        <v>12.063045499999998</v>
      </c>
      <c r="V313" s="56">
        <f>(1000*CHOOSE(CONTROL!$C$42, 500, 500)*CHOOSE(CONTROL!$C$42, 0.275, 0.275)*CHOOSE(CONTROL!$C$42, 31, 31))/1000000</f>
        <v>4.2625000000000002</v>
      </c>
      <c r="W313" s="56">
        <f>(1000*CHOOSE(CONTROL!$C$42, 0.1146, 0.1146)*CHOOSE(CONTROL!$C$42, 121.5, 121.5)*CHOOSE(CONTROL!$C$42, 31, 31))/1000000</f>
        <v>0.43164089999999994</v>
      </c>
      <c r="X313" s="56">
        <f>(31*0.2374*100000/1000000)</f>
        <v>0.73594000000000004</v>
      </c>
      <c r="Y313" s="56"/>
      <c r="Z313" s="17"/>
      <c r="AA313" s="55"/>
      <c r="AB313" s="48">
        <f>(B313*122.58+C313*297.941+D313*89.177+E313*140.302+F313*40+G313*60+H313*0+I313*100+J313*300)/(122.58+297.941+89.177+140.302+0+40+60+100+300)</f>
        <v>15.032310829391303</v>
      </c>
      <c r="AC313" s="45">
        <f>(M313*'RAP TEMPLATE-GAS AVAILABILITY'!O312+N313*'RAP TEMPLATE-GAS AVAILABILITY'!P312+O313*'RAP TEMPLATE-GAS AVAILABILITY'!Q312+P313*'RAP TEMPLATE-GAS AVAILABILITY'!R312)/('RAP TEMPLATE-GAS AVAILABILITY'!O312+'RAP TEMPLATE-GAS AVAILABILITY'!P312+'RAP TEMPLATE-GAS AVAILABILITY'!Q312+'RAP TEMPLATE-GAS AVAILABILITY'!R312)</f>
        <v>14.80940071942446</v>
      </c>
    </row>
    <row r="314" spans="1:29" ht="15.75" x14ac:dyDescent="0.25">
      <c r="A314" s="14">
        <v>50464</v>
      </c>
      <c r="B314" s="17">
        <f>CHOOSE(CONTROL!$C$42, 15.2566, 15.2566) * CHOOSE(CONTROL!$C$21, $C$9, 100%, $E$9)</f>
        <v>15.256600000000001</v>
      </c>
      <c r="C314" s="17">
        <f>CHOOSE(CONTROL!$C$42, 15.2616, 15.2616) * CHOOSE(CONTROL!$C$21, $C$9, 100%, $E$9)</f>
        <v>15.2616</v>
      </c>
      <c r="D314" s="17">
        <f>CHOOSE(CONTROL!$C$42, 15.3801, 15.3801) * CHOOSE(CONTROL!$C$21, $C$9, 100%, $E$9)</f>
        <v>15.380100000000001</v>
      </c>
      <c r="E314" s="17">
        <f>CHOOSE(CONTROL!$C$42, 15.4142, 15.4142) * CHOOSE(CONTROL!$C$21, $C$9, 100%, $E$9)</f>
        <v>15.414199999999999</v>
      </c>
      <c r="F314" s="17">
        <f>CHOOSE(CONTROL!$C$42, 15.2769, 15.2769)*CHOOSE(CONTROL!$C$21, $C$9, 100%, $E$9)</f>
        <v>15.276899999999999</v>
      </c>
      <c r="G314" s="17">
        <f>CHOOSE(CONTROL!$C$42, 15.2938, 15.2938)*CHOOSE(CONTROL!$C$21, $C$9, 100%, $E$9)</f>
        <v>15.293799999999999</v>
      </c>
      <c r="H314" s="17">
        <f>CHOOSE(CONTROL!$C$42, 15.4034, 15.4034) * CHOOSE(CONTROL!$C$21, $C$9, 100%, $E$9)</f>
        <v>15.4034</v>
      </c>
      <c r="I314" s="17">
        <f>CHOOSE(CONTROL!$C$42, 15.328, 15.328)* CHOOSE(CONTROL!$C$21, $C$9, 100%, $E$9)</f>
        <v>15.327999999999999</v>
      </c>
      <c r="J314" s="17">
        <f>CHOOSE(CONTROL!$C$42, 15.2699, 15.2699)* CHOOSE(CONTROL!$C$21, $C$9, 100%, $E$9)</f>
        <v>15.2699</v>
      </c>
      <c r="K314" s="52">
        <f>CHOOSE(CONTROL!$C$42, 15.3237, 15.3237) * CHOOSE(CONTROL!$C$21, $C$9, 100%, $E$9)</f>
        <v>15.323700000000001</v>
      </c>
      <c r="L314" s="17">
        <f>CHOOSE(CONTROL!$C$42, 15.9904, 15.9904) * CHOOSE(CONTROL!$C$21, $C$9, 100%, $E$9)</f>
        <v>15.990399999999999</v>
      </c>
      <c r="M314" s="17">
        <f>CHOOSE(CONTROL!$C$42, 15.003, 15.003) * CHOOSE(CONTROL!$C$21, $C$9, 100%, $E$9)</f>
        <v>15.003</v>
      </c>
      <c r="N314" s="17">
        <f>CHOOSE(CONTROL!$C$42, 15.0195, 15.0195) * CHOOSE(CONTROL!$C$21, $C$9, 100%, $E$9)</f>
        <v>15.019500000000001</v>
      </c>
      <c r="O314" s="17">
        <f>CHOOSE(CONTROL!$C$42, 15.134, 15.134) * CHOOSE(CONTROL!$C$21, $C$9, 100%, $E$9)</f>
        <v>15.134</v>
      </c>
      <c r="P314" s="17">
        <f>CHOOSE(CONTROL!$C$42, 15.0592, 15.0592) * CHOOSE(CONTROL!$C$21, $C$9, 100%, $E$9)</f>
        <v>15.059200000000001</v>
      </c>
      <c r="Q314" s="17">
        <f>CHOOSE(CONTROL!$C$42, 15.7287, 15.7287) * CHOOSE(CONTROL!$C$21, $C$9, 100%, $E$9)</f>
        <v>15.7287</v>
      </c>
      <c r="R314" s="17">
        <f>CHOOSE(CONTROL!$C$42, 16.355, 16.355) * CHOOSE(CONTROL!$C$21, $C$9, 100%, $E$9)</f>
        <v>16.355</v>
      </c>
      <c r="S314" s="17">
        <f>CHOOSE(CONTROL!$C$42, 14.6515, 14.6515) * CHOOSE(CONTROL!$C$21, $C$9, 100%, $E$9)</f>
        <v>14.6515</v>
      </c>
      <c r="T31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14" s="56">
        <f>(1000*CHOOSE(CONTROL!$C$42, 695, 695)*CHOOSE(CONTROL!$C$42, 0.5599, 0.5599)*CHOOSE(CONTROL!$C$42, 28, 28))/1000000</f>
        <v>10.895653999999999</v>
      </c>
      <c r="V314" s="56">
        <f>(1000*CHOOSE(CONTROL!$C$42, 500, 500)*CHOOSE(CONTROL!$C$42, 0.275, 0.275)*CHOOSE(CONTROL!$C$42, 28, 28))/1000000</f>
        <v>3.85</v>
      </c>
      <c r="W314" s="56">
        <f>(1000*CHOOSE(CONTROL!$C$42, 0.1146, 0.1146)*CHOOSE(CONTROL!$C$42, 121.5, 121.5)*CHOOSE(CONTROL!$C$42, 28, 28))/1000000</f>
        <v>0.38986920000000003</v>
      </c>
      <c r="X314" s="56">
        <f>(28*0.2374*100000/1000000)</f>
        <v>0.66471999999999998</v>
      </c>
      <c r="Y314" s="56"/>
      <c r="Z314" s="17"/>
      <c r="AA314" s="55"/>
      <c r="AB314" s="48">
        <f>(B314*122.58+C314*297.941+D314*89.177+E314*140.302+F314*40+G314*60+H314*0+I314*100+J314*300)/(122.58+297.941+89.177+140.302+0+40+60+100+300)</f>
        <v>15.29902492147826</v>
      </c>
      <c r="AC314" s="45">
        <f>(M314*'RAP TEMPLATE-GAS AVAILABILITY'!O313+N314*'RAP TEMPLATE-GAS AVAILABILITY'!P313+O314*'RAP TEMPLATE-GAS AVAILABILITY'!Q313+P314*'RAP TEMPLATE-GAS AVAILABILITY'!R313)/('RAP TEMPLATE-GAS AVAILABILITY'!O313+'RAP TEMPLATE-GAS AVAILABILITY'!P313+'RAP TEMPLATE-GAS AVAILABILITY'!Q313+'RAP TEMPLATE-GAS AVAILABILITY'!R313)</f>
        <v>15.071410071942445</v>
      </c>
    </row>
    <row r="315" spans="1:29" ht="15.75" x14ac:dyDescent="0.25">
      <c r="A315" s="14">
        <v>50495</v>
      </c>
      <c r="B315" s="17">
        <f>CHOOSE(CONTROL!$C$42, 14.8237, 14.8237) * CHOOSE(CONTROL!$C$21, $C$9, 100%, $E$9)</f>
        <v>14.823700000000001</v>
      </c>
      <c r="C315" s="17">
        <f>CHOOSE(CONTROL!$C$42, 14.8288, 14.8288) * CHOOSE(CONTROL!$C$21, $C$9, 100%, $E$9)</f>
        <v>14.828799999999999</v>
      </c>
      <c r="D315" s="17">
        <f>CHOOSE(CONTROL!$C$42, 14.9472, 14.9472) * CHOOSE(CONTROL!$C$21, $C$9, 100%, $E$9)</f>
        <v>14.9472</v>
      </c>
      <c r="E315" s="17">
        <f>CHOOSE(CONTROL!$C$42, 14.9813, 14.9813) * CHOOSE(CONTROL!$C$21, $C$9, 100%, $E$9)</f>
        <v>14.981299999999999</v>
      </c>
      <c r="F315" s="17">
        <f>CHOOSE(CONTROL!$C$42, 14.8434, 14.8434)*CHOOSE(CONTROL!$C$21, $C$9, 100%, $E$9)</f>
        <v>14.843400000000001</v>
      </c>
      <c r="G315" s="17">
        <f>CHOOSE(CONTROL!$C$42, 14.86, 14.86)*CHOOSE(CONTROL!$C$21, $C$9, 100%, $E$9)</f>
        <v>14.86</v>
      </c>
      <c r="H315" s="17">
        <f>CHOOSE(CONTROL!$C$42, 14.9705, 14.9705) * CHOOSE(CONTROL!$C$21, $C$9, 100%, $E$9)</f>
        <v>14.970499999999999</v>
      </c>
      <c r="I315" s="17">
        <f>CHOOSE(CONTROL!$C$42, 14.8937, 14.8937)* CHOOSE(CONTROL!$C$21, $C$9, 100%, $E$9)</f>
        <v>14.893700000000001</v>
      </c>
      <c r="J315" s="17">
        <f>CHOOSE(CONTROL!$C$42, 14.8364, 14.8364)* CHOOSE(CONTROL!$C$21, $C$9, 100%, $E$9)</f>
        <v>14.836399999999999</v>
      </c>
      <c r="K315" s="52">
        <f>CHOOSE(CONTROL!$C$42, 14.8895, 14.8895) * CHOOSE(CONTROL!$C$21, $C$9, 100%, $E$9)</f>
        <v>14.8895</v>
      </c>
      <c r="L315" s="17">
        <f>CHOOSE(CONTROL!$C$42, 15.5575, 15.5575) * CHOOSE(CONTROL!$C$21, $C$9, 100%, $E$9)</f>
        <v>15.557499999999999</v>
      </c>
      <c r="M315" s="17">
        <f>CHOOSE(CONTROL!$C$42, 14.5772, 14.5772) * CHOOSE(CONTROL!$C$21, $C$9, 100%, $E$9)</f>
        <v>14.577199999999999</v>
      </c>
      <c r="N315" s="17">
        <f>CHOOSE(CONTROL!$C$42, 14.5936, 14.5936) * CHOOSE(CONTROL!$C$21, $C$9, 100%, $E$9)</f>
        <v>14.5936</v>
      </c>
      <c r="O315" s="17">
        <f>CHOOSE(CONTROL!$C$42, 14.7089, 14.7089) * CHOOSE(CONTROL!$C$21, $C$9, 100%, $E$9)</f>
        <v>14.7089</v>
      </c>
      <c r="P315" s="17">
        <f>CHOOSE(CONTROL!$C$42, 14.6328, 14.6328) * CHOOSE(CONTROL!$C$21, $C$9, 100%, $E$9)</f>
        <v>14.6328</v>
      </c>
      <c r="Q315" s="17">
        <f>CHOOSE(CONTROL!$C$42, 15.3036, 15.3036) * CHOOSE(CONTROL!$C$21, $C$9, 100%, $E$9)</f>
        <v>15.303599999999999</v>
      </c>
      <c r="R315" s="17">
        <f>CHOOSE(CONTROL!$C$42, 15.9289, 15.9289) * CHOOSE(CONTROL!$C$21, $C$9, 100%, $E$9)</f>
        <v>15.928900000000001</v>
      </c>
      <c r="S315" s="17">
        <f>CHOOSE(CONTROL!$C$42, 14.2355, 14.2355) * CHOOSE(CONTROL!$C$21, $C$9, 100%, $E$9)</f>
        <v>14.2355</v>
      </c>
      <c r="T31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15" s="56">
        <f>(1000*CHOOSE(CONTROL!$C$42, 695, 695)*CHOOSE(CONTROL!$C$42, 0.5599, 0.5599)*CHOOSE(CONTROL!$C$42, 31, 31))/1000000</f>
        <v>12.063045499999998</v>
      </c>
      <c r="V315" s="56">
        <f>(1000*CHOOSE(CONTROL!$C$42, 500, 500)*CHOOSE(CONTROL!$C$42, 0.275, 0.275)*CHOOSE(CONTROL!$C$42, 31, 31))/1000000</f>
        <v>4.2625000000000002</v>
      </c>
      <c r="W315" s="56">
        <f>(1000*CHOOSE(CONTROL!$C$42, 0.1146, 0.1146)*CHOOSE(CONTROL!$C$42, 121.5, 121.5)*CHOOSE(CONTROL!$C$42, 31, 31))/1000000</f>
        <v>0.43164089999999994</v>
      </c>
      <c r="X315" s="56">
        <f>(31*0.2374*100000/1000000)</f>
        <v>0.73594000000000004</v>
      </c>
      <c r="Y315" s="56"/>
      <c r="Z315" s="17"/>
      <c r="AA315" s="55"/>
      <c r="AB315" s="48">
        <f>(B315*122.58+C315*297.941+D315*89.177+E315*140.302+F315*40+G315*60+H315*0+I315*100+J315*300)/(122.58+297.941+89.177+140.302+0+40+60+100+300)</f>
        <v>14.865804742434785</v>
      </c>
      <c r="AC315" s="45">
        <f>(M315*'RAP TEMPLATE-GAS AVAILABILITY'!O314+N315*'RAP TEMPLATE-GAS AVAILABILITY'!P314+O315*'RAP TEMPLATE-GAS AVAILABILITY'!Q314+P315*'RAP TEMPLATE-GAS AVAILABILITY'!R314)/('RAP TEMPLATE-GAS AVAILABILITY'!O314+'RAP TEMPLATE-GAS AVAILABILITY'!P314+'RAP TEMPLATE-GAS AVAILABILITY'!Q314+'RAP TEMPLATE-GAS AVAILABILITY'!R314)</f>
        <v>14.645835251798561</v>
      </c>
    </row>
    <row r="316" spans="1:29" ht="15.75" x14ac:dyDescent="0.25">
      <c r="A316" s="14">
        <v>50525</v>
      </c>
      <c r="B316" s="17">
        <f>CHOOSE(CONTROL!$C$42, 14.7803, 14.7803) * CHOOSE(CONTROL!$C$21, $C$9, 100%, $E$9)</f>
        <v>14.7803</v>
      </c>
      <c r="C316" s="17">
        <f>CHOOSE(CONTROL!$C$42, 14.7848, 14.7848) * CHOOSE(CONTROL!$C$21, $C$9, 100%, $E$9)</f>
        <v>14.784800000000001</v>
      </c>
      <c r="D316" s="17">
        <f>CHOOSE(CONTROL!$C$42, 15.059, 15.059) * CHOOSE(CONTROL!$C$21, $C$9, 100%, $E$9)</f>
        <v>15.058999999999999</v>
      </c>
      <c r="E316" s="17">
        <f>CHOOSE(CONTROL!$C$42, 15.0911, 15.0911) * CHOOSE(CONTROL!$C$21, $C$9, 100%, $E$9)</f>
        <v>15.091100000000001</v>
      </c>
      <c r="F316" s="17">
        <f>CHOOSE(CONTROL!$C$42, 14.7997, 14.7997)*CHOOSE(CONTROL!$C$21, $C$9, 100%, $E$9)</f>
        <v>14.7997</v>
      </c>
      <c r="G316" s="17">
        <f>CHOOSE(CONTROL!$C$42, 14.816, 14.816)*CHOOSE(CONTROL!$C$21, $C$9, 100%, $E$9)</f>
        <v>14.816000000000001</v>
      </c>
      <c r="H316" s="17">
        <f>CHOOSE(CONTROL!$C$42, 15.0809, 15.0809) * CHOOSE(CONTROL!$C$21, $C$9, 100%, $E$9)</f>
        <v>15.0809</v>
      </c>
      <c r="I316" s="17">
        <f>CHOOSE(CONTROL!$C$42, 14.8479, 14.8479)* CHOOSE(CONTROL!$C$21, $C$9, 100%, $E$9)</f>
        <v>14.847899999999999</v>
      </c>
      <c r="J316" s="17">
        <f>CHOOSE(CONTROL!$C$42, 14.7927, 14.7927)* CHOOSE(CONTROL!$C$21, $C$9, 100%, $E$9)</f>
        <v>14.7927</v>
      </c>
      <c r="K316" s="52">
        <f>CHOOSE(CONTROL!$C$42, 14.8437, 14.8437) * CHOOSE(CONTROL!$C$21, $C$9, 100%, $E$9)</f>
        <v>14.8437</v>
      </c>
      <c r="L316" s="17">
        <f>CHOOSE(CONTROL!$C$42, 15.6679, 15.6679) * CHOOSE(CONTROL!$C$21, $C$9, 100%, $E$9)</f>
        <v>15.667899999999999</v>
      </c>
      <c r="M316" s="17">
        <f>CHOOSE(CONTROL!$C$42, 14.5343, 14.5343) * CHOOSE(CONTROL!$C$21, $C$9, 100%, $E$9)</f>
        <v>14.5343</v>
      </c>
      <c r="N316" s="17">
        <f>CHOOSE(CONTROL!$C$42, 14.5503, 14.5503) * CHOOSE(CONTROL!$C$21, $C$9, 100%, $E$9)</f>
        <v>14.5503</v>
      </c>
      <c r="O316" s="17">
        <f>CHOOSE(CONTROL!$C$42, 14.8174, 14.8174) * CHOOSE(CONTROL!$C$21, $C$9, 100%, $E$9)</f>
        <v>14.817399999999999</v>
      </c>
      <c r="P316" s="17">
        <f>CHOOSE(CONTROL!$C$42, 14.5878, 14.5878) * CHOOSE(CONTROL!$C$21, $C$9, 100%, $E$9)</f>
        <v>14.5878</v>
      </c>
      <c r="Q316" s="17">
        <f>CHOOSE(CONTROL!$C$42, 15.4121, 15.4121) * CHOOSE(CONTROL!$C$21, $C$9, 100%, $E$9)</f>
        <v>15.412100000000001</v>
      </c>
      <c r="R316" s="17">
        <f>CHOOSE(CONTROL!$C$42, 16.0376, 16.0376) * CHOOSE(CONTROL!$C$21, $C$9, 100%, $E$9)</f>
        <v>16.037600000000001</v>
      </c>
      <c r="S316" s="17">
        <f>CHOOSE(CONTROL!$C$42, 14.1931, 14.1931) * CHOOSE(CONTROL!$C$21, $C$9, 100%, $E$9)</f>
        <v>14.193099999999999</v>
      </c>
      <c r="T31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16" s="56">
        <f>(1000*CHOOSE(CONTROL!$C$42, 695, 695)*CHOOSE(CONTROL!$C$42, 0.5599, 0.5599)*CHOOSE(CONTROL!$C$42, 30, 30))/1000000</f>
        <v>11.673914999999997</v>
      </c>
      <c r="V316" s="56">
        <f>(1000*CHOOSE(CONTROL!$C$42, 500, 500)*CHOOSE(CONTROL!$C$42, 0.275, 0.275)*CHOOSE(CONTROL!$C$42, 30, 30))/1000000</f>
        <v>4.125</v>
      </c>
      <c r="W316" s="56">
        <f>(1000*CHOOSE(CONTROL!$C$42, 0.1146, 0.1146)*CHOOSE(CONTROL!$C$42, 121.5, 121.5)*CHOOSE(CONTROL!$C$42, 30, 30))/1000000</f>
        <v>0.417717</v>
      </c>
      <c r="X316" s="56">
        <f>(30*0.1790888*145000/1000000)+(30*0.2374*100000/1000000)</f>
        <v>1.4912362799999999</v>
      </c>
      <c r="Y316" s="56"/>
      <c r="Z316" s="17"/>
      <c r="AA316" s="55"/>
      <c r="AB316" s="48">
        <f>(B316*141.293+C316*267.993+D316*115.016+E316*189.698+F316*40+G316*85+H316*0+I316*100+J316*300)/(141.293+267.993+115.016+189.698+0+40+85+100+300)</f>
        <v>14.866264137288136</v>
      </c>
      <c r="AC316" s="45">
        <f>(M316*'RAP TEMPLATE-GAS AVAILABILITY'!O315+N316*'RAP TEMPLATE-GAS AVAILABILITY'!P315+O316*'RAP TEMPLATE-GAS AVAILABILITY'!Q315+P316*'RAP TEMPLATE-GAS AVAILABILITY'!R315)/('RAP TEMPLATE-GAS AVAILABILITY'!O315+'RAP TEMPLATE-GAS AVAILABILITY'!P315+'RAP TEMPLATE-GAS AVAILABILITY'!Q315+'RAP TEMPLATE-GAS AVAILABILITY'!R315)</f>
        <v>14.625112230215827</v>
      </c>
    </row>
    <row r="317" spans="1:29" ht="15.75" x14ac:dyDescent="0.25">
      <c r="A317" s="14">
        <v>50556</v>
      </c>
      <c r="B317" s="17">
        <f>CHOOSE(CONTROL!$C$42, 14.9121, 14.9121) * CHOOSE(CONTROL!$C$21, $C$9, 100%, $E$9)</f>
        <v>14.912100000000001</v>
      </c>
      <c r="C317" s="17">
        <f>CHOOSE(CONTROL!$C$42, 14.9201, 14.9201) * CHOOSE(CONTROL!$C$21, $C$9, 100%, $E$9)</f>
        <v>14.9201</v>
      </c>
      <c r="D317" s="17">
        <f>CHOOSE(CONTROL!$C$42, 15.1912, 15.1912) * CHOOSE(CONTROL!$C$21, $C$9, 100%, $E$9)</f>
        <v>15.1912</v>
      </c>
      <c r="E317" s="17">
        <f>CHOOSE(CONTROL!$C$42, 15.2227, 15.2227) * CHOOSE(CONTROL!$C$21, $C$9, 100%, $E$9)</f>
        <v>15.2227</v>
      </c>
      <c r="F317" s="17">
        <f>CHOOSE(CONTROL!$C$42, 14.9303, 14.9303)*CHOOSE(CONTROL!$C$21, $C$9, 100%, $E$9)</f>
        <v>14.930300000000001</v>
      </c>
      <c r="G317" s="17">
        <f>CHOOSE(CONTROL!$C$42, 14.9469, 14.9469)*CHOOSE(CONTROL!$C$21, $C$9, 100%, $E$9)</f>
        <v>14.946899999999999</v>
      </c>
      <c r="H317" s="17">
        <f>CHOOSE(CONTROL!$C$42, 15.2113, 15.2113) * CHOOSE(CONTROL!$C$21, $C$9, 100%, $E$9)</f>
        <v>15.2113</v>
      </c>
      <c r="I317" s="17">
        <f>CHOOSE(CONTROL!$C$42, 14.9787, 14.9787)* CHOOSE(CONTROL!$C$21, $C$9, 100%, $E$9)</f>
        <v>14.9787</v>
      </c>
      <c r="J317" s="17">
        <f>CHOOSE(CONTROL!$C$42, 14.9233, 14.9233)* CHOOSE(CONTROL!$C$21, $C$9, 100%, $E$9)</f>
        <v>14.923299999999999</v>
      </c>
      <c r="K317" s="52">
        <f>CHOOSE(CONTROL!$C$42, 14.9744, 14.9744) * CHOOSE(CONTROL!$C$21, $C$9, 100%, $E$9)</f>
        <v>14.974399999999999</v>
      </c>
      <c r="L317" s="17">
        <f>CHOOSE(CONTROL!$C$42, 15.7983, 15.7983) * CHOOSE(CONTROL!$C$21, $C$9, 100%, $E$9)</f>
        <v>15.798299999999999</v>
      </c>
      <c r="M317" s="17">
        <f>CHOOSE(CONTROL!$C$42, 14.6625, 14.6625) * CHOOSE(CONTROL!$C$21, $C$9, 100%, $E$9)</f>
        <v>14.6625</v>
      </c>
      <c r="N317" s="17">
        <f>CHOOSE(CONTROL!$C$42, 14.6789, 14.6789) * CHOOSE(CONTROL!$C$21, $C$9, 100%, $E$9)</f>
        <v>14.678900000000001</v>
      </c>
      <c r="O317" s="17">
        <f>CHOOSE(CONTROL!$C$42, 14.9454, 14.9454) * CHOOSE(CONTROL!$C$21, $C$9, 100%, $E$9)</f>
        <v>14.945399999999999</v>
      </c>
      <c r="P317" s="17">
        <f>CHOOSE(CONTROL!$C$42, 14.7162, 14.7162) * CHOOSE(CONTROL!$C$21, $C$9, 100%, $E$9)</f>
        <v>14.716200000000001</v>
      </c>
      <c r="Q317" s="17">
        <f>CHOOSE(CONTROL!$C$42, 15.5401, 15.5401) * CHOOSE(CONTROL!$C$21, $C$9, 100%, $E$9)</f>
        <v>15.540100000000001</v>
      </c>
      <c r="R317" s="17">
        <f>CHOOSE(CONTROL!$C$42, 16.1659, 16.1659) * CHOOSE(CONTROL!$C$21, $C$9, 100%, $E$9)</f>
        <v>16.165900000000001</v>
      </c>
      <c r="S317" s="17">
        <f>CHOOSE(CONTROL!$C$42, 14.3184, 14.3184) * CHOOSE(CONTROL!$C$21, $C$9, 100%, $E$9)</f>
        <v>14.3184</v>
      </c>
      <c r="T31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17" s="56">
        <f>(1000*CHOOSE(CONTROL!$C$42, 695, 695)*CHOOSE(CONTROL!$C$42, 0.5599, 0.5599)*CHOOSE(CONTROL!$C$42, 31, 31))/1000000</f>
        <v>12.063045499999998</v>
      </c>
      <c r="V317" s="56">
        <f>(1000*CHOOSE(CONTROL!$C$42, 500, 500)*CHOOSE(CONTROL!$C$42, 0.275, 0.275)*CHOOSE(CONTROL!$C$42, 31, 31))/1000000</f>
        <v>4.2625000000000002</v>
      </c>
      <c r="W317" s="56">
        <f>(1000*CHOOSE(CONTROL!$C$42, 0.1146, 0.1146)*CHOOSE(CONTROL!$C$42, 121.5, 121.5)*CHOOSE(CONTROL!$C$42, 31, 31))/1000000</f>
        <v>0.43164089999999994</v>
      </c>
      <c r="X317" s="56">
        <f>(31*0.1790888*145000/1000000)+(31*0.2374*100000/1000000)</f>
        <v>1.5409441560000001</v>
      </c>
      <c r="Y317" s="56"/>
      <c r="Z317" s="17"/>
      <c r="AA317" s="55"/>
      <c r="AB317" s="48">
        <f>(B317*194.205+C317*267.466+D317*133.845+E317*153.484+F317*40+G317*85+H317*0+I317*100+J317*300)/(194.205+267.466+133.845+153.484+0+40+85+100+300)</f>
        <v>14.991278962244897</v>
      </c>
      <c r="AC317" s="45">
        <f>(M317*'RAP TEMPLATE-GAS AVAILABILITY'!O316+N317*'RAP TEMPLATE-GAS AVAILABILITY'!P316+O317*'RAP TEMPLATE-GAS AVAILABILITY'!Q316+P317*'RAP TEMPLATE-GAS AVAILABILITY'!R316)/('RAP TEMPLATE-GAS AVAILABILITY'!O316+'RAP TEMPLATE-GAS AVAILABILITY'!P316+'RAP TEMPLATE-GAS AVAILABILITY'!Q316+'RAP TEMPLATE-GAS AVAILABILITY'!R316)</f>
        <v>14.753376978417267</v>
      </c>
    </row>
    <row r="318" spans="1:29" ht="15.75" x14ac:dyDescent="0.25">
      <c r="A318" s="14">
        <v>50586</v>
      </c>
      <c r="B318" s="17">
        <f>CHOOSE(CONTROL!$C$42, 15.3348, 15.3348) * CHOOSE(CONTROL!$C$21, $C$9, 100%, $E$9)</f>
        <v>15.3348</v>
      </c>
      <c r="C318" s="17">
        <f>CHOOSE(CONTROL!$C$42, 15.3428, 15.3428) * CHOOSE(CONTROL!$C$21, $C$9, 100%, $E$9)</f>
        <v>15.3428</v>
      </c>
      <c r="D318" s="17">
        <f>CHOOSE(CONTROL!$C$42, 15.6138, 15.6138) * CHOOSE(CONTROL!$C$21, $C$9, 100%, $E$9)</f>
        <v>15.613799999999999</v>
      </c>
      <c r="E318" s="17">
        <f>CHOOSE(CONTROL!$C$42, 15.6453, 15.6453) * CHOOSE(CONTROL!$C$21, $C$9, 100%, $E$9)</f>
        <v>15.645300000000001</v>
      </c>
      <c r="F318" s="17">
        <f>CHOOSE(CONTROL!$C$42, 15.3532, 15.3532)*CHOOSE(CONTROL!$C$21, $C$9, 100%, $E$9)</f>
        <v>15.353199999999999</v>
      </c>
      <c r="G318" s="17">
        <f>CHOOSE(CONTROL!$C$42, 15.3699, 15.3699)*CHOOSE(CONTROL!$C$21, $C$9, 100%, $E$9)</f>
        <v>15.369899999999999</v>
      </c>
      <c r="H318" s="17">
        <f>CHOOSE(CONTROL!$C$42, 15.6339, 15.6339) * CHOOSE(CONTROL!$C$21, $C$9, 100%, $E$9)</f>
        <v>15.633900000000001</v>
      </c>
      <c r="I318" s="17">
        <f>CHOOSE(CONTROL!$C$42, 15.4027, 15.4027)* CHOOSE(CONTROL!$C$21, $C$9, 100%, $E$9)</f>
        <v>15.402699999999999</v>
      </c>
      <c r="J318" s="17">
        <f>CHOOSE(CONTROL!$C$42, 15.3462, 15.3462)* CHOOSE(CONTROL!$C$21, $C$9, 100%, $E$9)</f>
        <v>15.3462</v>
      </c>
      <c r="K318" s="52">
        <f>CHOOSE(CONTROL!$C$42, 15.3984, 15.3984) * CHOOSE(CONTROL!$C$21, $C$9, 100%, $E$9)</f>
        <v>15.398400000000001</v>
      </c>
      <c r="L318" s="17">
        <f>CHOOSE(CONTROL!$C$42, 16.2209, 16.2209) * CHOOSE(CONTROL!$C$21, $C$9, 100%, $E$9)</f>
        <v>16.2209</v>
      </c>
      <c r="M318" s="17">
        <f>CHOOSE(CONTROL!$C$42, 15.0779, 15.0779) * CHOOSE(CONTROL!$C$21, $C$9, 100%, $E$9)</f>
        <v>15.0779</v>
      </c>
      <c r="N318" s="17">
        <f>CHOOSE(CONTROL!$C$42, 15.0943, 15.0943) * CHOOSE(CONTROL!$C$21, $C$9, 100%, $E$9)</f>
        <v>15.0943</v>
      </c>
      <c r="O318" s="17">
        <f>CHOOSE(CONTROL!$C$42, 15.3604, 15.3604) * CHOOSE(CONTROL!$C$21, $C$9, 100%, $E$9)</f>
        <v>15.3604</v>
      </c>
      <c r="P318" s="17">
        <f>CHOOSE(CONTROL!$C$42, 15.1325, 15.1325) * CHOOSE(CONTROL!$C$21, $C$9, 100%, $E$9)</f>
        <v>15.1325</v>
      </c>
      <c r="Q318" s="17">
        <f>CHOOSE(CONTROL!$C$42, 15.9551, 15.9551) * CHOOSE(CONTROL!$C$21, $C$9, 100%, $E$9)</f>
        <v>15.9551</v>
      </c>
      <c r="R318" s="17">
        <f>CHOOSE(CONTROL!$C$42, 16.582, 16.582) * CHOOSE(CONTROL!$C$21, $C$9, 100%, $E$9)</f>
        <v>16.582000000000001</v>
      </c>
      <c r="S318" s="17">
        <f>CHOOSE(CONTROL!$C$42, 14.7245, 14.7245) * CHOOSE(CONTROL!$C$21, $C$9, 100%, $E$9)</f>
        <v>14.724500000000001</v>
      </c>
      <c r="T31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18" s="56">
        <f>(1000*CHOOSE(CONTROL!$C$42, 695, 695)*CHOOSE(CONTROL!$C$42, 0.5599, 0.5599)*CHOOSE(CONTROL!$C$42, 30, 30))/1000000</f>
        <v>11.673914999999997</v>
      </c>
      <c r="V318" s="56">
        <f>(1000*CHOOSE(CONTROL!$C$42, 500, 500)*CHOOSE(CONTROL!$C$42, 0.275, 0.275)*CHOOSE(CONTROL!$C$42, 30, 30))/1000000</f>
        <v>4.125</v>
      </c>
      <c r="W318" s="56">
        <f>(1000*CHOOSE(CONTROL!$C$42, 0.1146, 0.1146)*CHOOSE(CONTROL!$C$42, 121.5, 121.5)*CHOOSE(CONTROL!$C$42, 30, 30))/1000000</f>
        <v>0.417717</v>
      </c>
      <c r="X318" s="56">
        <f>(30*0.1790888*145000/1000000)+(30*0.2374*100000/1000000)</f>
        <v>1.4912362799999999</v>
      </c>
      <c r="Y318" s="56"/>
      <c r="Z318" s="17"/>
      <c r="AA318" s="55"/>
      <c r="AB318" s="48">
        <f>(B318*194.205+C318*267.466+D318*133.845+E318*153.484+F318*40+G318*85+H318*0+I318*100+J318*300)/(194.205+267.466+133.845+153.484+0+40+85+100+300)</f>
        <v>15.414131840659342</v>
      </c>
      <c r="AC318" s="45">
        <f>(M318*'RAP TEMPLATE-GAS AVAILABILITY'!O317+N318*'RAP TEMPLATE-GAS AVAILABILITY'!P317+O318*'RAP TEMPLATE-GAS AVAILABILITY'!Q317+P318*'RAP TEMPLATE-GAS AVAILABILITY'!R317)/('RAP TEMPLATE-GAS AVAILABILITY'!O317+'RAP TEMPLATE-GAS AVAILABILITY'!P317+'RAP TEMPLATE-GAS AVAILABILITY'!Q317+'RAP TEMPLATE-GAS AVAILABILITY'!R317)</f>
        <v>15.168794244604316</v>
      </c>
    </row>
    <row r="319" spans="1:29" ht="15.75" x14ac:dyDescent="0.25">
      <c r="A319" s="14">
        <v>50617</v>
      </c>
      <c r="B319" s="17">
        <f>CHOOSE(CONTROL!$C$42, 15.0408, 15.0408) * CHOOSE(CONTROL!$C$21, $C$9, 100%, $E$9)</f>
        <v>15.040800000000001</v>
      </c>
      <c r="C319" s="17">
        <f>CHOOSE(CONTROL!$C$42, 15.0488, 15.0488) * CHOOSE(CONTROL!$C$21, $C$9, 100%, $E$9)</f>
        <v>15.0488</v>
      </c>
      <c r="D319" s="17">
        <f>CHOOSE(CONTROL!$C$42, 15.3199, 15.3199) * CHOOSE(CONTROL!$C$21, $C$9, 100%, $E$9)</f>
        <v>15.319900000000001</v>
      </c>
      <c r="E319" s="17">
        <f>CHOOSE(CONTROL!$C$42, 15.3513, 15.3513) * CHOOSE(CONTROL!$C$21, $C$9, 100%, $E$9)</f>
        <v>15.3513</v>
      </c>
      <c r="F319" s="17">
        <f>CHOOSE(CONTROL!$C$42, 15.0597, 15.0597)*CHOOSE(CONTROL!$C$21, $C$9, 100%, $E$9)</f>
        <v>15.059699999999999</v>
      </c>
      <c r="G319" s="17">
        <f>CHOOSE(CONTROL!$C$42, 15.0765, 15.0765)*CHOOSE(CONTROL!$C$21, $C$9, 100%, $E$9)</f>
        <v>15.076499999999999</v>
      </c>
      <c r="H319" s="17">
        <f>CHOOSE(CONTROL!$C$42, 15.34, 15.34) * CHOOSE(CONTROL!$C$21, $C$9, 100%, $E$9)</f>
        <v>15.34</v>
      </c>
      <c r="I319" s="17">
        <f>CHOOSE(CONTROL!$C$42, 15.1078, 15.1078)* CHOOSE(CONTROL!$C$21, $C$9, 100%, $E$9)</f>
        <v>15.107799999999999</v>
      </c>
      <c r="J319" s="17">
        <f>CHOOSE(CONTROL!$C$42, 15.0527, 15.0527)* CHOOSE(CONTROL!$C$21, $C$9, 100%, $E$9)</f>
        <v>15.0527</v>
      </c>
      <c r="K319" s="52">
        <f>CHOOSE(CONTROL!$C$42, 15.1035, 15.1035) * CHOOSE(CONTROL!$C$21, $C$9, 100%, $E$9)</f>
        <v>15.1035</v>
      </c>
      <c r="L319" s="17">
        <f>CHOOSE(CONTROL!$C$42, 15.927, 15.927) * CHOOSE(CONTROL!$C$21, $C$9, 100%, $E$9)</f>
        <v>15.927</v>
      </c>
      <c r="M319" s="17">
        <f>CHOOSE(CONTROL!$C$42, 14.7896, 14.7896) * CHOOSE(CONTROL!$C$21, $C$9, 100%, $E$9)</f>
        <v>14.7896</v>
      </c>
      <c r="N319" s="17">
        <f>CHOOSE(CONTROL!$C$42, 14.8061, 14.8061) * CHOOSE(CONTROL!$C$21, $C$9, 100%, $E$9)</f>
        <v>14.806100000000001</v>
      </c>
      <c r="O319" s="17">
        <f>CHOOSE(CONTROL!$C$42, 15.0718, 15.0718) * CHOOSE(CONTROL!$C$21, $C$9, 100%, $E$9)</f>
        <v>15.0718</v>
      </c>
      <c r="P319" s="17">
        <f>CHOOSE(CONTROL!$C$42, 14.843, 14.843) * CHOOSE(CONTROL!$C$21, $C$9, 100%, $E$9)</f>
        <v>14.843</v>
      </c>
      <c r="Q319" s="17">
        <f>CHOOSE(CONTROL!$C$42, 15.6665, 15.6665) * CHOOSE(CONTROL!$C$21, $C$9, 100%, $E$9)</f>
        <v>15.666499999999999</v>
      </c>
      <c r="R319" s="17">
        <f>CHOOSE(CONTROL!$C$42, 16.2926, 16.2926) * CHOOSE(CONTROL!$C$21, $C$9, 100%, $E$9)</f>
        <v>16.2926</v>
      </c>
      <c r="S319" s="17">
        <f>CHOOSE(CONTROL!$C$42, 14.4421, 14.4421) * CHOOSE(CONTROL!$C$21, $C$9, 100%, $E$9)</f>
        <v>14.4421</v>
      </c>
      <c r="T31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19" s="56">
        <f>(1000*CHOOSE(CONTROL!$C$42, 695, 695)*CHOOSE(CONTROL!$C$42, 0.5599, 0.5599)*CHOOSE(CONTROL!$C$42, 31, 31))/1000000</f>
        <v>12.063045499999998</v>
      </c>
      <c r="V319" s="56">
        <f>(1000*CHOOSE(CONTROL!$C$42, 500, 500)*CHOOSE(CONTROL!$C$42, 0.275, 0.275)*CHOOSE(CONTROL!$C$42, 31, 31))/1000000</f>
        <v>4.2625000000000002</v>
      </c>
      <c r="W319" s="56">
        <f>(1000*CHOOSE(CONTROL!$C$42, 0.1146, 0.1146)*CHOOSE(CONTROL!$C$42, 121.5, 121.5)*CHOOSE(CONTROL!$C$42, 31, 31))/1000000</f>
        <v>0.43164089999999994</v>
      </c>
      <c r="X319" s="56">
        <f>(31*0.1790888*145000/1000000)+(31*0.2374*100000/1000000)</f>
        <v>1.5409441560000001</v>
      </c>
      <c r="Y319" s="56"/>
      <c r="Z319" s="17"/>
      <c r="AA319" s="55"/>
      <c r="AB319" s="48">
        <f>(B319*194.205+C319*267.466+D319*133.845+E319*153.484+F319*40+G319*85+H319*0+I319*100+J319*300)/(194.205+267.466+133.845+153.484+0+40+85+100+300)</f>
        <v>15.120245172291995</v>
      </c>
      <c r="AC319" s="45">
        <f>(M319*'RAP TEMPLATE-GAS AVAILABILITY'!O318+N319*'RAP TEMPLATE-GAS AVAILABILITY'!P318+O319*'RAP TEMPLATE-GAS AVAILABILITY'!Q318+P319*'RAP TEMPLATE-GAS AVAILABILITY'!R318)/('RAP TEMPLATE-GAS AVAILABILITY'!O318+'RAP TEMPLATE-GAS AVAILABILITY'!P318+'RAP TEMPLATE-GAS AVAILABILITY'!Q318+'RAP TEMPLATE-GAS AVAILABILITY'!R318)</f>
        <v>14.880260431654674</v>
      </c>
    </row>
    <row r="320" spans="1:29" ht="15.75" x14ac:dyDescent="0.25">
      <c r="A320" s="14">
        <v>50648</v>
      </c>
      <c r="B320" s="17">
        <f>CHOOSE(CONTROL!$C$42, 14.2984, 14.2984) * CHOOSE(CONTROL!$C$21, $C$9, 100%, $E$9)</f>
        <v>14.298400000000001</v>
      </c>
      <c r="C320" s="17">
        <f>CHOOSE(CONTROL!$C$42, 14.3065, 14.3065) * CHOOSE(CONTROL!$C$21, $C$9, 100%, $E$9)</f>
        <v>14.3065</v>
      </c>
      <c r="D320" s="17">
        <f>CHOOSE(CONTROL!$C$42, 14.5775, 14.5775) * CHOOSE(CONTROL!$C$21, $C$9, 100%, $E$9)</f>
        <v>14.577500000000001</v>
      </c>
      <c r="E320" s="17">
        <f>CHOOSE(CONTROL!$C$42, 14.609, 14.609) * CHOOSE(CONTROL!$C$21, $C$9, 100%, $E$9)</f>
        <v>14.609</v>
      </c>
      <c r="F320" s="17">
        <f>CHOOSE(CONTROL!$C$42, 14.3176, 14.3176)*CHOOSE(CONTROL!$C$21, $C$9, 100%, $E$9)</f>
        <v>14.317600000000001</v>
      </c>
      <c r="G320" s="17">
        <f>CHOOSE(CONTROL!$C$42, 14.3345, 14.3345)*CHOOSE(CONTROL!$C$21, $C$9, 100%, $E$9)</f>
        <v>14.3345</v>
      </c>
      <c r="H320" s="17">
        <f>CHOOSE(CONTROL!$C$42, 14.5976, 14.5976) * CHOOSE(CONTROL!$C$21, $C$9, 100%, $E$9)</f>
        <v>14.5976</v>
      </c>
      <c r="I320" s="17">
        <f>CHOOSE(CONTROL!$C$42, 14.3631, 14.3631)* CHOOSE(CONTROL!$C$21, $C$9, 100%, $E$9)</f>
        <v>14.363099999999999</v>
      </c>
      <c r="J320" s="17">
        <f>CHOOSE(CONTROL!$C$42, 14.3106, 14.3106)* CHOOSE(CONTROL!$C$21, $C$9, 100%, $E$9)</f>
        <v>14.310600000000001</v>
      </c>
      <c r="K320" s="52">
        <f>CHOOSE(CONTROL!$C$42, 14.3589, 14.3589) * CHOOSE(CONTROL!$C$21, $C$9, 100%, $E$9)</f>
        <v>14.3589</v>
      </c>
      <c r="L320" s="17">
        <f>CHOOSE(CONTROL!$C$42, 15.1846, 15.1846) * CHOOSE(CONTROL!$C$21, $C$9, 100%, $E$9)</f>
        <v>15.1846</v>
      </c>
      <c r="M320" s="17">
        <f>CHOOSE(CONTROL!$C$42, 14.0609, 14.0609) * CHOOSE(CONTROL!$C$21, $C$9, 100%, $E$9)</f>
        <v>14.0609</v>
      </c>
      <c r="N320" s="17">
        <f>CHOOSE(CONTROL!$C$42, 14.0774, 14.0774) * CHOOSE(CONTROL!$C$21, $C$9, 100%, $E$9)</f>
        <v>14.077400000000001</v>
      </c>
      <c r="O320" s="17">
        <f>CHOOSE(CONTROL!$C$42, 14.3428, 14.3428) * CHOOSE(CONTROL!$C$21, $C$9, 100%, $E$9)</f>
        <v>14.3428</v>
      </c>
      <c r="P320" s="17">
        <f>CHOOSE(CONTROL!$C$42, 14.1117, 14.1117) * CHOOSE(CONTROL!$C$21, $C$9, 100%, $E$9)</f>
        <v>14.111700000000001</v>
      </c>
      <c r="Q320" s="17">
        <f>CHOOSE(CONTROL!$C$42, 14.9375, 14.9375) * CHOOSE(CONTROL!$C$21, $C$9, 100%, $E$9)</f>
        <v>14.9375</v>
      </c>
      <c r="R320" s="17">
        <f>CHOOSE(CONTROL!$C$42, 15.5618, 15.5618) * CHOOSE(CONTROL!$C$21, $C$9, 100%, $E$9)</f>
        <v>15.5618</v>
      </c>
      <c r="S320" s="17">
        <f>CHOOSE(CONTROL!$C$42, 13.7287, 13.7287) * CHOOSE(CONTROL!$C$21, $C$9, 100%, $E$9)</f>
        <v>13.7287</v>
      </c>
      <c r="T32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20" s="56">
        <f>(1000*CHOOSE(CONTROL!$C$42, 695, 695)*CHOOSE(CONTROL!$C$42, 0.5599, 0.5599)*CHOOSE(CONTROL!$C$42, 31, 31))/1000000</f>
        <v>12.063045499999998</v>
      </c>
      <c r="V320" s="56">
        <f>(1000*CHOOSE(CONTROL!$C$42, 500, 500)*CHOOSE(CONTROL!$C$42, 0.275, 0.275)*CHOOSE(CONTROL!$C$42, 31, 31))/1000000</f>
        <v>4.2625000000000002</v>
      </c>
      <c r="W320" s="56">
        <f>(1000*CHOOSE(CONTROL!$C$42, 0.1146, 0.1146)*CHOOSE(CONTROL!$C$42, 121.5, 121.5)*CHOOSE(CONTROL!$C$42, 31, 31))/1000000</f>
        <v>0.43164089999999994</v>
      </c>
      <c r="X320" s="56">
        <f>(31*0.1790888*145000/1000000)+(31*0.2374*100000/1000000)</f>
        <v>1.5409441560000001</v>
      </c>
      <c r="Y320" s="56"/>
      <c r="Z320" s="17"/>
      <c r="AA320" s="55"/>
      <c r="AB320" s="48">
        <f>(B320*194.205+C320*267.466+D320*133.845+E320*153.484+F320*40+G320*85+H320*0+I320*100+J320*300)/(194.205+267.466+133.845+153.484+0+40+85+100+300)</f>
        <v>14.37780443053375</v>
      </c>
      <c r="AC320" s="45">
        <f>(M320*'RAP TEMPLATE-GAS AVAILABILITY'!O319+N320*'RAP TEMPLATE-GAS AVAILABILITY'!P319+O320*'RAP TEMPLATE-GAS AVAILABILITY'!Q319+P320*'RAP TEMPLATE-GAS AVAILABILITY'!R319)/('RAP TEMPLATE-GAS AVAILABILITY'!O319+'RAP TEMPLATE-GAS AVAILABILITY'!P319+'RAP TEMPLATE-GAS AVAILABILITY'!Q319+'RAP TEMPLATE-GAS AVAILABILITY'!R319)</f>
        <v>14.15110215827338</v>
      </c>
    </row>
    <row r="321" spans="1:29" ht="15.75" x14ac:dyDescent="0.25">
      <c r="A321" s="14">
        <v>50678</v>
      </c>
      <c r="B321" s="17">
        <f>CHOOSE(CONTROL!$C$42, 13.3912, 13.3912) * CHOOSE(CONTROL!$C$21, $C$9, 100%, $E$9)</f>
        <v>13.3912</v>
      </c>
      <c r="C321" s="17">
        <f>CHOOSE(CONTROL!$C$42, 13.3992, 13.3992) * CHOOSE(CONTROL!$C$21, $C$9, 100%, $E$9)</f>
        <v>13.3992</v>
      </c>
      <c r="D321" s="17">
        <f>CHOOSE(CONTROL!$C$42, 13.6703, 13.6703) * CHOOSE(CONTROL!$C$21, $C$9, 100%, $E$9)</f>
        <v>13.670299999999999</v>
      </c>
      <c r="E321" s="17">
        <f>CHOOSE(CONTROL!$C$42, 13.7018, 13.7018) * CHOOSE(CONTROL!$C$21, $C$9, 100%, $E$9)</f>
        <v>13.7018</v>
      </c>
      <c r="F321" s="17">
        <f>CHOOSE(CONTROL!$C$42, 13.4104, 13.4104)*CHOOSE(CONTROL!$C$21, $C$9, 100%, $E$9)</f>
        <v>13.410399999999999</v>
      </c>
      <c r="G321" s="17">
        <f>CHOOSE(CONTROL!$C$42, 13.4273, 13.4273)*CHOOSE(CONTROL!$C$21, $C$9, 100%, $E$9)</f>
        <v>13.427300000000001</v>
      </c>
      <c r="H321" s="17">
        <f>CHOOSE(CONTROL!$C$42, 13.6904, 13.6904) * CHOOSE(CONTROL!$C$21, $C$9, 100%, $E$9)</f>
        <v>13.6904</v>
      </c>
      <c r="I321" s="17">
        <f>CHOOSE(CONTROL!$C$42, 13.453, 13.453)* CHOOSE(CONTROL!$C$21, $C$9, 100%, $E$9)</f>
        <v>13.452999999999999</v>
      </c>
      <c r="J321" s="17">
        <f>CHOOSE(CONTROL!$C$42, 13.4034, 13.4034)* CHOOSE(CONTROL!$C$21, $C$9, 100%, $E$9)</f>
        <v>13.4034</v>
      </c>
      <c r="K321" s="52">
        <f>CHOOSE(CONTROL!$C$42, 13.4488, 13.4488) * CHOOSE(CONTROL!$C$21, $C$9, 100%, $E$9)</f>
        <v>13.4488</v>
      </c>
      <c r="L321" s="17">
        <f>CHOOSE(CONTROL!$C$42, 14.2774, 14.2774) * CHOOSE(CONTROL!$C$21, $C$9, 100%, $E$9)</f>
        <v>14.2774</v>
      </c>
      <c r="M321" s="17">
        <f>CHOOSE(CONTROL!$C$42, 13.17, 13.17) * CHOOSE(CONTROL!$C$21, $C$9, 100%, $E$9)</f>
        <v>13.17</v>
      </c>
      <c r="N321" s="17">
        <f>CHOOSE(CONTROL!$C$42, 13.1866, 13.1866) * CHOOSE(CONTROL!$C$21, $C$9, 100%, $E$9)</f>
        <v>13.1866</v>
      </c>
      <c r="O321" s="17">
        <f>CHOOSE(CONTROL!$C$42, 13.4518, 13.4518) * CHOOSE(CONTROL!$C$21, $C$9, 100%, $E$9)</f>
        <v>13.4518</v>
      </c>
      <c r="P321" s="17">
        <f>CHOOSE(CONTROL!$C$42, 13.2181, 13.2181) * CHOOSE(CONTROL!$C$21, $C$9, 100%, $E$9)</f>
        <v>13.2181</v>
      </c>
      <c r="Q321" s="17">
        <f>CHOOSE(CONTROL!$C$42, 14.0465, 14.0465) * CHOOSE(CONTROL!$C$21, $C$9, 100%, $E$9)</f>
        <v>14.0465</v>
      </c>
      <c r="R321" s="17">
        <f>CHOOSE(CONTROL!$C$42, 14.6686, 14.6686) * CHOOSE(CONTROL!$C$21, $C$9, 100%, $E$9)</f>
        <v>14.6686</v>
      </c>
      <c r="S321" s="17">
        <f>CHOOSE(CONTROL!$C$42, 12.857, 12.857) * CHOOSE(CONTROL!$C$21, $C$9, 100%, $E$9)</f>
        <v>12.856999999999999</v>
      </c>
      <c r="T32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21" s="56">
        <f>(1000*CHOOSE(CONTROL!$C$42, 695, 695)*CHOOSE(CONTROL!$C$42, 0.5599, 0.5599)*CHOOSE(CONTROL!$C$42, 30, 30))/1000000</f>
        <v>11.673914999999997</v>
      </c>
      <c r="V321" s="56">
        <f>(1000*CHOOSE(CONTROL!$C$42, 500, 500)*CHOOSE(CONTROL!$C$42, 0.275, 0.275)*CHOOSE(CONTROL!$C$42, 30, 30))/1000000</f>
        <v>4.125</v>
      </c>
      <c r="W321" s="56">
        <f>(1000*CHOOSE(CONTROL!$C$42, 0.1146, 0.1146)*CHOOSE(CONTROL!$C$42, 121.5, 121.5)*CHOOSE(CONTROL!$C$42, 30, 30))/1000000</f>
        <v>0.417717</v>
      </c>
      <c r="X321" s="56">
        <f>(30*0.1790888*145000/1000000)+(30*0.2374*100000/1000000)</f>
        <v>1.4912362799999999</v>
      </c>
      <c r="Y321" s="56"/>
      <c r="Z321" s="17"/>
      <c r="AA321" s="55"/>
      <c r="AB321" s="48">
        <f>(B321*194.205+C321*267.466+D321*133.845+E321*153.484+F321*40+G321*85+H321*0+I321*100+J321*300)/(194.205+267.466+133.845+153.484+0+40+85+100+300)</f>
        <v>13.470355806828884</v>
      </c>
      <c r="AC321" s="45">
        <f>(M321*'RAP TEMPLATE-GAS AVAILABILITY'!O320+N321*'RAP TEMPLATE-GAS AVAILABILITY'!P320+O321*'RAP TEMPLATE-GAS AVAILABILITY'!Q320+P321*'RAP TEMPLATE-GAS AVAILABILITY'!R320)/('RAP TEMPLATE-GAS AVAILABILITY'!O320+'RAP TEMPLATE-GAS AVAILABILITY'!P320+'RAP TEMPLATE-GAS AVAILABILITY'!Q320+'RAP TEMPLATE-GAS AVAILABILITY'!R320)</f>
        <v>13.259808633093526</v>
      </c>
    </row>
    <row r="322" spans="1:29" ht="15.75" x14ac:dyDescent="0.25">
      <c r="A322" s="14">
        <v>50709</v>
      </c>
      <c r="B322" s="17">
        <f>CHOOSE(CONTROL!$C$42, 13.1178, 13.1178) * CHOOSE(CONTROL!$C$21, $C$9, 100%, $E$9)</f>
        <v>13.117800000000001</v>
      </c>
      <c r="C322" s="17">
        <f>CHOOSE(CONTROL!$C$42, 13.1231, 13.1231) * CHOOSE(CONTROL!$C$21, $C$9, 100%, $E$9)</f>
        <v>13.123100000000001</v>
      </c>
      <c r="D322" s="17">
        <f>CHOOSE(CONTROL!$C$42, 13.3991, 13.3991) * CHOOSE(CONTROL!$C$21, $C$9, 100%, $E$9)</f>
        <v>13.399100000000001</v>
      </c>
      <c r="E322" s="17">
        <f>CHOOSE(CONTROL!$C$42, 13.4283, 13.4283) * CHOOSE(CONTROL!$C$21, $C$9, 100%, $E$9)</f>
        <v>13.4283</v>
      </c>
      <c r="F322" s="17">
        <f>CHOOSE(CONTROL!$C$42, 13.1392, 13.1392)*CHOOSE(CONTROL!$C$21, $C$9, 100%, $E$9)</f>
        <v>13.139200000000001</v>
      </c>
      <c r="G322" s="17">
        <f>CHOOSE(CONTROL!$C$42, 13.156, 13.156)*CHOOSE(CONTROL!$C$21, $C$9, 100%, $E$9)</f>
        <v>13.156000000000001</v>
      </c>
      <c r="H322" s="17">
        <f>CHOOSE(CONTROL!$C$42, 13.4187, 13.4187) * CHOOSE(CONTROL!$C$21, $C$9, 100%, $E$9)</f>
        <v>13.418699999999999</v>
      </c>
      <c r="I322" s="17">
        <f>CHOOSE(CONTROL!$C$42, 13.1805, 13.1805)* CHOOSE(CONTROL!$C$21, $C$9, 100%, $E$9)</f>
        <v>13.1805</v>
      </c>
      <c r="J322" s="17">
        <f>CHOOSE(CONTROL!$C$42, 13.1322, 13.1322)* CHOOSE(CONTROL!$C$21, $C$9, 100%, $E$9)</f>
        <v>13.132199999999999</v>
      </c>
      <c r="K322" s="52">
        <f>CHOOSE(CONTROL!$C$42, 13.1763, 13.1763) * CHOOSE(CONTROL!$C$21, $C$9, 100%, $E$9)</f>
        <v>13.176299999999999</v>
      </c>
      <c r="L322" s="17">
        <f>CHOOSE(CONTROL!$C$42, 14.0057, 14.0057) * CHOOSE(CONTROL!$C$21, $C$9, 100%, $E$9)</f>
        <v>14.005699999999999</v>
      </c>
      <c r="M322" s="17">
        <f>CHOOSE(CONTROL!$C$42, 12.9037, 12.9037) * CHOOSE(CONTROL!$C$21, $C$9, 100%, $E$9)</f>
        <v>12.903700000000001</v>
      </c>
      <c r="N322" s="17">
        <f>CHOOSE(CONTROL!$C$42, 12.9202, 12.9202) * CHOOSE(CONTROL!$C$21, $C$9, 100%, $E$9)</f>
        <v>12.920199999999999</v>
      </c>
      <c r="O322" s="17">
        <f>CHOOSE(CONTROL!$C$42, 13.1851, 13.1851) * CHOOSE(CONTROL!$C$21, $C$9, 100%, $E$9)</f>
        <v>13.1851</v>
      </c>
      <c r="P322" s="17">
        <f>CHOOSE(CONTROL!$C$42, 12.9505, 12.9505) * CHOOSE(CONTROL!$C$21, $C$9, 100%, $E$9)</f>
        <v>12.9505</v>
      </c>
      <c r="Q322" s="17">
        <f>CHOOSE(CONTROL!$C$42, 13.7798, 13.7798) * CHOOSE(CONTROL!$C$21, $C$9, 100%, $E$9)</f>
        <v>13.7798</v>
      </c>
      <c r="R322" s="17">
        <f>CHOOSE(CONTROL!$C$42, 14.4012, 14.4012) * CHOOSE(CONTROL!$C$21, $C$9, 100%, $E$9)</f>
        <v>14.401199999999999</v>
      </c>
      <c r="S322" s="17">
        <f>CHOOSE(CONTROL!$C$42, 12.5959, 12.5959) * CHOOSE(CONTROL!$C$21, $C$9, 100%, $E$9)</f>
        <v>12.5959</v>
      </c>
      <c r="T32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22" s="56">
        <f>(1000*CHOOSE(CONTROL!$C$42, 695, 695)*CHOOSE(CONTROL!$C$42, 0.5599, 0.5599)*CHOOSE(CONTROL!$C$42, 31, 31))/1000000</f>
        <v>12.063045499999998</v>
      </c>
      <c r="V322" s="56">
        <f>(1000*CHOOSE(CONTROL!$C$42, 500, 500)*CHOOSE(CONTROL!$C$42, 0.275, 0.275)*CHOOSE(CONTROL!$C$42, 31, 31))/1000000</f>
        <v>4.2625000000000002</v>
      </c>
      <c r="W322" s="56">
        <f>(1000*CHOOSE(CONTROL!$C$42, 0.1146, 0.1146)*CHOOSE(CONTROL!$C$42, 121.5, 121.5)*CHOOSE(CONTROL!$C$42, 31, 31))/1000000</f>
        <v>0.43164089999999994</v>
      </c>
      <c r="X322" s="56">
        <f>(31*0.1790888*145000/1000000)+(31*0.2374*100000/1000000)</f>
        <v>1.5409441560000001</v>
      </c>
      <c r="Y322" s="56"/>
      <c r="Z322" s="17"/>
      <c r="AA322" s="55"/>
      <c r="AB322" s="48">
        <f>(B322*131.881+C322*277.167+D322*79.08+E322*225.872+F322*40+G322*85+H322*0+I322*100+J322*300)/(131.881+277.167+79.08+225.872+0+40+85+100+300)</f>
        <v>13.205403264810329</v>
      </c>
      <c r="AC322" s="45">
        <f>(M322*'RAP TEMPLATE-GAS AVAILABILITY'!O321+N322*'RAP TEMPLATE-GAS AVAILABILITY'!P321+O322*'RAP TEMPLATE-GAS AVAILABILITY'!Q321+P322*'RAP TEMPLATE-GAS AVAILABILITY'!R321)/('RAP TEMPLATE-GAS AVAILABILITY'!O321+'RAP TEMPLATE-GAS AVAILABILITY'!P321+'RAP TEMPLATE-GAS AVAILABILITY'!Q321+'RAP TEMPLATE-GAS AVAILABILITY'!R321)</f>
        <v>12.99318633093525</v>
      </c>
    </row>
    <row r="323" spans="1:29" ht="15.75" x14ac:dyDescent="0.25">
      <c r="A323" s="14">
        <v>50739</v>
      </c>
      <c r="B323" s="17">
        <f>CHOOSE(CONTROL!$C$42, 13.4627, 13.4627) * CHOOSE(CONTROL!$C$21, $C$9, 100%, $E$9)</f>
        <v>13.4627</v>
      </c>
      <c r="C323" s="17">
        <f>CHOOSE(CONTROL!$C$42, 13.4678, 13.4678) * CHOOSE(CONTROL!$C$21, $C$9, 100%, $E$9)</f>
        <v>13.4678</v>
      </c>
      <c r="D323" s="17">
        <f>CHOOSE(CONTROL!$C$42, 13.5628, 13.5628) * CHOOSE(CONTROL!$C$21, $C$9, 100%, $E$9)</f>
        <v>13.562799999999999</v>
      </c>
      <c r="E323" s="17">
        <f>CHOOSE(CONTROL!$C$42, 13.5969, 13.5969) * CHOOSE(CONTROL!$C$21, $C$9, 100%, $E$9)</f>
        <v>13.5969</v>
      </c>
      <c r="F323" s="17">
        <f>CHOOSE(CONTROL!$C$42, 13.4866, 13.4866)*CHOOSE(CONTROL!$C$21, $C$9, 100%, $E$9)</f>
        <v>13.486599999999999</v>
      </c>
      <c r="G323" s="17">
        <f>CHOOSE(CONTROL!$C$42, 13.5037, 13.5037)*CHOOSE(CONTROL!$C$21, $C$9, 100%, $E$9)</f>
        <v>13.5037</v>
      </c>
      <c r="H323" s="17">
        <f>CHOOSE(CONTROL!$C$42, 13.5861, 13.5861) * CHOOSE(CONTROL!$C$21, $C$9, 100%, $E$9)</f>
        <v>13.5861</v>
      </c>
      <c r="I323" s="17">
        <f>CHOOSE(CONTROL!$C$42, 13.5248, 13.5248)* CHOOSE(CONTROL!$C$21, $C$9, 100%, $E$9)</f>
        <v>13.524800000000001</v>
      </c>
      <c r="J323" s="17">
        <f>CHOOSE(CONTROL!$C$42, 13.4796, 13.4796)* CHOOSE(CONTROL!$C$21, $C$9, 100%, $E$9)</f>
        <v>13.4796</v>
      </c>
      <c r="K323" s="52">
        <f>CHOOSE(CONTROL!$C$42, 13.5206, 13.5206) * CHOOSE(CONTROL!$C$21, $C$9, 100%, $E$9)</f>
        <v>13.5206</v>
      </c>
      <c r="L323" s="17">
        <f>CHOOSE(CONTROL!$C$42, 14.1731, 14.1731) * CHOOSE(CONTROL!$C$21, $C$9, 100%, $E$9)</f>
        <v>14.1731</v>
      </c>
      <c r="M323" s="17">
        <f>CHOOSE(CONTROL!$C$42, 13.2448, 13.2448) * CHOOSE(CONTROL!$C$21, $C$9, 100%, $E$9)</f>
        <v>13.2448</v>
      </c>
      <c r="N323" s="17">
        <f>CHOOSE(CONTROL!$C$42, 13.2616, 13.2616) * CHOOSE(CONTROL!$C$21, $C$9, 100%, $E$9)</f>
        <v>13.2616</v>
      </c>
      <c r="O323" s="17">
        <f>CHOOSE(CONTROL!$C$42, 13.3494, 13.3494) * CHOOSE(CONTROL!$C$21, $C$9, 100%, $E$9)</f>
        <v>13.349399999999999</v>
      </c>
      <c r="P323" s="17">
        <f>CHOOSE(CONTROL!$C$42, 13.2886, 13.2886) * CHOOSE(CONTROL!$C$21, $C$9, 100%, $E$9)</f>
        <v>13.288600000000001</v>
      </c>
      <c r="Q323" s="17">
        <f>CHOOSE(CONTROL!$C$42, 13.9441, 13.9441) * CHOOSE(CONTROL!$C$21, $C$9, 100%, $E$9)</f>
        <v>13.944100000000001</v>
      </c>
      <c r="R323" s="17">
        <f>CHOOSE(CONTROL!$C$42, 14.566, 14.566) * CHOOSE(CONTROL!$C$21, $C$9, 100%, $E$9)</f>
        <v>14.566000000000001</v>
      </c>
      <c r="S323" s="17">
        <f>CHOOSE(CONTROL!$C$42, 12.9278, 12.9278) * CHOOSE(CONTROL!$C$21, $C$9, 100%, $E$9)</f>
        <v>12.9278</v>
      </c>
      <c r="T32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23" s="56">
        <f>(1000*CHOOSE(CONTROL!$C$42, 695, 695)*CHOOSE(CONTROL!$C$42, 0.5599, 0.5599)*CHOOSE(CONTROL!$C$42, 30, 30))/1000000</f>
        <v>11.673914999999997</v>
      </c>
      <c r="V323" s="56">
        <f>(1000*CHOOSE(CONTROL!$C$42, 500, 500)*CHOOSE(CONTROL!$C$42, 0.275, 0.275)*CHOOSE(CONTROL!$C$42, 30, 30))/1000000</f>
        <v>4.125</v>
      </c>
      <c r="W323" s="56">
        <f>(1000*CHOOSE(CONTROL!$C$42, 0.1146, 0.1146)*CHOOSE(CONTROL!$C$42, 121.5, 121.5)*CHOOSE(CONTROL!$C$42, 30, 30))/1000000</f>
        <v>0.417717</v>
      </c>
      <c r="X323" s="56">
        <f>(30*0.2374*100000/1000000)</f>
        <v>0.71220000000000006</v>
      </c>
      <c r="Y323" s="56"/>
      <c r="Z323" s="17"/>
      <c r="AA323" s="55"/>
      <c r="AB323" s="48">
        <f>(B323*122.58+C323*297.941+D323*89.177+E323*140.302+F323*40+G323*60+H323*0+I323*100+J323*300)/(122.58+297.941+89.177+140.302+0+40+60+100+300)</f>
        <v>13.500935343652172</v>
      </c>
      <c r="AC323" s="45">
        <f>(M323*'RAP TEMPLATE-GAS AVAILABILITY'!O322+N323*'RAP TEMPLATE-GAS AVAILABILITY'!P322+O323*'RAP TEMPLATE-GAS AVAILABILITY'!Q322+P323*'RAP TEMPLATE-GAS AVAILABILITY'!R322)/('RAP TEMPLATE-GAS AVAILABILITY'!O322+'RAP TEMPLATE-GAS AVAILABILITY'!P322+'RAP TEMPLATE-GAS AVAILABILITY'!Q322+'RAP TEMPLATE-GAS AVAILABILITY'!R322)</f>
        <v>13.299477697841727</v>
      </c>
    </row>
    <row r="324" spans="1:29" ht="15.75" x14ac:dyDescent="0.25">
      <c r="A324" s="14">
        <v>50770</v>
      </c>
      <c r="B324" s="17">
        <f>CHOOSE(CONTROL!$C$42, 14.3799, 14.3799) * CHOOSE(CONTROL!$C$21, $C$9, 100%, $E$9)</f>
        <v>14.379899999999999</v>
      </c>
      <c r="C324" s="17">
        <f>CHOOSE(CONTROL!$C$42, 14.385, 14.385) * CHOOSE(CONTROL!$C$21, $C$9, 100%, $E$9)</f>
        <v>14.385</v>
      </c>
      <c r="D324" s="17">
        <f>CHOOSE(CONTROL!$C$42, 14.48, 14.48) * CHOOSE(CONTROL!$C$21, $C$9, 100%, $E$9)</f>
        <v>14.48</v>
      </c>
      <c r="E324" s="17">
        <f>CHOOSE(CONTROL!$C$42, 14.5141, 14.5141) * CHOOSE(CONTROL!$C$21, $C$9, 100%, $E$9)</f>
        <v>14.514099999999999</v>
      </c>
      <c r="F324" s="17">
        <f>CHOOSE(CONTROL!$C$42, 14.4062, 14.4062)*CHOOSE(CONTROL!$C$21, $C$9, 100%, $E$9)</f>
        <v>14.4062</v>
      </c>
      <c r="G324" s="17">
        <f>CHOOSE(CONTROL!$C$42, 14.4239, 14.4239)*CHOOSE(CONTROL!$C$21, $C$9, 100%, $E$9)</f>
        <v>14.4239</v>
      </c>
      <c r="H324" s="17">
        <f>CHOOSE(CONTROL!$C$42, 14.5033, 14.5033) * CHOOSE(CONTROL!$C$21, $C$9, 100%, $E$9)</f>
        <v>14.503299999999999</v>
      </c>
      <c r="I324" s="17">
        <f>CHOOSE(CONTROL!$C$42, 14.4449, 14.4449)* CHOOSE(CONTROL!$C$21, $C$9, 100%, $E$9)</f>
        <v>14.444900000000001</v>
      </c>
      <c r="J324" s="17">
        <f>CHOOSE(CONTROL!$C$42, 14.3992, 14.3992)* CHOOSE(CONTROL!$C$21, $C$9, 100%, $E$9)</f>
        <v>14.3992</v>
      </c>
      <c r="K324" s="52">
        <f>CHOOSE(CONTROL!$C$42, 14.4407, 14.4407) * CHOOSE(CONTROL!$C$21, $C$9, 100%, $E$9)</f>
        <v>14.4407</v>
      </c>
      <c r="L324" s="17">
        <f>CHOOSE(CONTROL!$C$42, 15.0903, 15.0903) * CHOOSE(CONTROL!$C$21, $C$9, 100%, $E$9)</f>
        <v>15.090299999999999</v>
      </c>
      <c r="M324" s="17">
        <f>CHOOSE(CONTROL!$C$42, 14.1479, 14.1479) * CHOOSE(CONTROL!$C$21, $C$9, 100%, $E$9)</f>
        <v>14.1479</v>
      </c>
      <c r="N324" s="17">
        <f>CHOOSE(CONTROL!$C$42, 14.1652, 14.1652) * CHOOSE(CONTROL!$C$21, $C$9, 100%, $E$9)</f>
        <v>14.1652</v>
      </c>
      <c r="O324" s="17">
        <f>CHOOSE(CONTROL!$C$42, 14.2501, 14.2501) * CHOOSE(CONTROL!$C$21, $C$9, 100%, $E$9)</f>
        <v>14.2501</v>
      </c>
      <c r="P324" s="17">
        <f>CHOOSE(CONTROL!$C$42, 14.1921, 14.1921) * CHOOSE(CONTROL!$C$21, $C$9, 100%, $E$9)</f>
        <v>14.1921</v>
      </c>
      <c r="Q324" s="17">
        <f>CHOOSE(CONTROL!$C$42, 14.8448, 14.8448) * CHOOSE(CONTROL!$C$21, $C$9, 100%, $E$9)</f>
        <v>14.844799999999999</v>
      </c>
      <c r="R324" s="17">
        <f>CHOOSE(CONTROL!$C$42, 15.469, 15.469) * CHOOSE(CONTROL!$C$21, $C$9, 100%, $E$9)</f>
        <v>15.468999999999999</v>
      </c>
      <c r="S324" s="17">
        <f>CHOOSE(CONTROL!$C$42, 13.8091, 13.8091) * CHOOSE(CONTROL!$C$21, $C$9, 100%, $E$9)</f>
        <v>13.809100000000001</v>
      </c>
      <c r="T32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24" s="56">
        <f>(1000*CHOOSE(CONTROL!$C$42, 695, 695)*CHOOSE(CONTROL!$C$42, 0.5599, 0.5599)*CHOOSE(CONTROL!$C$42, 31, 31))/1000000</f>
        <v>12.063045499999998</v>
      </c>
      <c r="V324" s="56">
        <f>(1000*CHOOSE(CONTROL!$C$42, 500, 500)*CHOOSE(CONTROL!$C$42, 0.275, 0.275)*CHOOSE(CONTROL!$C$42, 31, 31))/1000000</f>
        <v>4.2625000000000002</v>
      </c>
      <c r="W324" s="56">
        <f>(1000*CHOOSE(CONTROL!$C$42, 0.1146, 0.1146)*CHOOSE(CONTROL!$C$42, 121.5, 121.5)*CHOOSE(CONTROL!$C$42, 31, 31))/1000000</f>
        <v>0.43164089999999994</v>
      </c>
      <c r="X324" s="56">
        <f>(31*0.2374*100000/1000000)</f>
        <v>0.73594000000000004</v>
      </c>
      <c r="Y324" s="56"/>
      <c r="Z324" s="17"/>
      <c r="AA324" s="55"/>
      <c r="AB324" s="48">
        <f>(B324*122.58+C324*297.941+D324*89.177+E324*140.302+F324*40+G324*60+H324*0+I324*100+J324*300)/(122.58+297.941+89.177+140.302+0+40+60+100+300)</f>
        <v>14.419253604521737</v>
      </c>
      <c r="AC324" s="45">
        <f>(M324*'RAP TEMPLATE-GAS AVAILABILITY'!O323+N324*'RAP TEMPLATE-GAS AVAILABILITY'!P323+O324*'RAP TEMPLATE-GAS AVAILABILITY'!Q323+P324*'RAP TEMPLATE-GAS AVAILABILITY'!R323)/('RAP TEMPLATE-GAS AVAILABILITY'!O323+'RAP TEMPLATE-GAS AVAILABILITY'!P323+'RAP TEMPLATE-GAS AVAILABILITY'!Q323+'RAP TEMPLATE-GAS AVAILABILITY'!R323)</f>
        <v>14.201576258992805</v>
      </c>
    </row>
    <row r="325" spans="1:29" ht="15.75" x14ac:dyDescent="0.25">
      <c r="A325" s="14">
        <v>50801</v>
      </c>
      <c r="B325" s="17">
        <f>CHOOSE(CONTROL!$C$42, 15.5712, 15.5712) * CHOOSE(CONTROL!$C$21, $C$9, 100%, $E$9)</f>
        <v>15.571199999999999</v>
      </c>
      <c r="C325" s="17">
        <f>CHOOSE(CONTROL!$C$42, 15.5763, 15.5763) * CHOOSE(CONTROL!$C$21, $C$9, 100%, $E$9)</f>
        <v>15.5763</v>
      </c>
      <c r="D325" s="17">
        <f>CHOOSE(CONTROL!$C$42, 15.6947, 15.6947) * CHOOSE(CONTROL!$C$21, $C$9, 100%, $E$9)</f>
        <v>15.694699999999999</v>
      </c>
      <c r="E325" s="17">
        <f>CHOOSE(CONTROL!$C$42, 15.7288, 15.7288) * CHOOSE(CONTROL!$C$21, $C$9, 100%, $E$9)</f>
        <v>15.7288</v>
      </c>
      <c r="F325" s="17">
        <f>CHOOSE(CONTROL!$C$42, 15.5916, 15.5916)*CHOOSE(CONTROL!$C$21, $C$9, 100%, $E$9)</f>
        <v>15.5916</v>
      </c>
      <c r="G325" s="17">
        <f>CHOOSE(CONTROL!$C$42, 15.6085, 15.6085)*CHOOSE(CONTROL!$C$21, $C$9, 100%, $E$9)</f>
        <v>15.608499999999999</v>
      </c>
      <c r="H325" s="17">
        <f>CHOOSE(CONTROL!$C$42, 15.718, 15.718) * CHOOSE(CONTROL!$C$21, $C$9, 100%, $E$9)</f>
        <v>15.718</v>
      </c>
      <c r="I325" s="17">
        <f>CHOOSE(CONTROL!$C$42, 15.6436, 15.6436)* CHOOSE(CONTROL!$C$21, $C$9, 100%, $E$9)</f>
        <v>15.643599999999999</v>
      </c>
      <c r="J325" s="17">
        <f>CHOOSE(CONTROL!$C$42, 15.5846, 15.5846)* CHOOSE(CONTROL!$C$21, $C$9, 100%, $E$9)</f>
        <v>15.5846</v>
      </c>
      <c r="K325" s="52">
        <f>CHOOSE(CONTROL!$C$42, 15.6394, 15.6394) * CHOOSE(CONTROL!$C$21, $C$9, 100%, $E$9)</f>
        <v>15.6394</v>
      </c>
      <c r="L325" s="17">
        <f>CHOOSE(CONTROL!$C$42, 16.305, 16.305) * CHOOSE(CONTROL!$C$21, $C$9, 100%, $E$9)</f>
        <v>16.305</v>
      </c>
      <c r="M325" s="17">
        <f>CHOOSE(CONTROL!$C$42, 15.312, 15.312) * CHOOSE(CONTROL!$C$21, $C$9, 100%, $E$9)</f>
        <v>15.311999999999999</v>
      </c>
      <c r="N325" s="17">
        <f>CHOOSE(CONTROL!$C$42, 15.3285, 15.3285) * CHOOSE(CONTROL!$C$21, $C$9, 100%, $E$9)</f>
        <v>15.3285</v>
      </c>
      <c r="O325" s="17">
        <f>CHOOSE(CONTROL!$C$42, 15.443, 15.443) * CHOOSE(CONTROL!$C$21, $C$9, 100%, $E$9)</f>
        <v>15.443</v>
      </c>
      <c r="P325" s="17">
        <f>CHOOSE(CONTROL!$C$42, 15.3691, 15.3691) * CHOOSE(CONTROL!$C$21, $C$9, 100%, $E$9)</f>
        <v>15.3691</v>
      </c>
      <c r="Q325" s="17">
        <f>CHOOSE(CONTROL!$C$42, 16.0377, 16.0377) * CHOOSE(CONTROL!$C$21, $C$9, 100%, $E$9)</f>
        <v>16.037700000000001</v>
      </c>
      <c r="R325" s="17">
        <f>CHOOSE(CONTROL!$C$42, 16.6648, 16.6648) * CHOOSE(CONTROL!$C$21, $C$9, 100%, $E$9)</f>
        <v>16.6648</v>
      </c>
      <c r="S325" s="17">
        <f>CHOOSE(CONTROL!$C$42, 14.9538, 14.9538) * CHOOSE(CONTROL!$C$21, $C$9, 100%, $E$9)</f>
        <v>14.953799999999999</v>
      </c>
      <c r="T32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25" s="56">
        <f>(1000*CHOOSE(CONTROL!$C$42, 695, 695)*CHOOSE(CONTROL!$C$42, 0.5599, 0.5599)*CHOOSE(CONTROL!$C$42, 31, 31))/1000000</f>
        <v>12.063045499999998</v>
      </c>
      <c r="V325" s="56">
        <f>(1000*CHOOSE(CONTROL!$C$42, 500, 500)*CHOOSE(CONTROL!$C$42, 0.275, 0.275)*CHOOSE(CONTROL!$C$42, 31, 31))/1000000</f>
        <v>4.2625000000000002</v>
      </c>
      <c r="W325" s="56">
        <f>(1000*CHOOSE(CONTROL!$C$42, 0.1146, 0.1146)*CHOOSE(CONTROL!$C$42, 121.5, 121.5)*CHOOSE(CONTROL!$C$42, 31, 31))/1000000</f>
        <v>0.43164089999999994</v>
      </c>
      <c r="X325" s="56">
        <f>(31*0.2374*100000/1000000)</f>
        <v>0.73594000000000004</v>
      </c>
      <c r="Y325" s="56"/>
      <c r="Z325" s="17"/>
      <c r="AA325" s="55"/>
      <c r="AB325" s="48">
        <f>(B325*122.58+C325*297.941+D325*89.177+E325*140.302+F325*40+G325*60+H325*0+I325*100+J325*300)/(122.58+297.941+89.177+140.302+0+40+60+100+300)</f>
        <v>15.613772568521741</v>
      </c>
      <c r="AC325" s="45">
        <f>(M325*'RAP TEMPLATE-GAS AVAILABILITY'!O324+N325*'RAP TEMPLATE-GAS AVAILABILITY'!P324+O325*'RAP TEMPLATE-GAS AVAILABILITY'!Q324+P325*'RAP TEMPLATE-GAS AVAILABILITY'!R324)/('RAP TEMPLATE-GAS AVAILABILITY'!O324+'RAP TEMPLATE-GAS AVAILABILITY'!P324+'RAP TEMPLATE-GAS AVAILABILITY'!Q324+'RAP TEMPLATE-GAS AVAILABILITY'!R324)</f>
        <v>15.380539568345322</v>
      </c>
    </row>
    <row r="326" spans="1:29" ht="15.75" x14ac:dyDescent="0.25">
      <c r="A326" s="14">
        <v>50829</v>
      </c>
      <c r="B326" s="17">
        <f>CHOOSE(CONTROL!$C$42, 15.8482, 15.8482) * CHOOSE(CONTROL!$C$21, $C$9, 100%, $E$9)</f>
        <v>15.8482</v>
      </c>
      <c r="C326" s="17">
        <f>CHOOSE(CONTROL!$C$42, 15.8533, 15.8533) * CHOOSE(CONTROL!$C$21, $C$9, 100%, $E$9)</f>
        <v>15.853300000000001</v>
      </c>
      <c r="D326" s="17">
        <f>CHOOSE(CONTROL!$C$42, 15.9718, 15.9718) * CHOOSE(CONTROL!$C$21, $C$9, 100%, $E$9)</f>
        <v>15.9718</v>
      </c>
      <c r="E326" s="17">
        <f>CHOOSE(CONTROL!$C$42, 16.0059, 16.0059) * CHOOSE(CONTROL!$C$21, $C$9, 100%, $E$9)</f>
        <v>16.0059</v>
      </c>
      <c r="F326" s="17">
        <f>CHOOSE(CONTROL!$C$42, 15.8686, 15.8686)*CHOOSE(CONTROL!$C$21, $C$9, 100%, $E$9)</f>
        <v>15.868600000000001</v>
      </c>
      <c r="G326" s="17">
        <f>CHOOSE(CONTROL!$C$42, 15.8854, 15.8854)*CHOOSE(CONTROL!$C$21, $C$9, 100%, $E$9)</f>
        <v>15.885400000000001</v>
      </c>
      <c r="H326" s="17">
        <f>CHOOSE(CONTROL!$C$42, 15.9951, 15.9951) * CHOOSE(CONTROL!$C$21, $C$9, 100%, $E$9)</f>
        <v>15.995100000000001</v>
      </c>
      <c r="I326" s="17">
        <f>CHOOSE(CONTROL!$C$42, 15.9215, 15.9215)* CHOOSE(CONTROL!$C$21, $C$9, 100%, $E$9)</f>
        <v>15.9215</v>
      </c>
      <c r="J326" s="17">
        <f>CHOOSE(CONTROL!$C$42, 15.8616, 15.8616)* CHOOSE(CONTROL!$C$21, $C$9, 100%, $E$9)</f>
        <v>15.861599999999999</v>
      </c>
      <c r="K326" s="52">
        <f>CHOOSE(CONTROL!$C$42, 15.9173, 15.9173) * CHOOSE(CONTROL!$C$21, $C$9, 100%, $E$9)</f>
        <v>15.917299999999999</v>
      </c>
      <c r="L326" s="17">
        <f>CHOOSE(CONTROL!$C$42, 16.5821, 16.5821) * CHOOSE(CONTROL!$C$21, $C$9, 100%, $E$9)</f>
        <v>16.582100000000001</v>
      </c>
      <c r="M326" s="17">
        <f>CHOOSE(CONTROL!$C$42, 15.584, 15.584) * CHOOSE(CONTROL!$C$21, $C$9, 100%, $E$9)</f>
        <v>15.584</v>
      </c>
      <c r="N326" s="17">
        <f>CHOOSE(CONTROL!$C$42, 15.6005, 15.6005) * CHOOSE(CONTROL!$C$21, $C$9, 100%, $E$9)</f>
        <v>15.6005</v>
      </c>
      <c r="O326" s="17">
        <f>CHOOSE(CONTROL!$C$42, 15.7151, 15.7151) * CHOOSE(CONTROL!$C$21, $C$9, 100%, $E$9)</f>
        <v>15.7151</v>
      </c>
      <c r="P326" s="17">
        <f>CHOOSE(CONTROL!$C$42, 15.642, 15.642) * CHOOSE(CONTROL!$C$21, $C$9, 100%, $E$9)</f>
        <v>15.641999999999999</v>
      </c>
      <c r="Q326" s="17">
        <f>CHOOSE(CONTROL!$C$42, 16.3098, 16.3098) * CHOOSE(CONTROL!$C$21, $C$9, 100%, $E$9)</f>
        <v>16.309799999999999</v>
      </c>
      <c r="R326" s="17">
        <f>CHOOSE(CONTROL!$C$42, 16.9375, 16.9375) * CHOOSE(CONTROL!$C$21, $C$9, 100%, $E$9)</f>
        <v>16.9375</v>
      </c>
      <c r="S326" s="17">
        <f>CHOOSE(CONTROL!$C$42, 15.22, 15.22) * CHOOSE(CONTROL!$C$21, $C$9, 100%, $E$9)</f>
        <v>15.22</v>
      </c>
      <c r="T32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26" s="56">
        <f>(1000*CHOOSE(CONTROL!$C$42, 695, 695)*CHOOSE(CONTROL!$C$42, 0.5599, 0.5599)*CHOOSE(CONTROL!$C$42, 28, 28))/1000000</f>
        <v>10.895653999999999</v>
      </c>
      <c r="V326" s="56">
        <f>(1000*CHOOSE(CONTROL!$C$42, 500, 500)*CHOOSE(CONTROL!$C$42, 0.275, 0.275)*CHOOSE(CONTROL!$C$42, 28, 28))/1000000</f>
        <v>3.85</v>
      </c>
      <c r="W326" s="56">
        <f>(1000*CHOOSE(CONTROL!$C$42, 0.1146, 0.1146)*CHOOSE(CONTROL!$C$42, 121.5, 121.5)*CHOOSE(CONTROL!$C$42, 28, 28))/1000000</f>
        <v>0.38986920000000003</v>
      </c>
      <c r="X326" s="56">
        <f>(28*0.2374*100000/1000000)</f>
        <v>0.66471999999999998</v>
      </c>
      <c r="Y326" s="56"/>
      <c r="Z326" s="17"/>
      <c r="AA326" s="55"/>
      <c r="AB326" s="48">
        <f>(B326*122.58+C326*297.941+D326*89.177+E326*140.302+F326*40+G326*60+H326*0+I326*100+J326*300)/(122.58+297.941+89.177+140.302+0+40+60+100+300)</f>
        <v>15.89086556669565</v>
      </c>
      <c r="AC326" s="45">
        <f>(M326*'RAP TEMPLATE-GAS AVAILABILITY'!O325+N326*'RAP TEMPLATE-GAS AVAILABILITY'!P325+O326*'RAP TEMPLATE-GAS AVAILABILITY'!Q325+P326*'RAP TEMPLATE-GAS AVAILABILITY'!R325)/('RAP TEMPLATE-GAS AVAILABILITY'!O325+'RAP TEMPLATE-GAS AVAILABILITY'!P325+'RAP TEMPLATE-GAS AVAILABILITY'!Q325+'RAP TEMPLATE-GAS AVAILABILITY'!R325)</f>
        <v>15.65271438848921</v>
      </c>
    </row>
    <row r="327" spans="1:29" ht="15.75" x14ac:dyDescent="0.25">
      <c r="A327" s="14">
        <v>50860</v>
      </c>
      <c r="B327" s="17">
        <f>CHOOSE(CONTROL!$C$42, 15.3986, 15.3986) * CHOOSE(CONTROL!$C$21, $C$9, 100%, $E$9)</f>
        <v>15.3986</v>
      </c>
      <c r="C327" s="17">
        <f>CHOOSE(CONTROL!$C$42, 15.4036, 15.4036) * CHOOSE(CONTROL!$C$21, $C$9, 100%, $E$9)</f>
        <v>15.403600000000001</v>
      </c>
      <c r="D327" s="17">
        <f>CHOOSE(CONTROL!$C$42, 15.5221, 15.5221) * CHOOSE(CONTROL!$C$21, $C$9, 100%, $E$9)</f>
        <v>15.5221</v>
      </c>
      <c r="E327" s="17">
        <f>CHOOSE(CONTROL!$C$42, 15.5562, 15.5562) * CHOOSE(CONTROL!$C$21, $C$9, 100%, $E$9)</f>
        <v>15.5562</v>
      </c>
      <c r="F327" s="17">
        <f>CHOOSE(CONTROL!$C$42, 15.4183, 15.4183)*CHOOSE(CONTROL!$C$21, $C$9, 100%, $E$9)</f>
        <v>15.4183</v>
      </c>
      <c r="G327" s="17">
        <f>CHOOSE(CONTROL!$C$42, 15.4349, 15.4349)*CHOOSE(CONTROL!$C$21, $C$9, 100%, $E$9)</f>
        <v>15.434900000000001</v>
      </c>
      <c r="H327" s="17">
        <f>CHOOSE(CONTROL!$C$42, 15.5454, 15.5454) * CHOOSE(CONTROL!$C$21, $C$9, 100%, $E$9)</f>
        <v>15.545400000000001</v>
      </c>
      <c r="I327" s="17">
        <f>CHOOSE(CONTROL!$C$42, 15.4704, 15.4704)* CHOOSE(CONTROL!$C$21, $C$9, 100%, $E$9)</f>
        <v>15.4704</v>
      </c>
      <c r="J327" s="17">
        <f>CHOOSE(CONTROL!$C$42, 15.4113, 15.4113)* CHOOSE(CONTROL!$C$21, $C$9, 100%, $E$9)</f>
        <v>15.411300000000001</v>
      </c>
      <c r="K327" s="52">
        <f>CHOOSE(CONTROL!$C$42, 15.4662, 15.4662) * CHOOSE(CONTROL!$C$21, $C$9, 100%, $E$9)</f>
        <v>15.466200000000001</v>
      </c>
      <c r="L327" s="17">
        <f>CHOOSE(CONTROL!$C$42, 16.1324, 16.1324) * CHOOSE(CONTROL!$C$21, $C$9, 100%, $E$9)</f>
        <v>16.132400000000001</v>
      </c>
      <c r="M327" s="17">
        <f>CHOOSE(CONTROL!$C$42, 15.1418, 15.1418) * CHOOSE(CONTROL!$C$21, $C$9, 100%, $E$9)</f>
        <v>15.1418</v>
      </c>
      <c r="N327" s="17">
        <f>CHOOSE(CONTROL!$C$42, 15.1581, 15.1581) * CHOOSE(CONTROL!$C$21, $C$9, 100%, $E$9)</f>
        <v>15.158099999999999</v>
      </c>
      <c r="O327" s="17">
        <f>CHOOSE(CONTROL!$C$42, 15.2735, 15.2735) * CHOOSE(CONTROL!$C$21, $C$9, 100%, $E$9)</f>
        <v>15.2735</v>
      </c>
      <c r="P327" s="17">
        <f>CHOOSE(CONTROL!$C$42, 15.1991, 15.1991) * CHOOSE(CONTROL!$C$21, $C$9, 100%, $E$9)</f>
        <v>15.1991</v>
      </c>
      <c r="Q327" s="17">
        <f>CHOOSE(CONTROL!$C$42, 15.8682, 15.8682) * CHOOSE(CONTROL!$C$21, $C$9, 100%, $E$9)</f>
        <v>15.8682</v>
      </c>
      <c r="R327" s="17">
        <f>CHOOSE(CONTROL!$C$42, 16.4948, 16.4948) * CHOOSE(CONTROL!$C$21, $C$9, 100%, $E$9)</f>
        <v>16.494800000000001</v>
      </c>
      <c r="S327" s="17">
        <f>CHOOSE(CONTROL!$C$42, 14.7879, 14.7879) * CHOOSE(CONTROL!$C$21, $C$9, 100%, $E$9)</f>
        <v>14.7879</v>
      </c>
      <c r="T32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27" s="56">
        <f>(1000*CHOOSE(CONTROL!$C$42, 695, 695)*CHOOSE(CONTROL!$C$42, 0.5599, 0.5599)*CHOOSE(CONTROL!$C$42, 31, 31))/1000000</f>
        <v>12.063045499999998</v>
      </c>
      <c r="V327" s="56">
        <f>(1000*CHOOSE(CONTROL!$C$42, 500, 500)*CHOOSE(CONTROL!$C$42, 0.275, 0.275)*CHOOSE(CONTROL!$C$42, 31, 31))/1000000</f>
        <v>4.2625000000000002</v>
      </c>
      <c r="W327" s="56">
        <f>(1000*CHOOSE(CONTROL!$C$42, 0.1146, 0.1146)*CHOOSE(CONTROL!$C$42, 121.5, 121.5)*CHOOSE(CONTROL!$C$42, 31, 31))/1000000</f>
        <v>0.43164089999999994</v>
      </c>
      <c r="X327" s="56">
        <f>(31*0.2374*100000/1000000)</f>
        <v>0.73594000000000004</v>
      </c>
      <c r="Y327" s="56"/>
      <c r="Z327" s="17"/>
      <c r="AA327" s="55"/>
      <c r="AB327" s="48">
        <f>(B327*122.58+C327*297.941+D327*89.177+E327*140.302+F327*40+G327*60+H327*0+I327*100+J327*300)/(122.58+297.941+89.177+140.302+0+40+60+100+300)</f>
        <v>15.440835356260868</v>
      </c>
      <c r="AC327" s="45">
        <f>(M327*'RAP TEMPLATE-GAS AVAILABILITY'!O326+N327*'RAP TEMPLATE-GAS AVAILABILITY'!P326+O327*'RAP TEMPLATE-GAS AVAILABILITY'!Q326+P327*'RAP TEMPLATE-GAS AVAILABILITY'!R326)/('RAP TEMPLATE-GAS AVAILABILITY'!O326+'RAP TEMPLATE-GAS AVAILABILITY'!P326+'RAP TEMPLATE-GAS AVAILABILITY'!Q326+'RAP TEMPLATE-GAS AVAILABILITY'!R326)</f>
        <v>15.210674100719425</v>
      </c>
    </row>
    <row r="328" spans="1:29" ht="15.75" x14ac:dyDescent="0.25">
      <c r="A328" s="14">
        <v>50890</v>
      </c>
      <c r="B328" s="17">
        <f>CHOOSE(CONTROL!$C$42, 15.3535, 15.3535) * CHOOSE(CONTROL!$C$21, $C$9, 100%, $E$9)</f>
        <v>15.3535</v>
      </c>
      <c r="C328" s="17">
        <f>CHOOSE(CONTROL!$C$42, 15.358, 15.358) * CHOOSE(CONTROL!$C$21, $C$9, 100%, $E$9)</f>
        <v>15.358000000000001</v>
      </c>
      <c r="D328" s="17">
        <f>CHOOSE(CONTROL!$C$42, 15.6322, 15.6322) * CHOOSE(CONTROL!$C$21, $C$9, 100%, $E$9)</f>
        <v>15.632199999999999</v>
      </c>
      <c r="E328" s="17">
        <f>CHOOSE(CONTROL!$C$42, 15.6643, 15.6643) * CHOOSE(CONTROL!$C$21, $C$9, 100%, $E$9)</f>
        <v>15.664300000000001</v>
      </c>
      <c r="F328" s="17">
        <f>CHOOSE(CONTROL!$C$42, 15.3728, 15.3728)*CHOOSE(CONTROL!$C$21, $C$9, 100%, $E$9)</f>
        <v>15.3728</v>
      </c>
      <c r="G328" s="17">
        <f>CHOOSE(CONTROL!$C$42, 15.3892, 15.3892)*CHOOSE(CONTROL!$C$21, $C$9, 100%, $E$9)</f>
        <v>15.389200000000001</v>
      </c>
      <c r="H328" s="17">
        <f>CHOOSE(CONTROL!$C$42, 15.6541, 15.6541) * CHOOSE(CONTROL!$C$21, $C$9, 100%, $E$9)</f>
        <v>15.6541</v>
      </c>
      <c r="I328" s="17">
        <f>CHOOSE(CONTROL!$C$42, 15.4229, 15.4229)* CHOOSE(CONTROL!$C$21, $C$9, 100%, $E$9)</f>
        <v>15.4229</v>
      </c>
      <c r="J328" s="17">
        <f>CHOOSE(CONTROL!$C$42, 15.3658, 15.3658)* CHOOSE(CONTROL!$C$21, $C$9, 100%, $E$9)</f>
        <v>15.3658</v>
      </c>
      <c r="K328" s="52">
        <f>CHOOSE(CONTROL!$C$42, 15.4186, 15.4186) * CHOOSE(CONTROL!$C$21, $C$9, 100%, $E$9)</f>
        <v>15.4186</v>
      </c>
      <c r="L328" s="17">
        <f>CHOOSE(CONTROL!$C$42, 16.2411, 16.2411) * CHOOSE(CONTROL!$C$21, $C$9, 100%, $E$9)</f>
        <v>16.241099999999999</v>
      </c>
      <c r="M328" s="17">
        <f>CHOOSE(CONTROL!$C$42, 15.0971, 15.0971) * CHOOSE(CONTROL!$C$21, $C$9, 100%, $E$9)</f>
        <v>15.097099999999999</v>
      </c>
      <c r="N328" s="17">
        <f>CHOOSE(CONTROL!$C$42, 15.1132, 15.1132) * CHOOSE(CONTROL!$C$21, $C$9, 100%, $E$9)</f>
        <v>15.113200000000001</v>
      </c>
      <c r="O328" s="17">
        <f>CHOOSE(CONTROL!$C$42, 15.3802, 15.3802) * CHOOSE(CONTROL!$C$21, $C$9, 100%, $E$9)</f>
        <v>15.3802</v>
      </c>
      <c r="P328" s="17">
        <f>CHOOSE(CONTROL!$C$42, 15.1524, 15.1524) * CHOOSE(CONTROL!$C$21, $C$9, 100%, $E$9)</f>
        <v>15.1524</v>
      </c>
      <c r="Q328" s="17">
        <f>CHOOSE(CONTROL!$C$42, 15.9749, 15.9749) * CHOOSE(CONTROL!$C$21, $C$9, 100%, $E$9)</f>
        <v>15.9749</v>
      </c>
      <c r="R328" s="17">
        <f>CHOOSE(CONTROL!$C$42, 16.6018, 16.6018) * CHOOSE(CONTROL!$C$21, $C$9, 100%, $E$9)</f>
        <v>16.601800000000001</v>
      </c>
      <c r="S328" s="17">
        <f>CHOOSE(CONTROL!$C$42, 14.7439, 14.7439) * CHOOSE(CONTROL!$C$21, $C$9, 100%, $E$9)</f>
        <v>14.7439</v>
      </c>
      <c r="T32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28" s="56">
        <f>(1000*CHOOSE(CONTROL!$C$42, 695, 695)*CHOOSE(CONTROL!$C$42, 0.5599, 0.5599)*CHOOSE(CONTROL!$C$42, 30, 30))/1000000</f>
        <v>11.673914999999997</v>
      </c>
      <c r="V328" s="56">
        <f>(1000*CHOOSE(CONTROL!$C$42, 500, 500)*CHOOSE(CONTROL!$C$42, 0.275, 0.275)*CHOOSE(CONTROL!$C$42, 30, 30))/1000000</f>
        <v>4.125</v>
      </c>
      <c r="W328" s="56">
        <f>(1000*CHOOSE(CONTROL!$C$42, 0.1146, 0.1146)*CHOOSE(CONTROL!$C$42, 121.5, 121.5)*CHOOSE(CONTROL!$C$42, 30, 30))/1000000</f>
        <v>0.417717</v>
      </c>
      <c r="X328" s="56">
        <f>(30*0.1790888*145000/1000000)+(30*0.2374*100000/1000000)</f>
        <v>1.4912362799999999</v>
      </c>
      <c r="Y328" s="56"/>
      <c r="Z328" s="17"/>
      <c r="AA328" s="55"/>
      <c r="AB328" s="48">
        <f>(B328*141.293+C328*267.993+D328*115.016+E328*189.698+F328*40+G328*85+H328*0+I328*100+J328*300)/(141.293+267.993+115.016+189.698+0+40+85+100+300)</f>
        <v>15.43958197425343</v>
      </c>
      <c r="AC328" s="45">
        <f>(M328*'RAP TEMPLATE-GAS AVAILABILITY'!O327+N328*'RAP TEMPLATE-GAS AVAILABILITY'!P327+O328*'RAP TEMPLATE-GAS AVAILABILITY'!Q327+P328*'RAP TEMPLATE-GAS AVAILABILITY'!R327)/('RAP TEMPLATE-GAS AVAILABILITY'!O327+'RAP TEMPLATE-GAS AVAILABILITY'!P327+'RAP TEMPLATE-GAS AVAILABILITY'!Q327+'RAP TEMPLATE-GAS AVAILABILITY'!R327)</f>
        <v>15.188194244604317</v>
      </c>
    </row>
    <row r="329" spans="1:29" ht="15.75" x14ac:dyDescent="0.25">
      <c r="A329" s="14">
        <v>50921</v>
      </c>
      <c r="B329" s="17">
        <f>CHOOSE(CONTROL!$C$42, 15.4903, 15.4903) * CHOOSE(CONTROL!$C$21, $C$9, 100%, $E$9)</f>
        <v>15.4903</v>
      </c>
      <c r="C329" s="17">
        <f>CHOOSE(CONTROL!$C$42, 15.4983, 15.4983) * CHOOSE(CONTROL!$C$21, $C$9, 100%, $E$9)</f>
        <v>15.4983</v>
      </c>
      <c r="D329" s="17">
        <f>CHOOSE(CONTROL!$C$42, 15.7694, 15.7694) * CHOOSE(CONTROL!$C$21, $C$9, 100%, $E$9)</f>
        <v>15.769399999999999</v>
      </c>
      <c r="E329" s="17">
        <f>CHOOSE(CONTROL!$C$42, 15.8009, 15.8009) * CHOOSE(CONTROL!$C$21, $C$9, 100%, $E$9)</f>
        <v>15.8009</v>
      </c>
      <c r="F329" s="17">
        <f>CHOOSE(CONTROL!$C$42, 15.5085, 15.5085)*CHOOSE(CONTROL!$C$21, $C$9, 100%, $E$9)</f>
        <v>15.5085</v>
      </c>
      <c r="G329" s="17">
        <f>CHOOSE(CONTROL!$C$42, 15.5251, 15.5251)*CHOOSE(CONTROL!$C$21, $C$9, 100%, $E$9)</f>
        <v>15.5251</v>
      </c>
      <c r="H329" s="17">
        <f>CHOOSE(CONTROL!$C$42, 15.7895, 15.7895) * CHOOSE(CONTROL!$C$21, $C$9, 100%, $E$9)</f>
        <v>15.7895</v>
      </c>
      <c r="I329" s="17">
        <f>CHOOSE(CONTROL!$C$42, 15.5587, 15.5587)* CHOOSE(CONTROL!$C$21, $C$9, 100%, $E$9)</f>
        <v>15.5587</v>
      </c>
      <c r="J329" s="17">
        <f>CHOOSE(CONTROL!$C$42, 15.5015, 15.5015)* CHOOSE(CONTROL!$C$21, $C$9, 100%, $E$9)</f>
        <v>15.5015</v>
      </c>
      <c r="K329" s="52">
        <f>CHOOSE(CONTROL!$C$42, 15.5545, 15.5545) * CHOOSE(CONTROL!$C$21, $C$9, 100%, $E$9)</f>
        <v>15.554500000000001</v>
      </c>
      <c r="L329" s="17">
        <f>CHOOSE(CONTROL!$C$42, 16.3765, 16.3765) * CHOOSE(CONTROL!$C$21, $C$9, 100%, $E$9)</f>
        <v>16.3765</v>
      </c>
      <c r="M329" s="17">
        <f>CHOOSE(CONTROL!$C$42, 15.2304, 15.2304) * CHOOSE(CONTROL!$C$21, $C$9, 100%, $E$9)</f>
        <v>15.230399999999999</v>
      </c>
      <c r="N329" s="17">
        <f>CHOOSE(CONTROL!$C$42, 15.2467, 15.2467) * CHOOSE(CONTROL!$C$21, $C$9, 100%, $E$9)</f>
        <v>15.246700000000001</v>
      </c>
      <c r="O329" s="17">
        <f>CHOOSE(CONTROL!$C$42, 15.5132, 15.5132) * CHOOSE(CONTROL!$C$21, $C$9, 100%, $E$9)</f>
        <v>15.513199999999999</v>
      </c>
      <c r="P329" s="17">
        <f>CHOOSE(CONTROL!$C$42, 15.2858, 15.2858) * CHOOSE(CONTROL!$C$21, $C$9, 100%, $E$9)</f>
        <v>15.2858</v>
      </c>
      <c r="Q329" s="17">
        <f>CHOOSE(CONTROL!$C$42, 16.1079, 16.1079) * CHOOSE(CONTROL!$C$21, $C$9, 100%, $E$9)</f>
        <v>16.107900000000001</v>
      </c>
      <c r="R329" s="17">
        <f>CHOOSE(CONTROL!$C$42, 16.7352, 16.7352) * CHOOSE(CONTROL!$C$21, $C$9, 100%, $E$9)</f>
        <v>16.735199999999999</v>
      </c>
      <c r="S329" s="17">
        <f>CHOOSE(CONTROL!$C$42, 14.874, 14.874) * CHOOSE(CONTROL!$C$21, $C$9, 100%, $E$9)</f>
        <v>14.874000000000001</v>
      </c>
      <c r="T32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29" s="56">
        <f>(1000*CHOOSE(CONTROL!$C$42, 695, 695)*CHOOSE(CONTROL!$C$42, 0.5599, 0.5599)*CHOOSE(CONTROL!$C$42, 31, 31))/1000000</f>
        <v>12.063045499999998</v>
      </c>
      <c r="V329" s="56">
        <f>(1000*CHOOSE(CONTROL!$C$42, 500, 500)*CHOOSE(CONTROL!$C$42, 0.275, 0.275)*CHOOSE(CONTROL!$C$42, 31, 31))/1000000</f>
        <v>4.2625000000000002</v>
      </c>
      <c r="W329" s="56">
        <f>(1000*CHOOSE(CONTROL!$C$42, 0.1146, 0.1146)*CHOOSE(CONTROL!$C$42, 121.5, 121.5)*CHOOSE(CONTROL!$C$42, 31, 31))/1000000</f>
        <v>0.43164089999999994</v>
      </c>
      <c r="X329" s="56">
        <f>(31*0.1790888*145000/1000000)+(31*0.2374*100000/1000000)</f>
        <v>1.5409441560000001</v>
      </c>
      <c r="Y329" s="56"/>
      <c r="Z329" s="17"/>
      <c r="AA329" s="55"/>
      <c r="AB329" s="48">
        <f>(B329*194.205+C329*267.466+D329*133.845+E329*153.484+F329*40+G329*85+H329*0+I329*100+J329*300)/(194.205+267.466+133.845+153.484+0+40+85+100+300)</f>
        <v>15.569620249529043</v>
      </c>
      <c r="AC329" s="45">
        <f>(M329*'RAP TEMPLATE-GAS AVAILABILITY'!O328+N329*'RAP TEMPLATE-GAS AVAILABILITY'!P328+O329*'RAP TEMPLATE-GAS AVAILABILITY'!Q328+P329*'RAP TEMPLATE-GAS AVAILABILITY'!R328)/('RAP TEMPLATE-GAS AVAILABILITY'!O328+'RAP TEMPLATE-GAS AVAILABILITY'!P328+'RAP TEMPLATE-GAS AVAILABILITY'!Q328+'RAP TEMPLATE-GAS AVAILABILITY'!R328)</f>
        <v>15.321470503597123</v>
      </c>
    </row>
    <row r="330" spans="1:29" ht="15.75" x14ac:dyDescent="0.25">
      <c r="A330" s="14">
        <v>50951</v>
      </c>
      <c r="B330" s="17">
        <f>CHOOSE(CONTROL!$C$42, 15.9294, 15.9294) * CHOOSE(CONTROL!$C$21, $C$9, 100%, $E$9)</f>
        <v>15.929399999999999</v>
      </c>
      <c r="C330" s="17">
        <f>CHOOSE(CONTROL!$C$42, 15.9374, 15.9374) * CHOOSE(CONTROL!$C$21, $C$9, 100%, $E$9)</f>
        <v>15.9374</v>
      </c>
      <c r="D330" s="17">
        <f>CHOOSE(CONTROL!$C$42, 16.2085, 16.2085) * CHOOSE(CONTROL!$C$21, $C$9, 100%, $E$9)</f>
        <v>16.208500000000001</v>
      </c>
      <c r="E330" s="17">
        <f>CHOOSE(CONTROL!$C$42, 16.2399, 16.2399) * CHOOSE(CONTROL!$C$21, $C$9, 100%, $E$9)</f>
        <v>16.239899999999999</v>
      </c>
      <c r="F330" s="17">
        <f>CHOOSE(CONTROL!$C$42, 15.9478, 15.9478)*CHOOSE(CONTROL!$C$21, $C$9, 100%, $E$9)</f>
        <v>15.947800000000001</v>
      </c>
      <c r="G330" s="17">
        <f>CHOOSE(CONTROL!$C$42, 15.9645, 15.9645)*CHOOSE(CONTROL!$C$21, $C$9, 100%, $E$9)</f>
        <v>15.964499999999999</v>
      </c>
      <c r="H330" s="17">
        <f>CHOOSE(CONTROL!$C$42, 16.2286, 16.2286) * CHOOSE(CONTROL!$C$21, $C$9, 100%, $E$9)</f>
        <v>16.2286</v>
      </c>
      <c r="I330" s="17">
        <f>CHOOSE(CONTROL!$C$42, 15.9991, 15.9991)* CHOOSE(CONTROL!$C$21, $C$9, 100%, $E$9)</f>
        <v>15.9991</v>
      </c>
      <c r="J330" s="17">
        <f>CHOOSE(CONTROL!$C$42, 15.9408, 15.9408)* CHOOSE(CONTROL!$C$21, $C$9, 100%, $E$9)</f>
        <v>15.940799999999999</v>
      </c>
      <c r="K330" s="52">
        <f>CHOOSE(CONTROL!$C$42, 15.9949, 15.9949) * CHOOSE(CONTROL!$C$21, $C$9, 100%, $E$9)</f>
        <v>15.994899999999999</v>
      </c>
      <c r="L330" s="17">
        <f>CHOOSE(CONTROL!$C$42, 16.8156, 16.8156) * CHOOSE(CONTROL!$C$21, $C$9, 100%, $E$9)</f>
        <v>16.8156</v>
      </c>
      <c r="M330" s="17">
        <f>CHOOSE(CONTROL!$C$42, 15.6618, 15.6618) * CHOOSE(CONTROL!$C$21, $C$9, 100%, $E$9)</f>
        <v>15.661799999999999</v>
      </c>
      <c r="N330" s="17">
        <f>CHOOSE(CONTROL!$C$42, 15.6782, 15.6782) * CHOOSE(CONTROL!$C$21, $C$9, 100%, $E$9)</f>
        <v>15.6782</v>
      </c>
      <c r="O330" s="17">
        <f>CHOOSE(CONTROL!$C$42, 15.9444, 15.9444) * CHOOSE(CONTROL!$C$21, $C$9, 100%, $E$9)</f>
        <v>15.9444</v>
      </c>
      <c r="P330" s="17">
        <f>CHOOSE(CONTROL!$C$42, 15.7182, 15.7182) * CHOOSE(CONTROL!$C$21, $C$9, 100%, $E$9)</f>
        <v>15.7182</v>
      </c>
      <c r="Q330" s="17">
        <f>CHOOSE(CONTROL!$C$42, 16.5391, 16.5391) * CHOOSE(CONTROL!$C$21, $C$9, 100%, $E$9)</f>
        <v>16.539100000000001</v>
      </c>
      <c r="R330" s="17">
        <f>CHOOSE(CONTROL!$C$42, 17.1674, 17.1674) * CHOOSE(CONTROL!$C$21, $C$9, 100%, $E$9)</f>
        <v>17.167400000000001</v>
      </c>
      <c r="S330" s="17">
        <f>CHOOSE(CONTROL!$C$42, 15.2959, 15.2959) * CHOOSE(CONTROL!$C$21, $C$9, 100%, $E$9)</f>
        <v>15.2959</v>
      </c>
      <c r="T33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30" s="56">
        <f>(1000*CHOOSE(CONTROL!$C$42, 695, 695)*CHOOSE(CONTROL!$C$42, 0.5599, 0.5599)*CHOOSE(CONTROL!$C$42, 30, 30))/1000000</f>
        <v>11.673914999999997</v>
      </c>
      <c r="V330" s="56">
        <f>(1000*CHOOSE(CONTROL!$C$42, 500, 500)*CHOOSE(CONTROL!$C$42, 0.275, 0.275)*CHOOSE(CONTROL!$C$42, 30, 30))/1000000</f>
        <v>4.125</v>
      </c>
      <c r="W330" s="56">
        <f>(1000*CHOOSE(CONTROL!$C$42, 0.1146, 0.1146)*CHOOSE(CONTROL!$C$42, 121.5, 121.5)*CHOOSE(CONTROL!$C$42, 30, 30))/1000000</f>
        <v>0.417717</v>
      </c>
      <c r="X330" s="56">
        <f>(30*0.1790888*145000/1000000)+(30*0.2374*100000/1000000)</f>
        <v>1.4912362799999999</v>
      </c>
      <c r="Y330" s="56"/>
      <c r="Z330" s="17"/>
      <c r="AA330" s="55"/>
      <c r="AB330" s="48">
        <f>(B330*194.205+C330*267.466+D330*133.845+E330*153.484+F330*40+G330*85+H330*0+I330*100+J330*300)/(194.205+267.466+133.845+153.484+0+40+85+100+300)</f>
        <v>16.008883633830454</v>
      </c>
      <c r="AC330" s="45">
        <f>(M330*'RAP TEMPLATE-GAS AVAILABILITY'!O329+N330*'RAP TEMPLATE-GAS AVAILABILITY'!P329+O330*'RAP TEMPLATE-GAS AVAILABILITY'!Q329+P330*'RAP TEMPLATE-GAS AVAILABILITY'!R329)/('RAP TEMPLATE-GAS AVAILABILITY'!O329+'RAP TEMPLATE-GAS AVAILABILITY'!P329+'RAP TEMPLATE-GAS AVAILABILITY'!Q329+'RAP TEMPLATE-GAS AVAILABILITY'!R329)</f>
        <v>15.752981294964028</v>
      </c>
    </row>
    <row r="331" spans="1:29" ht="15.75" x14ac:dyDescent="0.25">
      <c r="A331" s="14">
        <v>50982</v>
      </c>
      <c r="B331" s="17">
        <f>CHOOSE(CONTROL!$C$42, 15.624, 15.624) * CHOOSE(CONTROL!$C$21, $C$9, 100%, $E$9)</f>
        <v>15.624000000000001</v>
      </c>
      <c r="C331" s="17">
        <f>CHOOSE(CONTROL!$C$42, 15.632, 15.632) * CHOOSE(CONTROL!$C$21, $C$9, 100%, $E$9)</f>
        <v>15.632</v>
      </c>
      <c r="D331" s="17">
        <f>CHOOSE(CONTROL!$C$42, 15.9031, 15.9031) * CHOOSE(CONTROL!$C$21, $C$9, 100%, $E$9)</f>
        <v>15.9031</v>
      </c>
      <c r="E331" s="17">
        <f>CHOOSE(CONTROL!$C$42, 15.9346, 15.9346) * CHOOSE(CONTROL!$C$21, $C$9, 100%, $E$9)</f>
        <v>15.9346</v>
      </c>
      <c r="F331" s="17">
        <f>CHOOSE(CONTROL!$C$42, 15.6429, 15.6429)*CHOOSE(CONTROL!$C$21, $C$9, 100%, $E$9)</f>
        <v>15.642899999999999</v>
      </c>
      <c r="G331" s="17">
        <f>CHOOSE(CONTROL!$C$42, 15.6597, 15.6597)*CHOOSE(CONTROL!$C$21, $C$9, 100%, $E$9)</f>
        <v>15.659700000000001</v>
      </c>
      <c r="H331" s="17">
        <f>CHOOSE(CONTROL!$C$42, 15.9232, 15.9232) * CHOOSE(CONTROL!$C$21, $C$9, 100%, $E$9)</f>
        <v>15.9232</v>
      </c>
      <c r="I331" s="17">
        <f>CHOOSE(CONTROL!$C$42, 15.6928, 15.6928)* CHOOSE(CONTROL!$C$21, $C$9, 100%, $E$9)</f>
        <v>15.6928</v>
      </c>
      <c r="J331" s="17">
        <f>CHOOSE(CONTROL!$C$42, 15.6359, 15.6359)* CHOOSE(CONTROL!$C$21, $C$9, 100%, $E$9)</f>
        <v>15.635899999999999</v>
      </c>
      <c r="K331" s="52">
        <f>CHOOSE(CONTROL!$C$42, 15.6886, 15.6886) * CHOOSE(CONTROL!$C$21, $C$9, 100%, $E$9)</f>
        <v>15.688599999999999</v>
      </c>
      <c r="L331" s="17">
        <f>CHOOSE(CONTROL!$C$42, 16.5102, 16.5102) * CHOOSE(CONTROL!$C$21, $C$9, 100%, $E$9)</f>
        <v>16.510200000000001</v>
      </c>
      <c r="M331" s="17">
        <f>CHOOSE(CONTROL!$C$42, 15.3623, 15.3623) * CHOOSE(CONTROL!$C$21, $C$9, 100%, $E$9)</f>
        <v>15.362299999999999</v>
      </c>
      <c r="N331" s="17">
        <f>CHOOSE(CONTROL!$C$42, 15.3789, 15.3789) * CHOOSE(CONTROL!$C$21, $C$9, 100%, $E$9)</f>
        <v>15.3789</v>
      </c>
      <c r="O331" s="17">
        <f>CHOOSE(CONTROL!$C$42, 15.6445, 15.6445) * CHOOSE(CONTROL!$C$21, $C$9, 100%, $E$9)</f>
        <v>15.644500000000001</v>
      </c>
      <c r="P331" s="17">
        <f>CHOOSE(CONTROL!$C$42, 15.4174, 15.4174) * CHOOSE(CONTROL!$C$21, $C$9, 100%, $E$9)</f>
        <v>15.417400000000001</v>
      </c>
      <c r="Q331" s="17">
        <f>CHOOSE(CONTROL!$C$42, 16.2392, 16.2392) * CHOOSE(CONTROL!$C$21, $C$9, 100%, $E$9)</f>
        <v>16.2392</v>
      </c>
      <c r="R331" s="17">
        <f>CHOOSE(CONTROL!$C$42, 16.8668, 16.8668) * CHOOSE(CONTROL!$C$21, $C$9, 100%, $E$9)</f>
        <v>16.866800000000001</v>
      </c>
      <c r="S331" s="17">
        <f>CHOOSE(CONTROL!$C$42, 15.0025, 15.0025) * CHOOSE(CONTROL!$C$21, $C$9, 100%, $E$9)</f>
        <v>15.0025</v>
      </c>
      <c r="T33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31" s="56">
        <f>(1000*CHOOSE(CONTROL!$C$42, 695, 695)*CHOOSE(CONTROL!$C$42, 0.5599, 0.5599)*CHOOSE(CONTROL!$C$42, 31, 31))/1000000</f>
        <v>12.063045499999998</v>
      </c>
      <c r="V331" s="56">
        <f>(1000*CHOOSE(CONTROL!$C$42, 500, 500)*CHOOSE(CONTROL!$C$42, 0.275, 0.275)*CHOOSE(CONTROL!$C$42, 31, 31))/1000000</f>
        <v>4.2625000000000002</v>
      </c>
      <c r="W331" s="56">
        <f>(1000*CHOOSE(CONTROL!$C$42, 0.1146, 0.1146)*CHOOSE(CONTROL!$C$42, 121.5, 121.5)*CHOOSE(CONTROL!$C$42, 31, 31))/1000000</f>
        <v>0.43164089999999994</v>
      </c>
      <c r="X331" s="56">
        <f>(31*0.1790888*145000/1000000)+(31*0.2374*100000/1000000)</f>
        <v>1.5409441560000001</v>
      </c>
      <c r="Y331" s="56"/>
      <c r="Z331" s="17"/>
      <c r="AA331" s="55"/>
      <c r="AB331" s="48">
        <f>(B331*194.205+C331*267.466+D331*133.845+E331*153.484+F331*40+G331*85+H331*0+I331*100+J331*300)/(194.205+267.466+133.845+153.484+0+40+85+100+300)</f>
        <v>15.703598506985873</v>
      </c>
      <c r="AC331" s="45">
        <f>(M331*'RAP TEMPLATE-GAS AVAILABILITY'!O330+N331*'RAP TEMPLATE-GAS AVAILABILITY'!P330+O331*'RAP TEMPLATE-GAS AVAILABILITY'!Q330+P331*'RAP TEMPLATE-GAS AVAILABILITY'!R330)/('RAP TEMPLATE-GAS AVAILABILITY'!O330+'RAP TEMPLATE-GAS AVAILABILITY'!P330+'RAP TEMPLATE-GAS AVAILABILITY'!Q330+'RAP TEMPLATE-GAS AVAILABILITY'!R330)</f>
        <v>15.453228057553956</v>
      </c>
    </row>
    <row r="332" spans="1:29" ht="15.75" x14ac:dyDescent="0.25">
      <c r="A332" s="14">
        <v>51013</v>
      </c>
      <c r="B332" s="17">
        <f>CHOOSE(CONTROL!$C$42, 14.8529, 14.8529) * CHOOSE(CONTROL!$C$21, $C$9, 100%, $E$9)</f>
        <v>14.8529</v>
      </c>
      <c r="C332" s="17">
        <f>CHOOSE(CONTROL!$C$42, 14.8609, 14.8609) * CHOOSE(CONTROL!$C$21, $C$9, 100%, $E$9)</f>
        <v>14.860900000000001</v>
      </c>
      <c r="D332" s="17">
        <f>CHOOSE(CONTROL!$C$42, 15.1319, 15.1319) * CHOOSE(CONTROL!$C$21, $C$9, 100%, $E$9)</f>
        <v>15.1319</v>
      </c>
      <c r="E332" s="17">
        <f>CHOOSE(CONTROL!$C$42, 15.1634, 15.1634) * CHOOSE(CONTROL!$C$21, $C$9, 100%, $E$9)</f>
        <v>15.163399999999999</v>
      </c>
      <c r="F332" s="17">
        <f>CHOOSE(CONTROL!$C$42, 14.872, 14.872)*CHOOSE(CONTROL!$C$21, $C$9, 100%, $E$9)</f>
        <v>14.872</v>
      </c>
      <c r="G332" s="17">
        <f>CHOOSE(CONTROL!$C$42, 14.8889, 14.8889)*CHOOSE(CONTROL!$C$21, $C$9, 100%, $E$9)</f>
        <v>14.8889</v>
      </c>
      <c r="H332" s="17">
        <f>CHOOSE(CONTROL!$C$42, 15.152, 15.152) * CHOOSE(CONTROL!$C$21, $C$9, 100%, $E$9)</f>
        <v>15.151999999999999</v>
      </c>
      <c r="I332" s="17">
        <f>CHOOSE(CONTROL!$C$42, 14.9192, 14.9192)* CHOOSE(CONTROL!$C$21, $C$9, 100%, $E$9)</f>
        <v>14.9192</v>
      </c>
      <c r="J332" s="17">
        <f>CHOOSE(CONTROL!$C$42, 14.865, 14.865)* CHOOSE(CONTROL!$C$21, $C$9, 100%, $E$9)</f>
        <v>14.865</v>
      </c>
      <c r="K332" s="52">
        <f>CHOOSE(CONTROL!$C$42, 14.915, 14.915) * CHOOSE(CONTROL!$C$21, $C$9, 100%, $E$9)</f>
        <v>14.914999999999999</v>
      </c>
      <c r="L332" s="17">
        <f>CHOOSE(CONTROL!$C$42, 15.739, 15.739) * CHOOSE(CONTROL!$C$21, $C$9, 100%, $E$9)</f>
        <v>15.739000000000001</v>
      </c>
      <c r="M332" s="17">
        <f>CHOOSE(CONTROL!$C$42, 14.6053, 14.6053) * CHOOSE(CONTROL!$C$21, $C$9, 100%, $E$9)</f>
        <v>14.6053</v>
      </c>
      <c r="N332" s="17">
        <f>CHOOSE(CONTROL!$C$42, 14.6219, 14.6219) * CHOOSE(CONTROL!$C$21, $C$9, 100%, $E$9)</f>
        <v>14.6219</v>
      </c>
      <c r="O332" s="17">
        <f>CHOOSE(CONTROL!$C$42, 14.8872, 14.8872) * CHOOSE(CONTROL!$C$21, $C$9, 100%, $E$9)</f>
        <v>14.8872</v>
      </c>
      <c r="P332" s="17">
        <f>CHOOSE(CONTROL!$C$42, 14.6578, 14.6578) * CHOOSE(CONTROL!$C$21, $C$9, 100%, $E$9)</f>
        <v>14.6578</v>
      </c>
      <c r="Q332" s="17">
        <f>CHOOSE(CONTROL!$C$42, 15.4819, 15.4819) * CHOOSE(CONTROL!$C$21, $C$9, 100%, $E$9)</f>
        <v>15.4819</v>
      </c>
      <c r="R332" s="17">
        <f>CHOOSE(CONTROL!$C$42, 16.1076, 16.1076) * CHOOSE(CONTROL!$C$21, $C$9, 100%, $E$9)</f>
        <v>16.107600000000001</v>
      </c>
      <c r="S332" s="17">
        <f>CHOOSE(CONTROL!$C$42, 14.2615, 14.2615) * CHOOSE(CONTROL!$C$21, $C$9, 100%, $E$9)</f>
        <v>14.2615</v>
      </c>
      <c r="T33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32" s="56">
        <f>(1000*CHOOSE(CONTROL!$C$42, 695, 695)*CHOOSE(CONTROL!$C$42, 0.5599, 0.5599)*CHOOSE(CONTROL!$C$42, 31, 31))/1000000</f>
        <v>12.063045499999998</v>
      </c>
      <c r="V332" s="56">
        <f>(1000*CHOOSE(CONTROL!$C$42, 500, 500)*CHOOSE(CONTROL!$C$42, 0.275, 0.275)*CHOOSE(CONTROL!$C$42, 31, 31))/1000000</f>
        <v>4.2625000000000002</v>
      </c>
      <c r="W332" s="56">
        <f>(1000*CHOOSE(CONTROL!$C$42, 0.1146, 0.1146)*CHOOSE(CONTROL!$C$42, 121.5, 121.5)*CHOOSE(CONTROL!$C$42, 31, 31))/1000000</f>
        <v>0.43164089999999994</v>
      </c>
      <c r="X332" s="56">
        <f>(31*0.1790888*145000/1000000)+(31*0.2374*100000/1000000)</f>
        <v>1.5409441560000001</v>
      </c>
      <c r="Y332" s="56"/>
      <c r="Z332" s="17"/>
      <c r="AA332" s="55"/>
      <c r="AB332" s="48">
        <f>(B332*194.205+C332*267.466+D332*133.845+E332*153.484+F332*40+G332*85+H332*0+I332*100+J332*300)/(194.205+267.466+133.845+153.484+0+40+85+100+300)</f>
        <v>14.932353112244895</v>
      </c>
      <c r="AC332" s="45">
        <f>(M332*'RAP TEMPLATE-GAS AVAILABILITY'!O331+N332*'RAP TEMPLATE-GAS AVAILABILITY'!P331+O332*'RAP TEMPLATE-GAS AVAILABILITY'!Q331+P332*'RAP TEMPLATE-GAS AVAILABILITY'!R331)/('RAP TEMPLATE-GAS AVAILABILITY'!O331+'RAP TEMPLATE-GAS AVAILABILITY'!P331+'RAP TEMPLATE-GAS AVAILABILITY'!Q331+'RAP TEMPLATE-GAS AVAILABILITY'!R331)</f>
        <v>14.695769784172661</v>
      </c>
    </row>
    <row r="333" spans="1:29" ht="15.75" x14ac:dyDescent="0.25">
      <c r="A333" s="14">
        <v>51043</v>
      </c>
      <c r="B333" s="17">
        <f>CHOOSE(CONTROL!$C$42, 13.9104, 13.9104) * CHOOSE(CONTROL!$C$21, $C$9, 100%, $E$9)</f>
        <v>13.910399999999999</v>
      </c>
      <c r="C333" s="17">
        <f>CHOOSE(CONTROL!$C$42, 13.9184, 13.9184) * CHOOSE(CONTROL!$C$21, $C$9, 100%, $E$9)</f>
        <v>13.9184</v>
      </c>
      <c r="D333" s="17">
        <f>CHOOSE(CONTROL!$C$42, 14.1895, 14.1895) * CHOOSE(CONTROL!$C$21, $C$9, 100%, $E$9)</f>
        <v>14.189500000000001</v>
      </c>
      <c r="E333" s="17">
        <f>CHOOSE(CONTROL!$C$42, 14.221, 14.221) * CHOOSE(CONTROL!$C$21, $C$9, 100%, $E$9)</f>
        <v>14.221</v>
      </c>
      <c r="F333" s="17">
        <f>CHOOSE(CONTROL!$C$42, 13.9296, 13.9296)*CHOOSE(CONTROL!$C$21, $C$9, 100%, $E$9)</f>
        <v>13.929600000000001</v>
      </c>
      <c r="G333" s="17">
        <f>CHOOSE(CONTROL!$C$42, 13.9465, 13.9465)*CHOOSE(CONTROL!$C$21, $C$9, 100%, $E$9)</f>
        <v>13.9465</v>
      </c>
      <c r="H333" s="17">
        <f>CHOOSE(CONTROL!$C$42, 14.2096, 14.2096) * CHOOSE(CONTROL!$C$21, $C$9, 100%, $E$9)</f>
        <v>14.2096</v>
      </c>
      <c r="I333" s="17">
        <f>CHOOSE(CONTROL!$C$42, 13.9738, 13.9738)* CHOOSE(CONTROL!$C$21, $C$9, 100%, $E$9)</f>
        <v>13.973800000000001</v>
      </c>
      <c r="J333" s="17">
        <f>CHOOSE(CONTROL!$C$42, 13.9226, 13.9226)* CHOOSE(CONTROL!$C$21, $C$9, 100%, $E$9)</f>
        <v>13.922599999999999</v>
      </c>
      <c r="K333" s="52">
        <f>CHOOSE(CONTROL!$C$42, 13.9696, 13.9696) * CHOOSE(CONTROL!$C$21, $C$9, 100%, $E$9)</f>
        <v>13.9696</v>
      </c>
      <c r="L333" s="17">
        <f>CHOOSE(CONTROL!$C$42, 14.7966, 14.7966) * CHOOSE(CONTROL!$C$21, $C$9, 100%, $E$9)</f>
        <v>14.7966</v>
      </c>
      <c r="M333" s="17">
        <f>CHOOSE(CONTROL!$C$42, 13.6799, 13.6799) * CHOOSE(CONTROL!$C$21, $C$9, 100%, $E$9)</f>
        <v>13.6799</v>
      </c>
      <c r="N333" s="17">
        <f>CHOOSE(CONTROL!$C$42, 13.6965, 13.6965) * CHOOSE(CONTROL!$C$21, $C$9, 100%, $E$9)</f>
        <v>13.6965</v>
      </c>
      <c r="O333" s="17">
        <f>CHOOSE(CONTROL!$C$42, 13.9617, 13.9617) * CHOOSE(CONTROL!$C$21, $C$9, 100%, $E$9)</f>
        <v>13.9617</v>
      </c>
      <c r="P333" s="17">
        <f>CHOOSE(CONTROL!$C$42, 13.7295, 13.7295) * CHOOSE(CONTROL!$C$21, $C$9, 100%, $E$9)</f>
        <v>13.7295</v>
      </c>
      <c r="Q333" s="17">
        <f>CHOOSE(CONTROL!$C$42, 14.5564, 14.5564) * CHOOSE(CONTROL!$C$21, $C$9, 100%, $E$9)</f>
        <v>14.5564</v>
      </c>
      <c r="R333" s="17">
        <f>CHOOSE(CONTROL!$C$42, 15.1798, 15.1798) * CHOOSE(CONTROL!$C$21, $C$9, 100%, $E$9)</f>
        <v>15.1798</v>
      </c>
      <c r="S333" s="17">
        <f>CHOOSE(CONTROL!$C$42, 13.3559, 13.3559) * CHOOSE(CONTROL!$C$21, $C$9, 100%, $E$9)</f>
        <v>13.3559</v>
      </c>
      <c r="T33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33" s="56">
        <f>(1000*CHOOSE(CONTROL!$C$42, 695, 695)*CHOOSE(CONTROL!$C$42, 0.5599, 0.5599)*CHOOSE(CONTROL!$C$42, 30, 30))/1000000</f>
        <v>11.673914999999997</v>
      </c>
      <c r="V333" s="56">
        <f>(1000*CHOOSE(CONTROL!$C$42, 500, 500)*CHOOSE(CONTROL!$C$42, 0.275, 0.275)*CHOOSE(CONTROL!$C$42, 30, 30))/1000000</f>
        <v>4.125</v>
      </c>
      <c r="W333" s="56">
        <f>(1000*CHOOSE(CONTROL!$C$42, 0.1146, 0.1146)*CHOOSE(CONTROL!$C$42, 121.5, 121.5)*CHOOSE(CONTROL!$C$42, 30, 30))/1000000</f>
        <v>0.417717</v>
      </c>
      <c r="X333" s="56">
        <f>(30*0.1790888*145000/1000000)+(30*0.2374*100000/1000000)</f>
        <v>1.4912362799999999</v>
      </c>
      <c r="Y333" s="56"/>
      <c r="Z333" s="17"/>
      <c r="AA333" s="55"/>
      <c r="AB333" s="48">
        <f>(B333*194.205+C333*267.466+D333*133.845+E333*153.484+F333*40+G333*85+H333*0+I333*100+J333*300)/(194.205+267.466+133.845+153.484+0+40+85+100+300)</f>
        <v>13.989681395525903</v>
      </c>
      <c r="AC333" s="45">
        <f>(M333*'RAP TEMPLATE-GAS AVAILABILITY'!O332+N333*'RAP TEMPLATE-GAS AVAILABILITY'!P332+O333*'RAP TEMPLATE-GAS AVAILABILITY'!Q332+P333*'RAP TEMPLATE-GAS AVAILABILITY'!R332)/('RAP TEMPLATE-GAS AVAILABILITY'!O332+'RAP TEMPLATE-GAS AVAILABILITY'!P332+'RAP TEMPLATE-GAS AVAILABILITY'!Q332+'RAP TEMPLATE-GAS AVAILABILITY'!R332)</f>
        <v>13.769924460431655</v>
      </c>
    </row>
    <row r="334" spans="1:29" ht="15.75" x14ac:dyDescent="0.25">
      <c r="A334" s="14">
        <v>51074</v>
      </c>
      <c r="B334" s="17">
        <f>CHOOSE(CONTROL!$C$42, 13.6265, 13.6265) * CHOOSE(CONTROL!$C$21, $C$9, 100%, $E$9)</f>
        <v>13.6265</v>
      </c>
      <c r="C334" s="17">
        <f>CHOOSE(CONTROL!$C$42, 13.6318, 13.6318) * CHOOSE(CONTROL!$C$21, $C$9, 100%, $E$9)</f>
        <v>13.6318</v>
      </c>
      <c r="D334" s="17">
        <f>CHOOSE(CONTROL!$C$42, 13.9078, 13.9078) * CHOOSE(CONTROL!$C$21, $C$9, 100%, $E$9)</f>
        <v>13.9078</v>
      </c>
      <c r="E334" s="17">
        <f>CHOOSE(CONTROL!$C$42, 13.9369, 13.9369) * CHOOSE(CONTROL!$C$21, $C$9, 100%, $E$9)</f>
        <v>13.9369</v>
      </c>
      <c r="F334" s="17">
        <f>CHOOSE(CONTROL!$C$42, 13.6479, 13.6479)*CHOOSE(CONTROL!$C$21, $C$9, 100%, $E$9)</f>
        <v>13.6479</v>
      </c>
      <c r="G334" s="17">
        <f>CHOOSE(CONTROL!$C$42, 13.6646, 13.6646)*CHOOSE(CONTROL!$C$21, $C$9, 100%, $E$9)</f>
        <v>13.6646</v>
      </c>
      <c r="H334" s="17">
        <f>CHOOSE(CONTROL!$C$42, 13.9274, 13.9274) * CHOOSE(CONTROL!$C$21, $C$9, 100%, $E$9)</f>
        <v>13.9274</v>
      </c>
      <c r="I334" s="17">
        <f>CHOOSE(CONTROL!$C$42, 13.6908, 13.6908)* CHOOSE(CONTROL!$C$21, $C$9, 100%, $E$9)</f>
        <v>13.690799999999999</v>
      </c>
      <c r="J334" s="17">
        <f>CHOOSE(CONTROL!$C$42, 13.6409, 13.6409)* CHOOSE(CONTROL!$C$21, $C$9, 100%, $E$9)</f>
        <v>13.6409</v>
      </c>
      <c r="K334" s="52">
        <f>CHOOSE(CONTROL!$C$42, 13.6865, 13.6865) * CHOOSE(CONTROL!$C$21, $C$9, 100%, $E$9)</f>
        <v>13.686500000000001</v>
      </c>
      <c r="L334" s="17">
        <f>CHOOSE(CONTROL!$C$42, 14.5144, 14.5144) * CHOOSE(CONTROL!$C$21, $C$9, 100%, $E$9)</f>
        <v>14.5144</v>
      </c>
      <c r="M334" s="17">
        <f>CHOOSE(CONTROL!$C$42, 13.4032, 13.4032) * CHOOSE(CONTROL!$C$21, $C$9, 100%, $E$9)</f>
        <v>13.4032</v>
      </c>
      <c r="N334" s="17">
        <f>CHOOSE(CONTROL!$C$42, 13.4197, 13.4197) * CHOOSE(CONTROL!$C$21, $C$9, 100%, $E$9)</f>
        <v>13.419700000000001</v>
      </c>
      <c r="O334" s="17">
        <f>CHOOSE(CONTROL!$C$42, 13.6846, 13.6846) * CHOOSE(CONTROL!$C$21, $C$9, 100%, $E$9)</f>
        <v>13.6846</v>
      </c>
      <c r="P334" s="17">
        <f>CHOOSE(CONTROL!$C$42, 13.4515, 13.4515) * CHOOSE(CONTROL!$C$21, $C$9, 100%, $E$9)</f>
        <v>13.451499999999999</v>
      </c>
      <c r="Q334" s="17">
        <f>CHOOSE(CONTROL!$C$42, 14.2793, 14.2793) * CHOOSE(CONTROL!$C$21, $C$9, 100%, $E$9)</f>
        <v>14.279299999999999</v>
      </c>
      <c r="R334" s="17">
        <f>CHOOSE(CONTROL!$C$42, 14.902, 14.902) * CHOOSE(CONTROL!$C$21, $C$9, 100%, $E$9)</f>
        <v>14.901999999999999</v>
      </c>
      <c r="S334" s="17">
        <f>CHOOSE(CONTROL!$C$42, 13.0847, 13.0847) * CHOOSE(CONTROL!$C$21, $C$9, 100%, $E$9)</f>
        <v>13.0847</v>
      </c>
      <c r="T33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34" s="56">
        <f>(1000*CHOOSE(CONTROL!$C$42, 695, 695)*CHOOSE(CONTROL!$C$42, 0.5599, 0.5599)*CHOOSE(CONTROL!$C$42, 31, 31))/1000000</f>
        <v>12.063045499999998</v>
      </c>
      <c r="V334" s="56">
        <f>(1000*CHOOSE(CONTROL!$C$42, 500, 500)*CHOOSE(CONTROL!$C$42, 0.275, 0.275)*CHOOSE(CONTROL!$C$42, 31, 31))/1000000</f>
        <v>4.2625000000000002</v>
      </c>
      <c r="W334" s="56">
        <f>(1000*CHOOSE(CONTROL!$C$42, 0.1146, 0.1146)*CHOOSE(CONTROL!$C$42, 121.5, 121.5)*CHOOSE(CONTROL!$C$42, 31, 31))/1000000</f>
        <v>0.43164089999999994</v>
      </c>
      <c r="X334" s="56">
        <f>(31*0.1790888*145000/1000000)+(31*0.2374*100000/1000000)</f>
        <v>1.5409441560000001</v>
      </c>
      <c r="Y334" s="56"/>
      <c r="Z334" s="17"/>
      <c r="AA334" s="55"/>
      <c r="AB334" s="48">
        <f>(B334*131.881+C334*277.167+D334*79.08+E334*225.872+F334*40+G334*85+H334*0+I334*100+J334*300)/(131.881+277.167+79.08+225.872+0+40+85+100+300)</f>
        <v>13.714207310653753</v>
      </c>
      <c r="AC334" s="45">
        <f>(M334*'RAP TEMPLATE-GAS AVAILABILITY'!O333+N334*'RAP TEMPLATE-GAS AVAILABILITY'!P333+O334*'RAP TEMPLATE-GAS AVAILABILITY'!Q333+P334*'RAP TEMPLATE-GAS AVAILABILITY'!R333)/('RAP TEMPLATE-GAS AVAILABILITY'!O333+'RAP TEMPLATE-GAS AVAILABILITY'!P333+'RAP TEMPLATE-GAS AVAILABILITY'!Q333+'RAP TEMPLATE-GAS AVAILABILITY'!R333)</f>
        <v>13.492902158273379</v>
      </c>
    </row>
    <row r="335" spans="1:29" ht="15.75" x14ac:dyDescent="0.25">
      <c r="A335" s="14">
        <v>51104</v>
      </c>
      <c r="B335" s="17">
        <f>CHOOSE(CONTROL!$C$42, 13.9848, 13.9848) * CHOOSE(CONTROL!$C$21, $C$9, 100%, $E$9)</f>
        <v>13.9848</v>
      </c>
      <c r="C335" s="17">
        <f>CHOOSE(CONTROL!$C$42, 13.9898, 13.9898) * CHOOSE(CONTROL!$C$21, $C$9, 100%, $E$9)</f>
        <v>13.989800000000001</v>
      </c>
      <c r="D335" s="17">
        <f>CHOOSE(CONTROL!$C$42, 14.0849, 14.0849) * CHOOSE(CONTROL!$C$21, $C$9, 100%, $E$9)</f>
        <v>14.084899999999999</v>
      </c>
      <c r="E335" s="17">
        <f>CHOOSE(CONTROL!$C$42, 14.119, 14.119) * CHOOSE(CONTROL!$C$21, $C$9, 100%, $E$9)</f>
        <v>14.119</v>
      </c>
      <c r="F335" s="17">
        <f>CHOOSE(CONTROL!$C$42, 14.0087, 14.0087)*CHOOSE(CONTROL!$C$21, $C$9, 100%, $E$9)</f>
        <v>14.008699999999999</v>
      </c>
      <c r="G335" s="17">
        <f>CHOOSE(CONTROL!$C$42, 14.0257, 14.0257)*CHOOSE(CONTROL!$C$21, $C$9, 100%, $E$9)</f>
        <v>14.025700000000001</v>
      </c>
      <c r="H335" s="17">
        <f>CHOOSE(CONTROL!$C$42, 14.1082, 14.1082) * CHOOSE(CONTROL!$C$21, $C$9, 100%, $E$9)</f>
        <v>14.1082</v>
      </c>
      <c r="I335" s="17">
        <f>CHOOSE(CONTROL!$C$42, 14.0485, 14.0485)* CHOOSE(CONTROL!$C$21, $C$9, 100%, $E$9)</f>
        <v>14.048500000000001</v>
      </c>
      <c r="J335" s="17">
        <f>CHOOSE(CONTROL!$C$42, 14.0017, 14.0017)* CHOOSE(CONTROL!$C$21, $C$9, 100%, $E$9)</f>
        <v>14.0017</v>
      </c>
      <c r="K335" s="52">
        <f>CHOOSE(CONTROL!$C$42, 14.0443, 14.0443) * CHOOSE(CONTROL!$C$21, $C$9, 100%, $E$9)</f>
        <v>14.0443</v>
      </c>
      <c r="L335" s="17">
        <f>CHOOSE(CONTROL!$C$42, 14.6952, 14.6952) * CHOOSE(CONTROL!$C$21, $C$9, 100%, $E$9)</f>
        <v>14.6952</v>
      </c>
      <c r="M335" s="17">
        <f>CHOOSE(CONTROL!$C$42, 13.7575, 13.7575) * CHOOSE(CONTROL!$C$21, $C$9, 100%, $E$9)</f>
        <v>13.7575</v>
      </c>
      <c r="N335" s="17">
        <f>CHOOSE(CONTROL!$C$42, 13.7743, 13.7743) * CHOOSE(CONTROL!$C$21, $C$9, 100%, $E$9)</f>
        <v>13.7743</v>
      </c>
      <c r="O335" s="17">
        <f>CHOOSE(CONTROL!$C$42, 13.8621, 13.8621) * CHOOSE(CONTROL!$C$21, $C$9, 100%, $E$9)</f>
        <v>13.8621</v>
      </c>
      <c r="P335" s="17">
        <f>CHOOSE(CONTROL!$C$42, 13.8028, 13.8028) * CHOOSE(CONTROL!$C$21, $C$9, 100%, $E$9)</f>
        <v>13.8028</v>
      </c>
      <c r="Q335" s="17">
        <f>CHOOSE(CONTROL!$C$42, 14.4568, 14.4568) * CHOOSE(CONTROL!$C$21, $C$9, 100%, $E$9)</f>
        <v>14.456799999999999</v>
      </c>
      <c r="R335" s="17">
        <f>CHOOSE(CONTROL!$C$42, 15.0799, 15.0799) * CHOOSE(CONTROL!$C$21, $C$9, 100%, $E$9)</f>
        <v>15.0799</v>
      </c>
      <c r="S335" s="17">
        <f>CHOOSE(CONTROL!$C$42, 13.4294, 13.4294) * CHOOSE(CONTROL!$C$21, $C$9, 100%, $E$9)</f>
        <v>13.429399999999999</v>
      </c>
      <c r="T33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35" s="56">
        <f>(1000*CHOOSE(CONTROL!$C$42, 695, 695)*CHOOSE(CONTROL!$C$42, 0.5599, 0.5599)*CHOOSE(CONTROL!$C$42, 30, 30))/1000000</f>
        <v>11.673914999999997</v>
      </c>
      <c r="V335" s="56">
        <f>(1000*CHOOSE(CONTROL!$C$42, 500, 500)*CHOOSE(CONTROL!$C$42, 0.275, 0.275)*CHOOSE(CONTROL!$C$42, 30, 30))/1000000</f>
        <v>4.125</v>
      </c>
      <c r="W335" s="56">
        <f>(1000*CHOOSE(CONTROL!$C$42, 0.1146, 0.1146)*CHOOSE(CONTROL!$C$42, 121.5, 121.5)*CHOOSE(CONTROL!$C$42, 30, 30))/1000000</f>
        <v>0.417717</v>
      </c>
      <c r="X335" s="56">
        <f>(30*0.2374*100000/1000000)</f>
        <v>0.71220000000000006</v>
      </c>
      <c r="Y335" s="56"/>
      <c r="Z335" s="17"/>
      <c r="AA335" s="55"/>
      <c r="AB335" s="48">
        <f>(B335*122.58+C335*297.941+D335*89.177+E335*140.302+F335*40+G335*60+H335*0+I335*100+J335*300)/(122.58+297.941+89.177+140.302+0+40+60+100+300)</f>
        <v>14.023143348782607</v>
      </c>
      <c r="AC335" s="45">
        <f>(M335*'RAP TEMPLATE-GAS AVAILABILITY'!O334+N335*'RAP TEMPLATE-GAS AVAILABILITY'!P334+O335*'RAP TEMPLATE-GAS AVAILABILITY'!Q334+P335*'RAP TEMPLATE-GAS AVAILABILITY'!R334)/('RAP TEMPLATE-GAS AVAILABILITY'!O334+'RAP TEMPLATE-GAS AVAILABILITY'!P334+'RAP TEMPLATE-GAS AVAILABILITY'!Q334+'RAP TEMPLATE-GAS AVAILABILITY'!R334)</f>
        <v>13.812393525179859</v>
      </c>
    </row>
    <row r="336" spans="1:29" ht="15.75" x14ac:dyDescent="0.25">
      <c r="A336" s="14">
        <v>51135</v>
      </c>
      <c r="B336" s="17">
        <f>CHOOSE(CONTROL!$C$42, 14.9376, 14.9376) * CHOOSE(CONTROL!$C$21, $C$9, 100%, $E$9)</f>
        <v>14.9376</v>
      </c>
      <c r="C336" s="17">
        <f>CHOOSE(CONTROL!$C$42, 14.9426, 14.9426) * CHOOSE(CONTROL!$C$21, $C$9, 100%, $E$9)</f>
        <v>14.942600000000001</v>
      </c>
      <c r="D336" s="17">
        <f>CHOOSE(CONTROL!$C$42, 15.0377, 15.0377) * CHOOSE(CONTROL!$C$21, $C$9, 100%, $E$9)</f>
        <v>15.037699999999999</v>
      </c>
      <c r="E336" s="17">
        <f>CHOOSE(CONTROL!$C$42, 15.0718, 15.0718) * CHOOSE(CONTROL!$C$21, $C$9, 100%, $E$9)</f>
        <v>15.0718</v>
      </c>
      <c r="F336" s="17">
        <f>CHOOSE(CONTROL!$C$42, 14.9638, 14.9638)*CHOOSE(CONTROL!$C$21, $C$9, 100%, $E$9)</f>
        <v>14.963800000000001</v>
      </c>
      <c r="G336" s="17">
        <f>CHOOSE(CONTROL!$C$42, 14.9815, 14.9815)*CHOOSE(CONTROL!$C$21, $C$9, 100%, $E$9)</f>
        <v>14.9815</v>
      </c>
      <c r="H336" s="17">
        <f>CHOOSE(CONTROL!$C$42, 15.061, 15.061) * CHOOSE(CONTROL!$C$21, $C$9, 100%, $E$9)</f>
        <v>15.061</v>
      </c>
      <c r="I336" s="17">
        <f>CHOOSE(CONTROL!$C$42, 15.0043, 15.0043)* CHOOSE(CONTROL!$C$21, $C$9, 100%, $E$9)</f>
        <v>15.004300000000001</v>
      </c>
      <c r="J336" s="17">
        <f>CHOOSE(CONTROL!$C$42, 14.9568, 14.9568)* CHOOSE(CONTROL!$C$21, $C$9, 100%, $E$9)</f>
        <v>14.956799999999999</v>
      </c>
      <c r="K336" s="52">
        <f>CHOOSE(CONTROL!$C$42, 15.0001, 15.0001) * CHOOSE(CONTROL!$C$21, $C$9, 100%, $E$9)</f>
        <v>15.0001</v>
      </c>
      <c r="L336" s="17">
        <f>CHOOSE(CONTROL!$C$42, 15.648, 15.648) * CHOOSE(CONTROL!$C$21, $C$9, 100%, $E$9)</f>
        <v>15.648</v>
      </c>
      <c r="M336" s="17">
        <f>CHOOSE(CONTROL!$C$42, 14.6955, 14.6955) * CHOOSE(CONTROL!$C$21, $C$9, 100%, $E$9)</f>
        <v>14.695499999999999</v>
      </c>
      <c r="N336" s="17">
        <f>CHOOSE(CONTROL!$C$42, 14.7129, 14.7129) * CHOOSE(CONTROL!$C$21, $C$9, 100%, $E$9)</f>
        <v>14.712899999999999</v>
      </c>
      <c r="O336" s="17">
        <f>CHOOSE(CONTROL!$C$42, 14.7978, 14.7978) * CHOOSE(CONTROL!$C$21, $C$9, 100%, $E$9)</f>
        <v>14.797800000000001</v>
      </c>
      <c r="P336" s="17">
        <f>CHOOSE(CONTROL!$C$42, 14.7414, 14.7414) * CHOOSE(CONTROL!$C$21, $C$9, 100%, $E$9)</f>
        <v>14.741400000000001</v>
      </c>
      <c r="Q336" s="17">
        <f>CHOOSE(CONTROL!$C$42, 15.3925, 15.3925) * CHOOSE(CONTROL!$C$21, $C$9, 100%, $E$9)</f>
        <v>15.3925</v>
      </c>
      <c r="R336" s="17">
        <f>CHOOSE(CONTROL!$C$42, 16.018, 16.018) * CHOOSE(CONTROL!$C$21, $C$9, 100%, $E$9)</f>
        <v>16.018000000000001</v>
      </c>
      <c r="S336" s="17">
        <f>CHOOSE(CONTROL!$C$42, 14.345, 14.345) * CHOOSE(CONTROL!$C$21, $C$9, 100%, $E$9)</f>
        <v>14.345000000000001</v>
      </c>
      <c r="T33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36" s="56">
        <f>(1000*CHOOSE(CONTROL!$C$42, 695, 695)*CHOOSE(CONTROL!$C$42, 0.5599, 0.5599)*CHOOSE(CONTROL!$C$42, 31, 31))/1000000</f>
        <v>12.063045499999998</v>
      </c>
      <c r="V336" s="56">
        <f>(1000*CHOOSE(CONTROL!$C$42, 500, 500)*CHOOSE(CONTROL!$C$42, 0.275, 0.275)*CHOOSE(CONTROL!$C$42, 31, 31))/1000000</f>
        <v>4.2625000000000002</v>
      </c>
      <c r="W336" s="56">
        <f>(1000*CHOOSE(CONTROL!$C$42, 0.1146, 0.1146)*CHOOSE(CONTROL!$C$42, 121.5, 121.5)*CHOOSE(CONTROL!$C$42, 31, 31))/1000000</f>
        <v>0.43164089999999994</v>
      </c>
      <c r="X336" s="56">
        <f>(31*0.2374*100000/1000000)</f>
        <v>0.73594000000000004</v>
      </c>
      <c r="Y336" s="56"/>
      <c r="Z336" s="17"/>
      <c r="AA336" s="55"/>
      <c r="AB336" s="48">
        <f>(B336*122.58+C336*297.941+D336*89.177+E336*140.302+F336*40+G336*60+H336*0+I336*100+J336*300)/(122.58+297.941+89.177+140.302+0+40+60+100+300)</f>
        <v>14.977040740086956</v>
      </c>
      <c r="AC336" s="45">
        <f>(M336*'RAP TEMPLATE-GAS AVAILABILITY'!O335+N336*'RAP TEMPLATE-GAS AVAILABILITY'!P335+O336*'RAP TEMPLATE-GAS AVAILABILITY'!Q335+P336*'RAP TEMPLATE-GAS AVAILABILITY'!R335)/('RAP TEMPLATE-GAS AVAILABILITY'!O335+'RAP TEMPLATE-GAS AVAILABILITY'!P335+'RAP TEMPLATE-GAS AVAILABILITY'!Q335+'RAP TEMPLATE-GAS AVAILABILITY'!R335)</f>
        <v>14.749471942446041</v>
      </c>
    </row>
    <row r="337" spans="1:29" ht="15.75" x14ac:dyDescent="0.25">
      <c r="A337" s="14">
        <v>51166</v>
      </c>
      <c r="B337" s="17">
        <f>CHOOSE(CONTROL!$C$42, 16.1751, 16.1751) * CHOOSE(CONTROL!$C$21, $C$9, 100%, $E$9)</f>
        <v>16.1751</v>
      </c>
      <c r="C337" s="17">
        <f>CHOOSE(CONTROL!$C$42, 16.1802, 16.1802) * CHOOSE(CONTROL!$C$21, $C$9, 100%, $E$9)</f>
        <v>16.180199999999999</v>
      </c>
      <c r="D337" s="17">
        <f>CHOOSE(CONTROL!$C$42, 16.2986, 16.2986) * CHOOSE(CONTROL!$C$21, $C$9, 100%, $E$9)</f>
        <v>16.2986</v>
      </c>
      <c r="E337" s="17">
        <f>CHOOSE(CONTROL!$C$42, 16.3327, 16.3327) * CHOOSE(CONTROL!$C$21, $C$9, 100%, $E$9)</f>
        <v>16.332699999999999</v>
      </c>
      <c r="F337" s="17">
        <f>CHOOSE(CONTROL!$C$42, 16.1955, 16.1955)*CHOOSE(CONTROL!$C$21, $C$9, 100%, $E$9)</f>
        <v>16.195499999999999</v>
      </c>
      <c r="G337" s="17">
        <f>CHOOSE(CONTROL!$C$42, 16.2123, 16.2123)*CHOOSE(CONTROL!$C$21, $C$9, 100%, $E$9)</f>
        <v>16.212299999999999</v>
      </c>
      <c r="H337" s="17">
        <f>CHOOSE(CONTROL!$C$42, 16.3219, 16.3219) * CHOOSE(CONTROL!$C$21, $C$9, 100%, $E$9)</f>
        <v>16.321899999999999</v>
      </c>
      <c r="I337" s="17">
        <f>CHOOSE(CONTROL!$C$42, 16.2494, 16.2494)* CHOOSE(CONTROL!$C$21, $C$9, 100%, $E$9)</f>
        <v>16.249400000000001</v>
      </c>
      <c r="J337" s="17">
        <f>CHOOSE(CONTROL!$C$42, 16.1885, 16.1885)* CHOOSE(CONTROL!$C$21, $C$9, 100%, $E$9)</f>
        <v>16.188500000000001</v>
      </c>
      <c r="K337" s="52">
        <f>CHOOSE(CONTROL!$C$42, 16.2452, 16.2452) * CHOOSE(CONTROL!$C$21, $C$9, 100%, $E$9)</f>
        <v>16.245200000000001</v>
      </c>
      <c r="L337" s="17">
        <f>CHOOSE(CONTROL!$C$42, 16.9089, 16.9089) * CHOOSE(CONTROL!$C$21, $C$9, 100%, $E$9)</f>
        <v>16.908899999999999</v>
      </c>
      <c r="M337" s="17">
        <f>CHOOSE(CONTROL!$C$42, 15.905, 15.905) * CHOOSE(CONTROL!$C$21, $C$9, 100%, $E$9)</f>
        <v>15.904999999999999</v>
      </c>
      <c r="N337" s="17">
        <f>CHOOSE(CONTROL!$C$42, 15.9216, 15.9216) * CHOOSE(CONTROL!$C$21, $C$9, 100%, $E$9)</f>
        <v>15.9216</v>
      </c>
      <c r="O337" s="17">
        <f>CHOOSE(CONTROL!$C$42, 16.036, 16.036) * CHOOSE(CONTROL!$C$21, $C$9, 100%, $E$9)</f>
        <v>16.036000000000001</v>
      </c>
      <c r="P337" s="17">
        <f>CHOOSE(CONTROL!$C$42, 15.964, 15.964) * CHOOSE(CONTROL!$C$21, $C$9, 100%, $E$9)</f>
        <v>15.964</v>
      </c>
      <c r="Q337" s="17">
        <f>CHOOSE(CONTROL!$C$42, 16.6307, 16.6307) * CHOOSE(CONTROL!$C$21, $C$9, 100%, $E$9)</f>
        <v>16.630700000000001</v>
      </c>
      <c r="R337" s="17">
        <f>CHOOSE(CONTROL!$C$42, 17.2593, 17.2593) * CHOOSE(CONTROL!$C$21, $C$9, 100%, $E$9)</f>
        <v>17.2593</v>
      </c>
      <c r="S337" s="17">
        <f>CHOOSE(CONTROL!$C$42, 15.5341, 15.5341) * CHOOSE(CONTROL!$C$21, $C$9, 100%, $E$9)</f>
        <v>15.5341</v>
      </c>
      <c r="T33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37" s="56">
        <f>(1000*CHOOSE(CONTROL!$C$42, 695, 695)*CHOOSE(CONTROL!$C$42, 0.5599, 0.5599)*CHOOSE(CONTROL!$C$42, 31, 31))/1000000</f>
        <v>12.063045499999998</v>
      </c>
      <c r="V337" s="56">
        <f>(1000*CHOOSE(CONTROL!$C$42, 500, 500)*CHOOSE(CONTROL!$C$42, 0.275, 0.275)*CHOOSE(CONTROL!$C$42, 31, 31))/1000000</f>
        <v>4.2625000000000002</v>
      </c>
      <c r="W337" s="56">
        <f>(1000*CHOOSE(CONTROL!$C$42, 0.1146, 0.1146)*CHOOSE(CONTROL!$C$42, 121.5, 121.5)*CHOOSE(CONTROL!$C$42, 31, 31))/1000000</f>
        <v>0.43164089999999994</v>
      </c>
      <c r="X337" s="56">
        <f>(31*0.2374*100000/1000000)</f>
        <v>0.73594000000000004</v>
      </c>
      <c r="Y337" s="56"/>
      <c r="Z337" s="17"/>
      <c r="AA337" s="55"/>
      <c r="AB337" s="48">
        <f>(B337*122.58+C337*297.941+D337*89.177+E337*140.302+F337*40+G337*60+H337*0+I337*100+J337*300)/(122.58+297.941+89.177+140.302+0+40+60+100+300)</f>
        <v>16.217832568521739</v>
      </c>
      <c r="AC337" s="45">
        <f>(M337*'RAP TEMPLATE-GAS AVAILABILITY'!O336+N337*'RAP TEMPLATE-GAS AVAILABILITY'!P336+O337*'RAP TEMPLATE-GAS AVAILABILITY'!Q336+P337*'RAP TEMPLATE-GAS AVAILABILITY'!R336)/('RAP TEMPLATE-GAS AVAILABILITY'!O336+'RAP TEMPLATE-GAS AVAILABILITY'!P336+'RAP TEMPLATE-GAS AVAILABILITY'!Q336+'RAP TEMPLATE-GAS AVAILABILITY'!R336)</f>
        <v>15.973818705035971</v>
      </c>
    </row>
    <row r="338" spans="1:29" ht="15.75" x14ac:dyDescent="0.25">
      <c r="A338" s="14">
        <v>51194</v>
      </c>
      <c r="B338" s="17">
        <f>CHOOSE(CONTROL!$C$42, 16.4629, 16.4629) * CHOOSE(CONTROL!$C$21, $C$9, 100%, $E$9)</f>
        <v>16.462900000000001</v>
      </c>
      <c r="C338" s="17">
        <f>CHOOSE(CONTROL!$C$42, 16.468, 16.468) * CHOOSE(CONTROL!$C$21, $C$9, 100%, $E$9)</f>
        <v>16.468</v>
      </c>
      <c r="D338" s="17">
        <f>CHOOSE(CONTROL!$C$42, 16.5864, 16.5864) * CHOOSE(CONTROL!$C$21, $C$9, 100%, $E$9)</f>
        <v>16.586400000000001</v>
      </c>
      <c r="E338" s="17">
        <f>CHOOSE(CONTROL!$C$42, 16.6205, 16.6205) * CHOOSE(CONTROL!$C$21, $C$9, 100%, $E$9)</f>
        <v>16.6205</v>
      </c>
      <c r="F338" s="17">
        <f>CHOOSE(CONTROL!$C$42, 16.4833, 16.4833)*CHOOSE(CONTROL!$C$21, $C$9, 100%, $E$9)</f>
        <v>16.4833</v>
      </c>
      <c r="G338" s="17">
        <f>CHOOSE(CONTROL!$C$42, 16.5001, 16.5001)*CHOOSE(CONTROL!$C$21, $C$9, 100%, $E$9)</f>
        <v>16.5001</v>
      </c>
      <c r="H338" s="17">
        <f>CHOOSE(CONTROL!$C$42, 16.6097, 16.6097) * CHOOSE(CONTROL!$C$21, $C$9, 100%, $E$9)</f>
        <v>16.6097</v>
      </c>
      <c r="I338" s="17">
        <f>CHOOSE(CONTROL!$C$42, 16.5381, 16.5381)* CHOOSE(CONTROL!$C$21, $C$9, 100%, $E$9)</f>
        <v>16.5381</v>
      </c>
      <c r="J338" s="17">
        <f>CHOOSE(CONTROL!$C$42, 16.4763, 16.4763)* CHOOSE(CONTROL!$C$21, $C$9, 100%, $E$9)</f>
        <v>16.476299999999998</v>
      </c>
      <c r="K338" s="52">
        <f>CHOOSE(CONTROL!$C$42, 16.5338, 16.5338) * CHOOSE(CONTROL!$C$21, $C$9, 100%, $E$9)</f>
        <v>16.533799999999999</v>
      </c>
      <c r="L338" s="17">
        <f>CHOOSE(CONTROL!$C$42, 17.1967, 17.1967) * CHOOSE(CONTROL!$C$21, $C$9, 100%, $E$9)</f>
        <v>17.1967</v>
      </c>
      <c r="M338" s="17">
        <f>CHOOSE(CONTROL!$C$42, 16.1876, 16.1876) * CHOOSE(CONTROL!$C$21, $C$9, 100%, $E$9)</f>
        <v>16.1876</v>
      </c>
      <c r="N338" s="17">
        <f>CHOOSE(CONTROL!$C$42, 16.2041, 16.2041) * CHOOSE(CONTROL!$C$21, $C$9, 100%, $E$9)</f>
        <v>16.2041</v>
      </c>
      <c r="O338" s="17">
        <f>CHOOSE(CONTROL!$C$42, 16.3186, 16.3186) * CHOOSE(CONTROL!$C$21, $C$9, 100%, $E$9)</f>
        <v>16.3186</v>
      </c>
      <c r="P338" s="17">
        <f>CHOOSE(CONTROL!$C$42, 16.2474, 16.2474) * CHOOSE(CONTROL!$C$21, $C$9, 100%, $E$9)</f>
        <v>16.247399999999999</v>
      </c>
      <c r="Q338" s="17">
        <f>CHOOSE(CONTROL!$C$42, 16.9133, 16.9133) * CHOOSE(CONTROL!$C$21, $C$9, 100%, $E$9)</f>
        <v>16.9133</v>
      </c>
      <c r="R338" s="17">
        <f>CHOOSE(CONTROL!$C$42, 17.5426, 17.5426) * CHOOSE(CONTROL!$C$21, $C$9, 100%, $E$9)</f>
        <v>17.5426</v>
      </c>
      <c r="S338" s="17">
        <f>CHOOSE(CONTROL!$C$42, 15.8106, 15.8106) * CHOOSE(CONTROL!$C$21, $C$9, 100%, $E$9)</f>
        <v>15.810600000000001</v>
      </c>
      <c r="T338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38" s="56">
        <f>(1000*CHOOSE(CONTROL!$C$42, 695, 695)*CHOOSE(CONTROL!$C$42, 0.5599, 0.5599)*CHOOSE(CONTROL!$C$42, 29, 29))/1000000</f>
        <v>11.284784499999999</v>
      </c>
      <c r="V338" s="56">
        <f>(1000*CHOOSE(CONTROL!$C$42, 500, 500)*CHOOSE(CONTROL!$C$42, 0.275, 0.275)*CHOOSE(CONTROL!$C$42, 29, 29))/1000000</f>
        <v>3.9874999999999998</v>
      </c>
      <c r="W338" s="56">
        <f>(1000*CHOOSE(CONTROL!$C$42, 0.1146, 0.1146)*CHOOSE(CONTROL!$C$42, 121.5, 121.5)*CHOOSE(CONTROL!$C$42, 29, 29))/1000000</f>
        <v>0.40379309999999996</v>
      </c>
      <c r="X338" s="56">
        <f>(29*0.2374*100000/1000000)</f>
        <v>0.68845999999999996</v>
      </c>
      <c r="Y338" s="56"/>
      <c r="Z338" s="17"/>
      <c r="AA338" s="55"/>
      <c r="AB338" s="48">
        <f>(B338*122.58+C338*297.941+D338*89.177+E338*140.302+F338*40+G338*60+H338*0+I338*100+J338*300)/(122.58+297.941+89.177+140.302+0+40+60+100+300)</f>
        <v>16.505710829391301</v>
      </c>
      <c r="AC338" s="45">
        <f>(M338*'RAP TEMPLATE-GAS AVAILABILITY'!O337+N338*'RAP TEMPLATE-GAS AVAILABILITY'!P337+O338*'RAP TEMPLATE-GAS AVAILABILITY'!Q337+P338*'RAP TEMPLATE-GAS AVAILABILITY'!R337)/('RAP TEMPLATE-GAS AVAILABILITY'!O337+'RAP TEMPLATE-GAS AVAILABILITY'!P337+'RAP TEMPLATE-GAS AVAILABILITY'!Q337+'RAP TEMPLATE-GAS AVAILABILITY'!R337)</f>
        <v>16.256528057553957</v>
      </c>
    </row>
    <row r="339" spans="1:29" ht="15.75" x14ac:dyDescent="0.25">
      <c r="A339" s="14">
        <v>51226</v>
      </c>
      <c r="B339" s="17">
        <f>CHOOSE(CONTROL!$C$42, 15.9958, 15.9958) * CHOOSE(CONTROL!$C$21, $C$9, 100%, $E$9)</f>
        <v>15.995799999999999</v>
      </c>
      <c r="C339" s="17">
        <f>CHOOSE(CONTROL!$C$42, 16.0008, 16.0008) * CHOOSE(CONTROL!$C$21, $C$9, 100%, $E$9)</f>
        <v>16.000800000000002</v>
      </c>
      <c r="D339" s="17">
        <f>CHOOSE(CONTROL!$C$42, 16.1193, 16.1193) * CHOOSE(CONTROL!$C$21, $C$9, 100%, $E$9)</f>
        <v>16.119299999999999</v>
      </c>
      <c r="E339" s="17">
        <f>CHOOSE(CONTROL!$C$42, 16.1534, 16.1534) * CHOOSE(CONTROL!$C$21, $C$9, 100%, $E$9)</f>
        <v>16.153400000000001</v>
      </c>
      <c r="F339" s="17">
        <f>CHOOSE(CONTROL!$C$42, 16.0155, 16.0155)*CHOOSE(CONTROL!$C$21, $C$9, 100%, $E$9)</f>
        <v>16.015499999999999</v>
      </c>
      <c r="G339" s="17">
        <f>CHOOSE(CONTROL!$C$42, 16.0321, 16.0321)*CHOOSE(CONTROL!$C$21, $C$9, 100%, $E$9)</f>
        <v>16.0321</v>
      </c>
      <c r="H339" s="17">
        <f>CHOOSE(CONTROL!$C$42, 16.1426, 16.1426) * CHOOSE(CONTROL!$C$21, $C$9, 100%, $E$9)</f>
        <v>16.142600000000002</v>
      </c>
      <c r="I339" s="17">
        <f>CHOOSE(CONTROL!$C$42, 16.0695, 16.0695)* CHOOSE(CONTROL!$C$21, $C$9, 100%, $E$9)</f>
        <v>16.069500000000001</v>
      </c>
      <c r="J339" s="17">
        <f>CHOOSE(CONTROL!$C$42, 16.0085, 16.0085)* CHOOSE(CONTROL!$C$21, $C$9, 100%, $E$9)</f>
        <v>16.008500000000002</v>
      </c>
      <c r="K339" s="52">
        <f>CHOOSE(CONTROL!$C$42, 16.0653, 16.0653) * CHOOSE(CONTROL!$C$21, $C$9, 100%, $E$9)</f>
        <v>16.065300000000001</v>
      </c>
      <c r="L339" s="17">
        <f>CHOOSE(CONTROL!$C$42, 16.7296, 16.7296) * CHOOSE(CONTROL!$C$21, $C$9, 100%, $E$9)</f>
        <v>16.729600000000001</v>
      </c>
      <c r="M339" s="17">
        <f>CHOOSE(CONTROL!$C$42, 15.7282, 15.7282) * CHOOSE(CONTROL!$C$21, $C$9, 100%, $E$9)</f>
        <v>15.728199999999999</v>
      </c>
      <c r="N339" s="17">
        <f>CHOOSE(CONTROL!$C$42, 15.7446, 15.7446) * CHOOSE(CONTROL!$C$21, $C$9, 100%, $E$9)</f>
        <v>15.7446</v>
      </c>
      <c r="O339" s="17">
        <f>CHOOSE(CONTROL!$C$42, 15.8599, 15.8599) * CHOOSE(CONTROL!$C$21, $C$9, 100%, $E$9)</f>
        <v>15.8599</v>
      </c>
      <c r="P339" s="17">
        <f>CHOOSE(CONTROL!$C$42, 15.7873, 15.7873) * CHOOSE(CONTROL!$C$21, $C$9, 100%, $E$9)</f>
        <v>15.7873</v>
      </c>
      <c r="Q339" s="17">
        <f>CHOOSE(CONTROL!$C$42, 16.4546, 16.4546) * CHOOSE(CONTROL!$C$21, $C$9, 100%, $E$9)</f>
        <v>16.454599999999999</v>
      </c>
      <c r="R339" s="17">
        <f>CHOOSE(CONTROL!$C$42, 17.0828, 17.0828) * CHOOSE(CONTROL!$C$21, $C$9, 100%, $E$9)</f>
        <v>17.082799999999999</v>
      </c>
      <c r="S339" s="17">
        <f>CHOOSE(CONTROL!$C$42, 15.3618, 15.3618) * CHOOSE(CONTROL!$C$21, $C$9, 100%, $E$9)</f>
        <v>15.361800000000001</v>
      </c>
      <c r="T33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39" s="56">
        <f>(1000*CHOOSE(CONTROL!$C$42, 695, 695)*CHOOSE(CONTROL!$C$42, 0.5599, 0.5599)*CHOOSE(CONTROL!$C$42, 31, 31))/1000000</f>
        <v>12.063045499999998</v>
      </c>
      <c r="V339" s="56">
        <f>(1000*CHOOSE(CONTROL!$C$42, 500, 500)*CHOOSE(CONTROL!$C$42, 0.275, 0.275)*CHOOSE(CONTROL!$C$42, 31, 31))/1000000</f>
        <v>4.2625000000000002</v>
      </c>
      <c r="W339" s="56">
        <f>(1000*CHOOSE(CONTROL!$C$42, 0.1146, 0.1146)*CHOOSE(CONTROL!$C$42, 121.5, 121.5)*CHOOSE(CONTROL!$C$42, 31, 31))/1000000</f>
        <v>0.43164089999999994</v>
      </c>
      <c r="X339" s="56">
        <f>(31*0.2374*100000/1000000)</f>
        <v>0.73594000000000004</v>
      </c>
      <c r="Y339" s="56"/>
      <c r="Z339" s="17"/>
      <c r="AA339" s="55"/>
      <c r="AB339" s="48">
        <f>(B339*122.58+C339*297.941+D339*89.177+E339*140.302+F339*40+G339*60+H339*0+I339*100+J339*300)/(122.58+297.941+89.177+140.302+0+40+60+100+300)</f>
        <v>16.038200573652173</v>
      </c>
      <c r="AC339" s="45">
        <f>(M339*'RAP TEMPLATE-GAS AVAILABILITY'!O338+N339*'RAP TEMPLATE-GAS AVAILABILITY'!P338+O339*'RAP TEMPLATE-GAS AVAILABILITY'!Q338+P339*'RAP TEMPLATE-GAS AVAILABILITY'!R338)/('RAP TEMPLATE-GAS AVAILABILITY'!O338+'RAP TEMPLATE-GAS AVAILABILITY'!P338+'RAP TEMPLATE-GAS AVAILABILITY'!Q338+'RAP TEMPLATE-GAS AVAILABILITY'!R338)</f>
        <v>15.797338848920862</v>
      </c>
    </row>
    <row r="340" spans="1:29" ht="15.75" x14ac:dyDescent="0.25">
      <c r="A340" s="14">
        <v>51256</v>
      </c>
      <c r="B340" s="17">
        <f>CHOOSE(CONTROL!$C$42, 15.9489, 15.9489) * CHOOSE(CONTROL!$C$21, $C$9, 100%, $E$9)</f>
        <v>15.9489</v>
      </c>
      <c r="C340" s="17">
        <f>CHOOSE(CONTROL!$C$42, 15.9534, 15.9534) * CHOOSE(CONTROL!$C$21, $C$9, 100%, $E$9)</f>
        <v>15.9534</v>
      </c>
      <c r="D340" s="17">
        <f>CHOOSE(CONTROL!$C$42, 16.2276, 16.2276) * CHOOSE(CONTROL!$C$21, $C$9, 100%, $E$9)</f>
        <v>16.227599999999999</v>
      </c>
      <c r="E340" s="17">
        <f>CHOOSE(CONTROL!$C$42, 16.2597, 16.2597) * CHOOSE(CONTROL!$C$21, $C$9, 100%, $E$9)</f>
        <v>16.259699999999999</v>
      </c>
      <c r="F340" s="17">
        <f>CHOOSE(CONTROL!$C$42, 15.9682, 15.9682)*CHOOSE(CONTROL!$C$21, $C$9, 100%, $E$9)</f>
        <v>15.9682</v>
      </c>
      <c r="G340" s="17">
        <f>CHOOSE(CONTROL!$C$42, 15.9846, 15.9846)*CHOOSE(CONTROL!$C$21, $C$9, 100%, $E$9)</f>
        <v>15.9846</v>
      </c>
      <c r="H340" s="17">
        <f>CHOOSE(CONTROL!$C$42, 16.2495, 16.2495) * CHOOSE(CONTROL!$C$21, $C$9, 100%, $E$9)</f>
        <v>16.249500000000001</v>
      </c>
      <c r="I340" s="17">
        <f>CHOOSE(CONTROL!$C$42, 16.0201, 16.0201)* CHOOSE(CONTROL!$C$21, $C$9, 100%, $E$9)</f>
        <v>16.020099999999999</v>
      </c>
      <c r="J340" s="17">
        <f>CHOOSE(CONTROL!$C$42, 15.9612, 15.9612)* CHOOSE(CONTROL!$C$21, $C$9, 100%, $E$9)</f>
        <v>15.9612</v>
      </c>
      <c r="K340" s="52">
        <f>CHOOSE(CONTROL!$C$42, 16.0159, 16.0159) * CHOOSE(CONTROL!$C$21, $C$9, 100%, $E$9)</f>
        <v>16.015899999999998</v>
      </c>
      <c r="L340" s="17">
        <f>CHOOSE(CONTROL!$C$42, 16.8365, 16.8365) * CHOOSE(CONTROL!$C$21, $C$9, 100%, $E$9)</f>
        <v>16.836500000000001</v>
      </c>
      <c r="M340" s="17">
        <f>CHOOSE(CONTROL!$C$42, 15.6818, 15.6818) * CHOOSE(CONTROL!$C$21, $C$9, 100%, $E$9)</f>
        <v>15.681800000000001</v>
      </c>
      <c r="N340" s="17">
        <f>CHOOSE(CONTROL!$C$42, 15.6979, 15.6979) * CHOOSE(CONTROL!$C$21, $C$9, 100%, $E$9)</f>
        <v>15.697900000000001</v>
      </c>
      <c r="O340" s="17">
        <f>CHOOSE(CONTROL!$C$42, 15.9649, 15.9649) * CHOOSE(CONTROL!$C$21, $C$9, 100%, $E$9)</f>
        <v>15.9649</v>
      </c>
      <c r="P340" s="17">
        <f>CHOOSE(CONTROL!$C$42, 15.7389, 15.7389) * CHOOSE(CONTROL!$C$21, $C$9, 100%, $E$9)</f>
        <v>15.738899999999999</v>
      </c>
      <c r="Q340" s="17">
        <f>CHOOSE(CONTROL!$C$42, 16.5596, 16.5596) * CHOOSE(CONTROL!$C$21, $C$9, 100%, $E$9)</f>
        <v>16.5596</v>
      </c>
      <c r="R340" s="17">
        <f>CHOOSE(CONTROL!$C$42, 17.188, 17.188) * CHOOSE(CONTROL!$C$21, $C$9, 100%, $E$9)</f>
        <v>17.187999999999999</v>
      </c>
      <c r="S340" s="17">
        <f>CHOOSE(CONTROL!$C$42, 15.316, 15.316) * CHOOSE(CONTROL!$C$21, $C$9, 100%, $E$9)</f>
        <v>15.316000000000001</v>
      </c>
      <c r="T34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40" s="56">
        <f>(1000*CHOOSE(CONTROL!$C$42, 695, 695)*CHOOSE(CONTROL!$C$42, 0.5599, 0.5599)*CHOOSE(CONTROL!$C$42, 30, 30))/1000000</f>
        <v>11.673914999999997</v>
      </c>
      <c r="V340" s="56">
        <f>(1000*CHOOSE(CONTROL!$C$42, 500, 500)*CHOOSE(CONTROL!$C$42, 0.275, 0.275)*CHOOSE(CONTROL!$C$42, 30, 30))/1000000</f>
        <v>4.125</v>
      </c>
      <c r="W340" s="56">
        <f>(1000*CHOOSE(CONTROL!$C$42, 0.1146, 0.1146)*CHOOSE(CONTROL!$C$42, 121.5, 121.5)*CHOOSE(CONTROL!$C$42, 30, 30))/1000000</f>
        <v>0.417717</v>
      </c>
      <c r="X340" s="56">
        <f>(30*0.1790888*145000/1000000)+(30*0.2374*100000/1000000)</f>
        <v>1.4912362799999999</v>
      </c>
      <c r="Y340" s="56"/>
      <c r="Z340" s="17"/>
      <c r="AA340" s="55"/>
      <c r="AB340" s="48">
        <f>(B340*141.293+C340*267.993+D340*115.016+E340*189.698+F340*40+G340*85+H340*0+I340*100+J340*300)/(141.293+267.993+115.016+189.698+0+40+85+100+300)</f>
        <v>16.035127252703795</v>
      </c>
      <c r="AC340" s="45">
        <f>(M340*'RAP TEMPLATE-GAS AVAILABILITY'!O339+N340*'RAP TEMPLATE-GAS AVAILABILITY'!P339+O340*'RAP TEMPLATE-GAS AVAILABILITY'!Q339+P340*'RAP TEMPLATE-GAS AVAILABILITY'!R339)/('RAP TEMPLATE-GAS AVAILABILITY'!O339+'RAP TEMPLATE-GAS AVAILABILITY'!P339+'RAP TEMPLATE-GAS AVAILABILITY'!Q339+'RAP TEMPLATE-GAS AVAILABILITY'!R339)</f>
        <v>15.773153237410069</v>
      </c>
    </row>
    <row r="341" spans="1:29" ht="15.75" x14ac:dyDescent="0.25">
      <c r="A341" s="14">
        <v>51287</v>
      </c>
      <c r="B341" s="17">
        <f>CHOOSE(CONTROL!$C$42, 16.091, 16.091) * CHOOSE(CONTROL!$C$21, $C$9, 100%, $E$9)</f>
        <v>16.091000000000001</v>
      </c>
      <c r="C341" s="17">
        <f>CHOOSE(CONTROL!$C$42, 16.099, 16.099) * CHOOSE(CONTROL!$C$21, $C$9, 100%, $E$9)</f>
        <v>16.099</v>
      </c>
      <c r="D341" s="17">
        <f>CHOOSE(CONTROL!$C$42, 16.3701, 16.3701) * CHOOSE(CONTROL!$C$21, $C$9, 100%, $E$9)</f>
        <v>16.370100000000001</v>
      </c>
      <c r="E341" s="17">
        <f>CHOOSE(CONTROL!$C$42, 16.4015, 16.4015) * CHOOSE(CONTROL!$C$21, $C$9, 100%, $E$9)</f>
        <v>16.401499999999999</v>
      </c>
      <c r="F341" s="17">
        <f>CHOOSE(CONTROL!$C$42, 16.1091, 16.1091)*CHOOSE(CONTROL!$C$21, $C$9, 100%, $E$9)</f>
        <v>16.109100000000002</v>
      </c>
      <c r="G341" s="17">
        <f>CHOOSE(CONTROL!$C$42, 16.1258, 16.1258)*CHOOSE(CONTROL!$C$21, $C$9, 100%, $E$9)</f>
        <v>16.125800000000002</v>
      </c>
      <c r="H341" s="17">
        <f>CHOOSE(CONTROL!$C$42, 16.3902, 16.3902) * CHOOSE(CONTROL!$C$21, $C$9, 100%, $E$9)</f>
        <v>16.3902</v>
      </c>
      <c r="I341" s="17">
        <f>CHOOSE(CONTROL!$C$42, 16.1612, 16.1612)* CHOOSE(CONTROL!$C$21, $C$9, 100%, $E$9)</f>
        <v>16.161200000000001</v>
      </c>
      <c r="J341" s="17">
        <f>CHOOSE(CONTROL!$C$42, 16.1021, 16.1021)* CHOOSE(CONTROL!$C$21, $C$9, 100%, $E$9)</f>
        <v>16.1021</v>
      </c>
      <c r="K341" s="52">
        <f>CHOOSE(CONTROL!$C$42, 16.157, 16.157) * CHOOSE(CONTROL!$C$21, $C$9, 100%, $E$9)</f>
        <v>16.157</v>
      </c>
      <c r="L341" s="17">
        <f>CHOOSE(CONTROL!$C$42, 16.9772, 16.9772) * CHOOSE(CONTROL!$C$21, $C$9, 100%, $E$9)</f>
        <v>16.9772</v>
      </c>
      <c r="M341" s="17">
        <f>CHOOSE(CONTROL!$C$42, 15.8202, 15.8202) * CHOOSE(CONTROL!$C$21, $C$9, 100%, $E$9)</f>
        <v>15.8202</v>
      </c>
      <c r="N341" s="17">
        <f>CHOOSE(CONTROL!$C$42, 15.8365, 15.8365) * CHOOSE(CONTROL!$C$21, $C$9, 100%, $E$9)</f>
        <v>15.836499999999999</v>
      </c>
      <c r="O341" s="17">
        <f>CHOOSE(CONTROL!$C$42, 16.103, 16.103) * CHOOSE(CONTROL!$C$21, $C$9, 100%, $E$9)</f>
        <v>16.103000000000002</v>
      </c>
      <c r="P341" s="17">
        <f>CHOOSE(CONTROL!$C$42, 15.8774, 15.8774) * CHOOSE(CONTROL!$C$21, $C$9, 100%, $E$9)</f>
        <v>15.8774</v>
      </c>
      <c r="Q341" s="17">
        <f>CHOOSE(CONTROL!$C$42, 16.6977, 16.6977) * CHOOSE(CONTROL!$C$21, $C$9, 100%, $E$9)</f>
        <v>16.697700000000001</v>
      </c>
      <c r="R341" s="17">
        <f>CHOOSE(CONTROL!$C$42, 17.3265, 17.3265) * CHOOSE(CONTROL!$C$21, $C$9, 100%, $E$9)</f>
        <v>17.326499999999999</v>
      </c>
      <c r="S341" s="17">
        <f>CHOOSE(CONTROL!$C$42, 15.4512, 15.4512) * CHOOSE(CONTROL!$C$21, $C$9, 100%, $E$9)</f>
        <v>15.4512</v>
      </c>
      <c r="T34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41" s="56">
        <f>(1000*CHOOSE(CONTROL!$C$42, 695, 695)*CHOOSE(CONTROL!$C$42, 0.5599, 0.5599)*CHOOSE(CONTROL!$C$42, 31, 31))/1000000</f>
        <v>12.063045499999998</v>
      </c>
      <c r="V341" s="56">
        <f>(1000*CHOOSE(CONTROL!$C$42, 500, 500)*CHOOSE(CONTROL!$C$42, 0.275, 0.275)*CHOOSE(CONTROL!$C$42, 31, 31))/1000000</f>
        <v>4.2625000000000002</v>
      </c>
      <c r="W341" s="56">
        <f>(1000*CHOOSE(CONTROL!$C$42, 0.1146, 0.1146)*CHOOSE(CONTROL!$C$42, 121.5, 121.5)*CHOOSE(CONTROL!$C$42, 31, 31))/1000000</f>
        <v>0.43164089999999994</v>
      </c>
      <c r="X341" s="56">
        <f>(31*0.1790888*145000/1000000)+(31*0.2374*100000/1000000)</f>
        <v>1.5409441560000001</v>
      </c>
      <c r="Y341" s="56"/>
      <c r="Z341" s="17"/>
      <c r="AA341" s="55"/>
      <c r="AB341" s="48">
        <f>(B341*194.205+C341*267.466+D341*133.845+E341*153.484+F341*40+G341*85+H341*0+I341*100+J341*300)/(194.205+267.466+133.845+153.484+0+40+85+100+300)</f>
        <v>16.170422801805337</v>
      </c>
      <c r="AC341" s="45">
        <f>(M341*'RAP TEMPLATE-GAS AVAILABILITY'!O340+N341*'RAP TEMPLATE-GAS AVAILABILITY'!P340+O341*'RAP TEMPLATE-GAS AVAILABILITY'!Q340+P341*'RAP TEMPLATE-GAS AVAILABILITY'!R340)/('RAP TEMPLATE-GAS AVAILABILITY'!O340+'RAP TEMPLATE-GAS AVAILABILITY'!P340+'RAP TEMPLATE-GAS AVAILABILITY'!Q340+'RAP TEMPLATE-GAS AVAILABILITY'!R340)</f>
        <v>15.91152949640288</v>
      </c>
    </row>
    <row r="342" spans="1:29" ht="15.75" x14ac:dyDescent="0.25">
      <c r="A342" s="14">
        <v>51317</v>
      </c>
      <c r="B342" s="17">
        <f>CHOOSE(CONTROL!$C$42, 16.5471, 16.5471) * CHOOSE(CONTROL!$C$21, $C$9, 100%, $E$9)</f>
        <v>16.5471</v>
      </c>
      <c r="C342" s="17">
        <f>CHOOSE(CONTROL!$C$42, 16.5551, 16.5551) * CHOOSE(CONTROL!$C$21, $C$9, 100%, $E$9)</f>
        <v>16.555099999999999</v>
      </c>
      <c r="D342" s="17">
        <f>CHOOSE(CONTROL!$C$42, 16.8262, 16.8262) * CHOOSE(CONTROL!$C$21, $C$9, 100%, $E$9)</f>
        <v>16.8262</v>
      </c>
      <c r="E342" s="17">
        <f>CHOOSE(CONTROL!$C$42, 16.8576, 16.8576) * CHOOSE(CONTROL!$C$21, $C$9, 100%, $E$9)</f>
        <v>16.857600000000001</v>
      </c>
      <c r="F342" s="17">
        <f>CHOOSE(CONTROL!$C$42, 16.5655, 16.5655)*CHOOSE(CONTROL!$C$21, $C$9, 100%, $E$9)</f>
        <v>16.5655</v>
      </c>
      <c r="G342" s="17">
        <f>CHOOSE(CONTROL!$C$42, 16.5822, 16.5822)*CHOOSE(CONTROL!$C$21, $C$9, 100%, $E$9)</f>
        <v>16.5822</v>
      </c>
      <c r="H342" s="17">
        <f>CHOOSE(CONTROL!$C$42, 16.8463, 16.8463) * CHOOSE(CONTROL!$C$21, $C$9, 100%, $E$9)</f>
        <v>16.846299999999999</v>
      </c>
      <c r="I342" s="17">
        <f>CHOOSE(CONTROL!$C$42, 16.6188, 16.6188)* CHOOSE(CONTROL!$C$21, $C$9, 100%, $E$9)</f>
        <v>16.6188</v>
      </c>
      <c r="J342" s="17">
        <f>CHOOSE(CONTROL!$C$42, 16.5585, 16.5585)* CHOOSE(CONTROL!$C$21, $C$9, 100%, $E$9)</f>
        <v>16.558499999999999</v>
      </c>
      <c r="K342" s="52">
        <f>CHOOSE(CONTROL!$C$42, 16.6145, 16.6145) * CHOOSE(CONTROL!$C$21, $C$9, 100%, $E$9)</f>
        <v>16.6145</v>
      </c>
      <c r="L342" s="17">
        <f>CHOOSE(CONTROL!$C$42, 17.4333, 17.4333) * CHOOSE(CONTROL!$C$21, $C$9, 100%, $E$9)</f>
        <v>17.433299999999999</v>
      </c>
      <c r="M342" s="17">
        <f>CHOOSE(CONTROL!$C$42, 16.2684, 16.2684) * CHOOSE(CONTROL!$C$21, $C$9, 100%, $E$9)</f>
        <v>16.2684</v>
      </c>
      <c r="N342" s="17">
        <f>CHOOSE(CONTROL!$C$42, 16.2848, 16.2848) * CHOOSE(CONTROL!$C$21, $C$9, 100%, $E$9)</f>
        <v>16.284800000000001</v>
      </c>
      <c r="O342" s="17">
        <f>CHOOSE(CONTROL!$C$42, 16.5509, 16.5509) * CHOOSE(CONTROL!$C$21, $C$9, 100%, $E$9)</f>
        <v>16.550899999999999</v>
      </c>
      <c r="P342" s="17">
        <f>CHOOSE(CONTROL!$C$42, 16.3267, 16.3267) * CHOOSE(CONTROL!$C$21, $C$9, 100%, $E$9)</f>
        <v>16.326699999999999</v>
      </c>
      <c r="Q342" s="17">
        <f>CHOOSE(CONTROL!$C$42, 17.1456, 17.1456) * CHOOSE(CONTROL!$C$21, $C$9, 100%, $E$9)</f>
        <v>17.145600000000002</v>
      </c>
      <c r="R342" s="17">
        <f>CHOOSE(CONTROL!$C$42, 17.7755, 17.7755) * CHOOSE(CONTROL!$C$21, $C$9, 100%, $E$9)</f>
        <v>17.775500000000001</v>
      </c>
      <c r="S342" s="17">
        <f>CHOOSE(CONTROL!$C$42, 15.8895, 15.8895) * CHOOSE(CONTROL!$C$21, $C$9, 100%, $E$9)</f>
        <v>15.8895</v>
      </c>
      <c r="T34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42" s="56">
        <f>(1000*CHOOSE(CONTROL!$C$42, 695, 695)*CHOOSE(CONTROL!$C$42, 0.5599, 0.5599)*CHOOSE(CONTROL!$C$42, 30, 30))/1000000</f>
        <v>11.673914999999997</v>
      </c>
      <c r="V342" s="56">
        <f>(1000*CHOOSE(CONTROL!$C$42, 500, 500)*CHOOSE(CONTROL!$C$42, 0.275, 0.275)*CHOOSE(CONTROL!$C$42, 30, 30))/1000000</f>
        <v>4.125</v>
      </c>
      <c r="W342" s="56">
        <f>(1000*CHOOSE(CONTROL!$C$42, 0.1146, 0.1146)*CHOOSE(CONTROL!$C$42, 121.5, 121.5)*CHOOSE(CONTROL!$C$42, 30, 30))/1000000</f>
        <v>0.417717</v>
      </c>
      <c r="X342" s="56">
        <f>(30*0.1790888*145000/1000000)+(30*0.2374*100000/1000000)</f>
        <v>1.4912362799999999</v>
      </c>
      <c r="Y342" s="56"/>
      <c r="Z342" s="17"/>
      <c r="AA342" s="55"/>
      <c r="AB342" s="48">
        <f>(B342*194.205+C342*267.466+D342*133.845+E342*153.484+F342*40+G342*85+H342*0+I342*100+J342*300)/(194.205+267.466+133.845+153.484+0+40+85+100+300)</f>
        <v>16.626740619701728</v>
      </c>
      <c r="AC342" s="45">
        <f>(M342*'RAP TEMPLATE-GAS AVAILABILITY'!O341+N342*'RAP TEMPLATE-GAS AVAILABILITY'!P341+O342*'RAP TEMPLATE-GAS AVAILABILITY'!Q341+P342*'RAP TEMPLATE-GAS AVAILABILITY'!R341)/('RAP TEMPLATE-GAS AVAILABILITY'!O341+'RAP TEMPLATE-GAS AVAILABILITY'!P341+'RAP TEMPLATE-GAS AVAILABILITY'!Q341+'RAP TEMPLATE-GAS AVAILABILITY'!R341)</f>
        <v>16.359826618705036</v>
      </c>
    </row>
    <row r="343" spans="1:29" ht="15.75" x14ac:dyDescent="0.25">
      <c r="A343" s="14">
        <v>51348</v>
      </c>
      <c r="B343" s="17">
        <f>CHOOSE(CONTROL!$C$42, 16.2299, 16.2299) * CHOOSE(CONTROL!$C$21, $C$9, 100%, $E$9)</f>
        <v>16.229900000000001</v>
      </c>
      <c r="C343" s="17">
        <f>CHOOSE(CONTROL!$C$42, 16.2379, 16.2379) * CHOOSE(CONTROL!$C$21, $C$9, 100%, $E$9)</f>
        <v>16.2379</v>
      </c>
      <c r="D343" s="17">
        <f>CHOOSE(CONTROL!$C$42, 16.5089, 16.5089) * CHOOSE(CONTROL!$C$21, $C$9, 100%, $E$9)</f>
        <v>16.508900000000001</v>
      </c>
      <c r="E343" s="17">
        <f>CHOOSE(CONTROL!$C$42, 16.5404, 16.5404) * CHOOSE(CONTROL!$C$21, $C$9, 100%, $E$9)</f>
        <v>16.540400000000002</v>
      </c>
      <c r="F343" s="17">
        <f>CHOOSE(CONTROL!$C$42, 16.2487, 16.2487)*CHOOSE(CONTROL!$C$21, $C$9, 100%, $E$9)</f>
        <v>16.248699999999999</v>
      </c>
      <c r="G343" s="17">
        <f>CHOOSE(CONTROL!$C$42, 16.2655, 16.2655)*CHOOSE(CONTROL!$C$21, $C$9, 100%, $E$9)</f>
        <v>16.265499999999999</v>
      </c>
      <c r="H343" s="17">
        <f>CHOOSE(CONTROL!$C$42, 16.529, 16.529) * CHOOSE(CONTROL!$C$21, $C$9, 100%, $E$9)</f>
        <v>16.529</v>
      </c>
      <c r="I343" s="17">
        <f>CHOOSE(CONTROL!$C$42, 16.3006, 16.3006)* CHOOSE(CONTROL!$C$21, $C$9, 100%, $E$9)</f>
        <v>16.300599999999999</v>
      </c>
      <c r="J343" s="17">
        <f>CHOOSE(CONTROL!$C$42, 16.2417, 16.2417)* CHOOSE(CONTROL!$C$21, $C$9, 100%, $E$9)</f>
        <v>16.241700000000002</v>
      </c>
      <c r="K343" s="52">
        <f>CHOOSE(CONTROL!$C$42, 16.2963, 16.2963) * CHOOSE(CONTROL!$C$21, $C$9, 100%, $E$9)</f>
        <v>16.296299999999999</v>
      </c>
      <c r="L343" s="17">
        <f>CHOOSE(CONTROL!$C$42, 17.116, 17.116) * CHOOSE(CONTROL!$C$21, $C$9, 100%, $E$9)</f>
        <v>17.116</v>
      </c>
      <c r="M343" s="17">
        <f>CHOOSE(CONTROL!$C$42, 15.9573, 15.9573) * CHOOSE(CONTROL!$C$21, $C$9, 100%, $E$9)</f>
        <v>15.9573</v>
      </c>
      <c r="N343" s="17">
        <f>CHOOSE(CONTROL!$C$42, 15.9738, 15.9738) * CHOOSE(CONTROL!$C$21, $C$9, 100%, $E$9)</f>
        <v>15.973800000000001</v>
      </c>
      <c r="O343" s="17">
        <f>CHOOSE(CONTROL!$C$42, 16.2394, 16.2394) * CHOOSE(CONTROL!$C$21, $C$9, 100%, $E$9)</f>
        <v>16.2394</v>
      </c>
      <c r="P343" s="17">
        <f>CHOOSE(CONTROL!$C$42, 16.0142, 16.0142) * CHOOSE(CONTROL!$C$21, $C$9, 100%, $E$9)</f>
        <v>16.014199999999999</v>
      </c>
      <c r="Q343" s="17">
        <f>CHOOSE(CONTROL!$C$42, 16.8341, 16.8341) * CHOOSE(CONTROL!$C$21, $C$9, 100%, $E$9)</f>
        <v>16.834099999999999</v>
      </c>
      <c r="R343" s="17">
        <f>CHOOSE(CONTROL!$C$42, 17.4632, 17.4632) * CHOOSE(CONTROL!$C$21, $C$9, 100%, $E$9)</f>
        <v>17.463200000000001</v>
      </c>
      <c r="S343" s="17">
        <f>CHOOSE(CONTROL!$C$42, 15.5846, 15.5846) * CHOOSE(CONTROL!$C$21, $C$9, 100%, $E$9)</f>
        <v>15.5846</v>
      </c>
      <c r="T34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43" s="56">
        <f>(1000*CHOOSE(CONTROL!$C$42, 695, 695)*CHOOSE(CONTROL!$C$42, 0.5599, 0.5599)*CHOOSE(CONTROL!$C$42, 31, 31))/1000000</f>
        <v>12.063045499999998</v>
      </c>
      <c r="V343" s="56">
        <f>(1000*CHOOSE(CONTROL!$C$42, 500, 500)*CHOOSE(CONTROL!$C$42, 0.275, 0.275)*CHOOSE(CONTROL!$C$42, 31, 31))/1000000</f>
        <v>4.2625000000000002</v>
      </c>
      <c r="W343" s="56">
        <f>(1000*CHOOSE(CONTROL!$C$42, 0.1146, 0.1146)*CHOOSE(CONTROL!$C$42, 121.5, 121.5)*CHOOSE(CONTROL!$C$42, 31, 31))/1000000</f>
        <v>0.43164089999999994</v>
      </c>
      <c r="X343" s="56">
        <f>(31*0.1790888*145000/1000000)+(31*0.2374*100000/1000000)</f>
        <v>1.5409441560000001</v>
      </c>
      <c r="Y343" s="56"/>
      <c r="Z343" s="17"/>
      <c r="AA343" s="55"/>
      <c r="AB343" s="48">
        <f>(B343*194.205+C343*267.466+D343*133.845+E343*153.484+F343*40+G343*85+H343*0+I343*100+J343*300)/(194.205+267.466+133.845+153.484+0+40+85+100+300)</f>
        <v>16.309591730769231</v>
      </c>
      <c r="AC343" s="45">
        <f>(M343*'RAP TEMPLATE-GAS AVAILABILITY'!O342+N343*'RAP TEMPLATE-GAS AVAILABILITY'!P342+O343*'RAP TEMPLATE-GAS AVAILABILITY'!Q342+P343*'RAP TEMPLATE-GAS AVAILABILITY'!R342)/('RAP TEMPLATE-GAS AVAILABILITY'!O342+'RAP TEMPLATE-GAS AVAILABILITY'!P342+'RAP TEMPLATE-GAS AVAILABILITY'!Q342+'RAP TEMPLATE-GAS AVAILABILITY'!R342)</f>
        <v>16.048435971223018</v>
      </c>
    </row>
    <row r="344" spans="1:29" ht="15.75" x14ac:dyDescent="0.25">
      <c r="A344" s="14">
        <v>51379</v>
      </c>
      <c r="B344" s="17">
        <f>CHOOSE(CONTROL!$C$42, 15.4288, 15.4288) * CHOOSE(CONTROL!$C$21, $C$9, 100%, $E$9)</f>
        <v>15.428800000000001</v>
      </c>
      <c r="C344" s="17">
        <f>CHOOSE(CONTROL!$C$42, 15.4368, 15.4368) * CHOOSE(CONTROL!$C$21, $C$9, 100%, $E$9)</f>
        <v>15.4368</v>
      </c>
      <c r="D344" s="17">
        <f>CHOOSE(CONTROL!$C$42, 15.7079, 15.7079) * CHOOSE(CONTROL!$C$21, $C$9, 100%, $E$9)</f>
        <v>15.7079</v>
      </c>
      <c r="E344" s="17">
        <f>CHOOSE(CONTROL!$C$42, 15.7393, 15.7393) * CHOOSE(CONTROL!$C$21, $C$9, 100%, $E$9)</f>
        <v>15.7393</v>
      </c>
      <c r="F344" s="17">
        <f>CHOOSE(CONTROL!$C$42, 15.4479, 15.4479)*CHOOSE(CONTROL!$C$21, $C$9, 100%, $E$9)</f>
        <v>15.447900000000001</v>
      </c>
      <c r="G344" s="17">
        <f>CHOOSE(CONTROL!$C$42, 15.4648, 15.4648)*CHOOSE(CONTROL!$C$21, $C$9, 100%, $E$9)</f>
        <v>15.4648</v>
      </c>
      <c r="H344" s="17">
        <f>CHOOSE(CONTROL!$C$42, 15.728, 15.728) * CHOOSE(CONTROL!$C$21, $C$9, 100%, $E$9)</f>
        <v>15.728</v>
      </c>
      <c r="I344" s="17">
        <f>CHOOSE(CONTROL!$C$42, 15.497, 15.497)* CHOOSE(CONTROL!$C$21, $C$9, 100%, $E$9)</f>
        <v>15.497</v>
      </c>
      <c r="J344" s="17">
        <f>CHOOSE(CONTROL!$C$42, 15.4409, 15.4409)* CHOOSE(CONTROL!$C$21, $C$9, 100%, $E$9)</f>
        <v>15.440899999999999</v>
      </c>
      <c r="K344" s="52">
        <f>CHOOSE(CONTROL!$C$42, 15.4927, 15.4927) * CHOOSE(CONTROL!$C$21, $C$9, 100%, $E$9)</f>
        <v>15.492699999999999</v>
      </c>
      <c r="L344" s="17">
        <f>CHOOSE(CONTROL!$C$42, 16.315, 16.315) * CHOOSE(CONTROL!$C$21, $C$9, 100%, $E$9)</f>
        <v>16.315000000000001</v>
      </c>
      <c r="M344" s="17">
        <f>CHOOSE(CONTROL!$C$42, 15.1709, 15.1709) * CHOOSE(CONTROL!$C$21, $C$9, 100%, $E$9)</f>
        <v>15.1709</v>
      </c>
      <c r="N344" s="17">
        <f>CHOOSE(CONTROL!$C$42, 15.1874, 15.1874) * CHOOSE(CONTROL!$C$21, $C$9, 100%, $E$9)</f>
        <v>15.1874</v>
      </c>
      <c r="O344" s="17">
        <f>CHOOSE(CONTROL!$C$42, 15.4528, 15.4528) * CHOOSE(CONTROL!$C$21, $C$9, 100%, $E$9)</f>
        <v>15.4528</v>
      </c>
      <c r="P344" s="17">
        <f>CHOOSE(CONTROL!$C$42, 15.2251, 15.2251) * CHOOSE(CONTROL!$C$21, $C$9, 100%, $E$9)</f>
        <v>15.225099999999999</v>
      </c>
      <c r="Q344" s="17">
        <f>CHOOSE(CONTROL!$C$42, 16.0475, 16.0475) * CHOOSE(CONTROL!$C$21, $C$9, 100%, $E$9)</f>
        <v>16.047499999999999</v>
      </c>
      <c r="R344" s="17">
        <f>CHOOSE(CONTROL!$C$42, 16.6746, 16.6746) * CHOOSE(CONTROL!$C$21, $C$9, 100%, $E$9)</f>
        <v>16.674600000000002</v>
      </c>
      <c r="S344" s="17">
        <f>CHOOSE(CONTROL!$C$42, 14.8149, 14.8149) * CHOOSE(CONTROL!$C$21, $C$9, 100%, $E$9)</f>
        <v>14.8149</v>
      </c>
      <c r="T34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44" s="56">
        <f>(1000*CHOOSE(CONTROL!$C$42, 695, 695)*CHOOSE(CONTROL!$C$42, 0.5599, 0.5599)*CHOOSE(CONTROL!$C$42, 31, 31))/1000000</f>
        <v>12.063045499999998</v>
      </c>
      <c r="V344" s="56">
        <f>(1000*CHOOSE(CONTROL!$C$42, 500, 500)*CHOOSE(CONTROL!$C$42, 0.275, 0.275)*CHOOSE(CONTROL!$C$42, 31, 31))/1000000</f>
        <v>4.2625000000000002</v>
      </c>
      <c r="W344" s="56">
        <f>(1000*CHOOSE(CONTROL!$C$42, 0.1146, 0.1146)*CHOOSE(CONTROL!$C$42, 121.5, 121.5)*CHOOSE(CONTROL!$C$42, 31, 31))/1000000</f>
        <v>0.43164089999999994</v>
      </c>
      <c r="X344" s="56">
        <f>(31*0.1790888*145000/1000000)+(31*0.2374*100000/1000000)</f>
        <v>1.5409441560000001</v>
      </c>
      <c r="Y344" s="56"/>
      <c r="Z344" s="17"/>
      <c r="AA344" s="55"/>
      <c r="AB344" s="48">
        <f>(B344*194.205+C344*267.466+D344*133.845+E344*153.484+F344*40+G344*85+H344*0+I344*100+J344*300)/(194.205+267.466+133.845+153.484+0+40+85+100+300)</f>
        <v>15.508412754709576</v>
      </c>
      <c r="AC344" s="45">
        <f>(M344*'RAP TEMPLATE-GAS AVAILABILITY'!O343+N344*'RAP TEMPLATE-GAS AVAILABILITY'!P343+O344*'RAP TEMPLATE-GAS AVAILABILITY'!Q343+P344*'RAP TEMPLATE-GAS AVAILABILITY'!R343)/('RAP TEMPLATE-GAS AVAILABILITY'!O343+'RAP TEMPLATE-GAS AVAILABILITY'!P343+'RAP TEMPLATE-GAS AVAILABILITY'!Q343+'RAP TEMPLATE-GAS AVAILABILITY'!R343)</f>
        <v>15.261591366906476</v>
      </c>
    </row>
    <row r="345" spans="1:29" ht="15.75" x14ac:dyDescent="0.25">
      <c r="A345" s="14">
        <v>51409</v>
      </c>
      <c r="B345" s="17">
        <f>CHOOSE(CONTROL!$C$42, 14.4498, 14.4498) * CHOOSE(CONTROL!$C$21, $C$9, 100%, $E$9)</f>
        <v>14.4498</v>
      </c>
      <c r="C345" s="17">
        <f>CHOOSE(CONTROL!$C$42, 14.4578, 14.4578) * CHOOSE(CONTROL!$C$21, $C$9, 100%, $E$9)</f>
        <v>14.457800000000001</v>
      </c>
      <c r="D345" s="17">
        <f>CHOOSE(CONTROL!$C$42, 14.7289, 14.7289) * CHOOSE(CONTROL!$C$21, $C$9, 100%, $E$9)</f>
        <v>14.728899999999999</v>
      </c>
      <c r="E345" s="17">
        <f>CHOOSE(CONTROL!$C$42, 14.7603, 14.7603) * CHOOSE(CONTROL!$C$21, $C$9, 100%, $E$9)</f>
        <v>14.760300000000001</v>
      </c>
      <c r="F345" s="17">
        <f>CHOOSE(CONTROL!$C$42, 14.469, 14.469)*CHOOSE(CONTROL!$C$21, $C$9, 100%, $E$9)</f>
        <v>14.468999999999999</v>
      </c>
      <c r="G345" s="17">
        <f>CHOOSE(CONTROL!$C$42, 14.4859, 14.4859)*CHOOSE(CONTROL!$C$21, $C$9, 100%, $E$9)</f>
        <v>14.485900000000001</v>
      </c>
      <c r="H345" s="17">
        <f>CHOOSE(CONTROL!$C$42, 14.7489, 14.7489) * CHOOSE(CONTROL!$C$21, $C$9, 100%, $E$9)</f>
        <v>14.748900000000001</v>
      </c>
      <c r="I345" s="17">
        <f>CHOOSE(CONTROL!$C$42, 14.5149, 14.5149)* CHOOSE(CONTROL!$C$21, $C$9, 100%, $E$9)</f>
        <v>14.514900000000001</v>
      </c>
      <c r="J345" s="17">
        <f>CHOOSE(CONTROL!$C$42, 14.462, 14.462)* CHOOSE(CONTROL!$C$21, $C$9, 100%, $E$9)</f>
        <v>14.462</v>
      </c>
      <c r="K345" s="52">
        <f>CHOOSE(CONTROL!$C$42, 14.5107, 14.5107) * CHOOSE(CONTROL!$C$21, $C$9, 100%, $E$9)</f>
        <v>14.5107</v>
      </c>
      <c r="L345" s="17">
        <f>CHOOSE(CONTROL!$C$42, 15.3359, 15.3359) * CHOOSE(CONTROL!$C$21, $C$9, 100%, $E$9)</f>
        <v>15.335900000000001</v>
      </c>
      <c r="M345" s="17">
        <f>CHOOSE(CONTROL!$C$42, 14.2095, 14.2095) * CHOOSE(CONTROL!$C$21, $C$9, 100%, $E$9)</f>
        <v>14.2095</v>
      </c>
      <c r="N345" s="17">
        <f>CHOOSE(CONTROL!$C$42, 14.2261, 14.2261) * CHOOSE(CONTROL!$C$21, $C$9, 100%, $E$9)</f>
        <v>14.226100000000001</v>
      </c>
      <c r="O345" s="17">
        <f>CHOOSE(CONTROL!$C$42, 14.4914, 14.4914) * CHOOSE(CONTROL!$C$21, $C$9, 100%, $E$9)</f>
        <v>14.491400000000001</v>
      </c>
      <c r="P345" s="17">
        <f>CHOOSE(CONTROL!$C$42, 14.2608, 14.2608) * CHOOSE(CONTROL!$C$21, $C$9, 100%, $E$9)</f>
        <v>14.2608</v>
      </c>
      <c r="Q345" s="17">
        <f>CHOOSE(CONTROL!$C$42, 15.0861, 15.0861) * CHOOSE(CONTROL!$C$21, $C$9, 100%, $E$9)</f>
        <v>15.0861</v>
      </c>
      <c r="R345" s="17">
        <f>CHOOSE(CONTROL!$C$42, 15.7108, 15.7108) * CHOOSE(CONTROL!$C$21, $C$9, 100%, $E$9)</f>
        <v>15.710800000000001</v>
      </c>
      <c r="S345" s="17">
        <f>CHOOSE(CONTROL!$C$42, 13.8741, 13.8741) * CHOOSE(CONTROL!$C$21, $C$9, 100%, $E$9)</f>
        <v>13.8741</v>
      </c>
      <c r="T34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45" s="56">
        <f>(1000*CHOOSE(CONTROL!$C$42, 695, 695)*CHOOSE(CONTROL!$C$42, 0.5599, 0.5599)*CHOOSE(CONTROL!$C$42, 30, 30))/1000000</f>
        <v>11.673914999999997</v>
      </c>
      <c r="V345" s="56">
        <f>(1000*CHOOSE(CONTROL!$C$42, 500, 500)*CHOOSE(CONTROL!$C$42, 0.275, 0.275)*CHOOSE(CONTROL!$C$42, 30, 30))/1000000</f>
        <v>4.125</v>
      </c>
      <c r="W345" s="56">
        <f>(1000*CHOOSE(CONTROL!$C$42, 0.1146, 0.1146)*CHOOSE(CONTROL!$C$42, 121.5, 121.5)*CHOOSE(CONTROL!$C$42, 30, 30))/1000000</f>
        <v>0.417717</v>
      </c>
      <c r="X345" s="56">
        <f>(30*0.1790888*145000/1000000)+(30*0.2374*100000/1000000)</f>
        <v>1.4912362799999999</v>
      </c>
      <c r="Y345" s="56"/>
      <c r="Z345" s="17"/>
      <c r="AA345" s="55"/>
      <c r="AB345" s="48">
        <f>(B345*194.205+C345*267.466+D345*133.845+E345*153.484+F345*40+G345*85+H345*0+I345*100+J345*300)/(194.205+267.466+133.845+153.484+0+40+85+100+300)</f>
        <v>14.529202786106751</v>
      </c>
      <c r="AC345" s="45">
        <f>(M345*'RAP TEMPLATE-GAS AVAILABILITY'!O344+N345*'RAP TEMPLATE-GAS AVAILABILITY'!P344+O345*'RAP TEMPLATE-GAS AVAILABILITY'!Q344+P345*'RAP TEMPLATE-GAS AVAILABILITY'!R344)/('RAP TEMPLATE-GAS AVAILABILITY'!O344+'RAP TEMPLATE-GAS AVAILABILITY'!P344+'RAP TEMPLATE-GAS AVAILABILITY'!Q344+'RAP TEMPLATE-GAS AVAILABILITY'!R344)</f>
        <v>14.299797122302159</v>
      </c>
    </row>
    <row r="346" spans="1:29" ht="15.75" x14ac:dyDescent="0.25">
      <c r="A346" s="14">
        <v>51440</v>
      </c>
      <c r="B346" s="17">
        <f>CHOOSE(CONTROL!$C$42, 14.1549, 14.1549) * CHOOSE(CONTROL!$C$21, $C$9, 100%, $E$9)</f>
        <v>14.1549</v>
      </c>
      <c r="C346" s="17">
        <f>CHOOSE(CONTROL!$C$42, 14.1602, 14.1602) * CHOOSE(CONTROL!$C$21, $C$9, 100%, $E$9)</f>
        <v>14.1602</v>
      </c>
      <c r="D346" s="17">
        <f>CHOOSE(CONTROL!$C$42, 14.4362, 14.4362) * CHOOSE(CONTROL!$C$21, $C$9, 100%, $E$9)</f>
        <v>14.436199999999999</v>
      </c>
      <c r="E346" s="17">
        <f>CHOOSE(CONTROL!$C$42, 14.4653, 14.4653) * CHOOSE(CONTROL!$C$21, $C$9, 100%, $E$9)</f>
        <v>14.465299999999999</v>
      </c>
      <c r="F346" s="17">
        <f>CHOOSE(CONTROL!$C$42, 14.1763, 14.1763)*CHOOSE(CONTROL!$C$21, $C$9, 100%, $E$9)</f>
        <v>14.176299999999999</v>
      </c>
      <c r="G346" s="17">
        <f>CHOOSE(CONTROL!$C$42, 14.1931, 14.1931)*CHOOSE(CONTROL!$C$21, $C$9, 100%, $E$9)</f>
        <v>14.193099999999999</v>
      </c>
      <c r="H346" s="17">
        <f>CHOOSE(CONTROL!$C$42, 14.4558, 14.4558) * CHOOSE(CONTROL!$C$21, $C$9, 100%, $E$9)</f>
        <v>14.4558</v>
      </c>
      <c r="I346" s="17">
        <f>CHOOSE(CONTROL!$C$42, 14.2208, 14.2208)* CHOOSE(CONTROL!$C$21, $C$9, 100%, $E$9)</f>
        <v>14.220800000000001</v>
      </c>
      <c r="J346" s="17">
        <f>CHOOSE(CONTROL!$C$42, 14.1693, 14.1693)* CHOOSE(CONTROL!$C$21, $C$9, 100%, $E$9)</f>
        <v>14.1693</v>
      </c>
      <c r="K346" s="52">
        <f>CHOOSE(CONTROL!$C$42, 14.2166, 14.2166) * CHOOSE(CONTROL!$C$21, $C$9, 100%, $E$9)</f>
        <v>14.2166</v>
      </c>
      <c r="L346" s="17">
        <f>CHOOSE(CONTROL!$C$42, 15.0428, 15.0428) * CHOOSE(CONTROL!$C$21, $C$9, 100%, $E$9)</f>
        <v>15.0428</v>
      </c>
      <c r="M346" s="17">
        <f>CHOOSE(CONTROL!$C$42, 13.9221, 13.9221) * CHOOSE(CONTROL!$C$21, $C$9, 100%, $E$9)</f>
        <v>13.9221</v>
      </c>
      <c r="N346" s="17">
        <f>CHOOSE(CONTROL!$C$42, 13.9386, 13.9386) * CHOOSE(CONTROL!$C$21, $C$9, 100%, $E$9)</f>
        <v>13.938599999999999</v>
      </c>
      <c r="O346" s="17">
        <f>CHOOSE(CONTROL!$C$42, 14.2035, 14.2035) * CHOOSE(CONTROL!$C$21, $C$9, 100%, $E$9)</f>
        <v>14.2035</v>
      </c>
      <c r="P346" s="17">
        <f>CHOOSE(CONTROL!$C$42, 13.972, 13.972) * CHOOSE(CONTROL!$C$21, $C$9, 100%, $E$9)</f>
        <v>13.972</v>
      </c>
      <c r="Q346" s="17">
        <f>CHOOSE(CONTROL!$C$42, 14.7982, 14.7982) * CHOOSE(CONTROL!$C$21, $C$9, 100%, $E$9)</f>
        <v>14.7982</v>
      </c>
      <c r="R346" s="17">
        <f>CHOOSE(CONTROL!$C$42, 15.4222, 15.4222) * CHOOSE(CONTROL!$C$21, $C$9, 100%, $E$9)</f>
        <v>15.4222</v>
      </c>
      <c r="S346" s="17">
        <f>CHOOSE(CONTROL!$C$42, 13.5925, 13.5925) * CHOOSE(CONTROL!$C$21, $C$9, 100%, $E$9)</f>
        <v>13.592499999999999</v>
      </c>
      <c r="T34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46" s="56">
        <f>(1000*CHOOSE(CONTROL!$C$42, 695, 695)*CHOOSE(CONTROL!$C$42, 0.5599, 0.5599)*CHOOSE(CONTROL!$C$42, 31, 31))/1000000</f>
        <v>12.063045499999998</v>
      </c>
      <c r="V346" s="56">
        <f>(1000*CHOOSE(CONTROL!$C$42, 500, 500)*CHOOSE(CONTROL!$C$42, 0.275, 0.275)*CHOOSE(CONTROL!$C$42, 31, 31))/1000000</f>
        <v>4.2625000000000002</v>
      </c>
      <c r="W346" s="56">
        <f>(1000*CHOOSE(CONTROL!$C$42, 0.1146, 0.1146)*CHOOSE(CONTROL!$C$42, 121.5, 121.5)*CHOOSE(CONTROL!$C$42, 31, 31))/1000000</f>
        <v>0.43164089999999994</v>
      </c>
      <c r="X346" s="56">
        <f>(31*0.1790888*145000/1000000)+(31*0.2374*100000/1000000)</f>
        <v>1.5409441560000001</v>
      </c>
      <c r="Y346" s="56"/>
      <c r="Z346" s="17"/>
      <c r="AA346" s="55"/>
      <c r="AB346" s="48">
        <f>(B346*131.881+C346*277.167+D346*79.08+E346*225.872+F346*40+G346*85+H346*0+I346*100+J346*300)/(131.881+277.167+79.08+225.872+0+40+85+100+300)</f>
        <v>14.242743307425341</v>
      </c>
      <c r="AC346" s="45">
        <f>(M346*'RAP TEMPLATE-GAS AVAILABILITY'!O345+N346*'RAP TEMPLATE-GAS AVAILABILITY'!P345+O346*'RAP TEMPLATE-GAS AVAILABILITY'!Q345+P346*'RAP TEMPLATE-GAS AVAILABILITY'!R345)/('RAP TEMPLATE-GAS AVAILABILITY'!O345+'RAP TEMPLATE-GAS AVAILABILITY'!P345+'RAP TEMPLATE-GAS AVAILABILITY'!Q345+'RAP TEMPLATE-GAS AVAILABILITY'!R345)</f>
        <v>14.012032374100718</v>
      </c>
    </row>
    <row r="347" spans="1:29" ht="15.75" x14ac:dyDescent="0.25">
      <c r="A347" s="14">
        <v>51470</v>
      </c>
      <c r="B347" s="17">
        <f>CHOOSE(CONTROL!$C$42, 14.5271, 14.5271) * CHOOSE(CONTROL!$C$21, $C$9, 100%, $E$9)</f>
        <v>14.527100000000001</v>
      </c>
      <c r="C347" s="17">
        <f>CHOOSE(CONTROL!$C$42, 14.5321, 14.5321) * CHOOSE(CONTROL!$C$21, $C$9, 100%, $E$9)</f>
        <v>14.5321</v>
      </c>
      <c r="D347" s="17">
        <f>CHOOSE(CONTROL!$C$42, 14.6272, 14.6272) * CHOOSE(CONTROL!$C$21, $C$9, 100%, $E$9)</f>
        <v>14.6272</v>
      </c>
      <c r="E347" s="17">
        <f>CHOOSE(CONTROL!$C$42, 14.6613, 14.6613) * CHOOSE(CONTROL!$C$21, $C$9, 100%, $E$9)</f>
        <v>14.661300000000001</v>
      </c>
      <c r="F347" s="17">
        <f>CHOOSE(CONTROL!$C$42, 14.551, 14.551)*CHOOSE(CONTROL!$C$21, $C$9, 100%, $E$9)</f>
        <v>14.551</v>
      </c>
      <c r="G347" s="17">
        <f>CHOOSE(CONTROL!$C$42, 14.5681, 14.5681)*CHOOSE(CONTROL!$C$21, $C$9, 100%, $E$9)</f>
        <v>14.568099999999999</v>
      </c>
      <c r="H347" s="17">
        <f>CHOOSE(CONTROL!$C$42, 14.6505, 14.6505) * CHOOSE(CONTROL!$C$21, $C$9, 100%, $E$9)</f>
        <v>14.650499999999999</v>
      </c>
      <c r="I347" s="17">
        <f>CHOOSE(CONTROL!$C$42, 14.5925, 14.5925)* CHOOSE(CONTROL!$C$21, $C$9, 100%, $E$9)</f>
        <v>14.592499999999999</v>
      </c>
      <c r="J347" s="17">
        <f>CHOOSE(CONTROL!$C$42, 14.544, 14.544)* CHOOSE(CONTROL!$C$21, $C$9, 100%, $E$9)</f>
        <v>14.544</v>
      </c>
      <c r="K347" s="52">
        <f>CHOOSE(CONTROL!$C$42, 14.5883, 14.5883) * CHOOSE(CONTROL!$C$21, $C$9, 100%, $E$9)</f>
        <v>14.5883</v>
      </c>
      <c r="L347" s="17">
        <f>CHOOSE(CONTROL!$C$42, 15.2375, 15.2375) * CHOOSE(CONTROL!$C$21, $C$9, 100%, $E$9)</f>
        <v>15.237500000000001</v>
      </c>
      <c r="M347" s="17">
        <f>CHOOSE(CONTROL!$C$42, 14.2901, 14.2901) * CHOOSE(CONTROL!$C$21, $C$9, 100%, $E$9)</f>
        <v>14.290100000000001</v>
      </c>
      <c r="N347" s="17">
        <f>CHOOSE(CONTROL!$C$42, 14.3068, 14.3068) * CHOOSE(CONTROL!$C$21, $C$9, 100%, $E$9)</f>
        <v>14.306800000000001</v>
      </c>
      <c r="O347" s="17">
        <f>CHOOSE(CONTROL!$C$42, 14.3947, 14.3947) * CHOOSE(CONTROL!$C$21, $C$9, 100%, $E$9)</f>
        <v>14.3947</v>
      </c>
      <c r="P347" s="17">
        <f>CHOOSE(CONTROL!$C$42, 14.337, 14.337) * CHOOSE(CONTROL!$C$21, $C$9, 100%, $E$9)</f>
        <v>14.337</v>
      </c>
      <c r="Q347" s="17">
        <f>CHOOSE(CONTROL!$C$42, 14.9894, 14.9894) * CHOOSE(CONTROL!$C$21, $C$9, 100%, $E$9)</f>
        <v>14.9894</v>
      </c>
      <c r="R347" s="17">
        <f>CHOOSE(CONTROL!$C$42, 15.6138, 15.6138) * CHOOSE(CONTROL!$C$21, $C$9, 100%, $E$9)</f>
        <v>15.613799999999999</v>
      </c>
      <c r="S347" s="17">
        <f>CHOOSE(CONTROL!$C$42, 13.9505, 13.9505) * CHOOSE(CONTROL!$C$21, $C$9, 100%, $E$9)</f>
        <v>13.9505</v>
      </c>
      <c r="T34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47" s="56">
        <f>(1000*CHOOSE(CONTROL!$C$42, 695, 695)*CHOOSE(CONTROL!$C$42, 0.5599, 0.5599)*CHOOSE(CONTROL!$C$42, 30, 30))/1000000</f>
        <v>11.673914999999997</v>
      </c>
      <c r="V347" s="56">
        <f>(1000*CHOOSE(CONTROL!$C$42, 500, 500)*CHOOSE(CONTROL!$C$42, 0.275, 0.275)*CHOOSE(CONTROL!$C$42, 30, 30))/1000000</f>
        <v>4.125</v>
      </c>
      <c r="W347" s="56">
        <f>(1000*CHOOSE(CONTROL!$C$42, 0.1146, 0.1146)*CHOOSE(CONTROL!$C$42, 121.5, 121.5)*CHOOSE(CONTROL!$C$42, 30, 30))/1000000</f>
        <v>0.417717</v>
      </c>
      <c r="X347" s="56">
        <f>(30*0.2374*100000/1000000)</f>
        <v>0.71220000000000006</v>
      </c>
      <c r="Y347" s="56"/>
      <c r="Z347" s="17"/>
      <c r="AA347" s="55"/>
      <c r="AB347" s="48">
        <f>(B347*122.58+C347*297.941+D347*89.177+E347*140.302+F347*40+G347*60+H347*0+I347*100+J347*300)/(122.58+297.941+89.177+140.302+0+40+60+100+300)</f>
        <v>14.565596392260868</v>
      </c>
      <c r="AC347" s="45">
        <f>(M347*'RAP TEMPLATE-GAS AVAILABILITY'!O346+N347*'RAP TEMPLATE-GAS AVAILABILITY'!P346+O347*'RAP TEMPLATE-GAS AVAILABILITY'!Q346+P347*'RAP TEMPLATE-GAS AVAILABILITY'!R346)/('RAP TEMPLATE-GAS AVAILABILITY'!O346+'RAP TEMPLATE-GAS AVAILABILITY'!P346+'RAP TEMPLATE-GAS AVAILABILITY'!Q346+'RAP TEMPLATE-GAS AVAILABILITY'!R346)</f>
        <v>14.345217985611512</v>
      </c>
    </row>
    <row r="348" spans="1:29" ht="15.75" x14ac:dyDescent="0.25">
      <c r="A348" s="14">
        <v>51501</v>
      </c>
      <c r="B348" s="17">
        <f>CHOOSE(CONTROL!$C$42, 15.5169, 15.5169) * CHOOSE(CONTROL!$C$21, $C$9, 100%, $E$9)</f>
        <v>15.5169</v>
      </c>
      <c r="C348" s="17">
        <f>CHOOSE(CONTROL!$C$42, 15.5219, 15.5219) * CHOOSE(CONTROL!$C$21, $C$9, 100%, $E$9)</f>
        <v>15.5219</v>
      </c>
      <c r="D348" s="17">
        <f>CHOOSE(CONTROL!$C$42, 15.617, 15.617) * CHOOSE(CONTROL!$C$21, $C$9, 100%, $E$9)</f>
        <v>15.617000000000001</v>
      </c>
      <c r="E348" s="17">
        <f>CHOOSE(CONTROL!$C$42, 15.6511, 15.6511) * CHOOSE(CONTROL!$C$21, $C$9, 100%, $E$9)</f>
        <v>15.6511</v>
      </c>
      <c r="F348" s="17">
        <f>CHOOSE(CONTROL!$C$42, 15.5431, 15.5431)*CHOOSE(CONTROL!$C$21, $C$9, 100%, $E$9)</f>
        <v>15.543100000000001</v>
      </c>
      <c r="G348" s="17">
        <f>CHOOSE(CONTROL!$C$42, 15.5608, 15.5608)*CHOOSE(CONTROL!$C$21, $C$9, 100%, $E$9)</f>
        <v>15.5608</v>
      </c>
      <c r="H348" s="17">
        <f>CHOOSE(CONTROL!$C$42, 15.6403, 15.6403) * CHOOSE(CONTROL!$C$21, $C$9, 100%, $E$9)</f>
        <v>15.6403</v>
      </c>
      <c r="I348" s="17">
        <f>CHOOSE(CONTROL!$C$42, 15.5854, 15.5854)* CHOOSE(CONTROL!$C$21, $C$9, 100%, $E$9)</f>
        <v>15.5854</v>
      </c>
      <c r="J348" s="17">
        <f>CHOOSE(CONTROL!$C$42, 15.5361, 15.5361)* CHOOSE(CONTROL!$C$21, $C$9, 100%, $E$9)</f>
        <v>15.536099999999999</v>
      </c>
      <c r="K348" s="52">
        <f>CHOOSE(CONTROL!$C$42, 15.5812, 15.5812) * CHOOSE(CONTROL!$C$21, $C$9, 100%, $E$9)</f>
        <v>15.581200000000001</v>
      </c>
      <c r="L348" s="17">
        <f>CHOOSE(CONTROL!$C$42, 16.2273, 16.2273) * CHOOSE(CONTROL!$C$21, $C$9, 100%, $E$9)</f>
        <v>16.2273</v>
      </c>
      <c r="M348" s="17">
        <f>CHOOSE(CONTROL!$C$42, 15.2644, 15.2644) * CHOOSE(CONTROL!$C$21, $C$9, 100%, $E$9)</f>
        <v>15.2644</v>
      </c>
      <c r="N348" s="17">
        <f>CHOOSE(CONTROL!$C$42, 15.2817, 15.2817) * CHOOSE(CONTROL!$C$21, $C$9, 100%, $E$9)</f>
        <v>15.281700000000001</v>
      </c>
      <c r="O348" s="17">
        <f>CHOOSE(CONTROL!$C$42, 15.3667, 15.3667) * CHOOSE(CONTROL!$C$21, $C$9, 100%, $E$9)</f>
        <v>15.3667</v>
      </c>
      <c r="P348" s="17">
        <f>CHOOSE(CONTROL!$C$42, 15.312, 15.312) * CHOOSE(CONTROL!$C$21, $C$9, 100%, $E$9)</f>
        <v>15.311999999999999</v>
      </c>
      <c r="Q348" s="17">
        <f>CHOOSE(CONTROL!$C$42, 15.9614, 15.9614) * CHOOSE(CONTROL!$C$21, $C$9, 100%, $E$9)</f>
        <v>15.961399999999999</v>
      </c>
      <c r="R348" s="17">
        <f>CHOOSE(CONTROL!$C$42, 16.5883, 16.5883) * CHOOSE(CONTROL!$C$21, $C$9, 100%, $E$9)</f>
        <v>16.5883</v>
      </c>
      <c r="S348" s="17">
        <f>CHOOSE(CONTROL!$C$42, 14.9016, 14.9016) * CHOOSE(CONTROL!$C$21, $C$9, 100%, $E$9)</f>
        <v>14.9016</v>
      </c>
      <c r="T34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48" s="56">
        <f>(1000*CHOOSE(CONTROL!$C$42, 695, 695)*CHOOSE(CONTROL!$C$42, 0.5599, 0.5599)*CHOOSE(CONTROL!$C$42, 31, 31))/1000000</f>
        <v>12.063045499999998</v>
      </c>
      <c r="V348" s="56">
        <f>(1000*CHOOSE(CONTROL!$C$42, 500, 500)*CHOOSE(CONTROL!$C$42, 0.275, 0.275)*CHOOSE(CONTROL!$C$42, 31, 31))/1000000</f>
        <v>4.2625000000000002</v>
      </c>
      <c r="W348" s="56">
        <f>(1000*CHOOSE(CONTROL!$C$42, 0.1146, 0.1146)*CHOOSE(CONTROL!$C$42, 121.5, 121.5)*CHOOSE(CONTROL!$C$42, 31, 31))/1000000</f>
        <v>0.43164089999999994</v>
      </c>
      <c r="X348" s="56">
        <f>(31*0.2374*100000/1000000)</f>
        <v>0.73594000000000004</v>
      </c>
      <c r="Y348" s="56"/>
      <c r="Z348" s="17"/>
      <c r="AA348" s="55"/>
      <c r="AB348" s="48">
        <f>(B348*122.58+C348*297.941+D348*89.177+E348*140.302+F348*40+G348*60+H348*0+I348*100+J348*300)/(122.58+297.941+89.177+140.302+0+40+60+100+300)</f>
        <v>15.55649726182609</v>
      </c>
      <c r="AC348" s="45">
        <f>(M348*'RAP TEMPLATE-GAS AVAILABILITY'!O347+N348*'RAP TEMPLATE-GAS AVAILABILITY'!P347+O348*'RAP TEMPLATE-GAS AVAILABILITY'!Q347+P348*'RAP TEMPLATE-GAS AVAILABILITY'!R347)/('RAP TEMPLATE-GAS AVAILABILITY'!O347+'RAP TEMPLATE-GAS AVAILABILITY'!P347+'RAP TEMPLATE-GAS AVAILABILITY'!Q347+'RAP TEMPLATE-GAS AVAILABILITY'!R347)</f>
        <v>15.318610791366908</v>
      </c>
    </row>
    <row r="349" spans="1:29" ht="15.75" x14ac:dyDescent="0.25">
      <c r="A349" s="14">
        <v>51532</v>
      </c>
      <c r="B349" s="17">
        <f>CHOOSE(CONTROL!$C$42, 16.8024, 16.8024) * CHOOSE(CONTROL!$C$21, $C$9, 100%, $E$9)</f>
        <v>16.802399999999999</v>
      </c>
      <c r="C349" s="17">
        <f>CHOOSE(CONTROL!$C$42, 16.8075, 16.8075) * CHOOSE(CONTROL!$C$21, $C$9, 100%, $E$9)</f>
        <v>16.807500000000001</v>
      </c>
      <c r="D349" s="17">
        <f>CHOOSE(CONTROL!$C$42, 16.926, 16.926) * CHOOSE(CONTROL!$C$21, $C$9, 100%, $E$9)</f>
        <v>16.925999999999998</v>
      </c>
      <c r="E349" s="17">
        <f>CHOOSE(CONTROL!$C$42, 16.9601, 16.9601) * CHOOSE(CONTROL!$C$21, $C$9, 100%, $E$9)</f>
        <v>16.960100000000001</v>
      </c>
      <c r="F349" s="17">
        <f>CHOOSE(CONTROL!$C$42, 16.8228, 16.8228)*CHOOSE(CONTROL!$C$21, $C$9, 100%, $E$9)</f>
        <v>16.822800000000001</v>
      </c>
      <c r="G349" s="17">
        <f>CHOOSE(CONTROL!$C$42, 16.8397, 16.8397)*CHOOSE(CONTROL!$C$21, $C$9, 100%, $E$9)</f>
        <v>16.839700000000001</v>
      </c>
      <c r="H349" s="17">
        <f>CHOOSE(CONTROL!$C$42, 16.9493, 16.9493) * CHOOSE(CONTROL!$C$21, $C$9, 100%, $E$9)</f>
        <v>16.949300000000001</v>
      </c>
      <c r="I349" s="17">
        <f>CHOOSE(CONTROL!$C$42, 16.8787, 16.8787)* CHOOSE(CONTROL!$C$21, $C$9, 100%, $E$9)</f>
        <v>16.878699999999998</v>
      </c>
      <c r="J349" s="17">
        <f>CHOOSE(CONTROL!$C$42, 16.8158, 16.8158)* CHOOSE(CONTROL!$C$21, $C$9, 100%, $E$9)</f>
        <v>16.815799999999999</v>
      </c>
      <c r="K349" s="52">
        <f>CHOOSE(CONTROL!$C$42, 16.8745, 16.8745) * CHOOSE(CONTROL!$C$21, $C$9, 100%, $E$9)</f>
        <v>16.874500000000001</v>
      </c>
      <c r="L349" s="17">
        <f>CHOOSE(CONTROL!$C$42, 17.5363, 17.5363) * CHOOSE(CONTROL!$C$21, $C$9, 100%, $E$9)</f>
        <v>17.536300000000001</v>
      </c>
      <c r="M349" s="17">
        <f>CHOOSE(CONTROL!$C$42, 16.5211, 16.5211) * CHOOSE(CONTROL!$C$21, $C$9, 100%, $E$9)</f>
        <v>16.521100000000001</v>
      </c>
      <c r="N349" s="17">
        <f>CHOOSE(CONTROL!$C$42, 16.5376, 16.5376) * CHOOSE(CONTROL!$C$21, $C$9, 100%, $E$9)</f>
        <v>16.537600000000001</v>
      </c>
      <c r="O349" s="17">
        <f>CHOOSE(CONTROL!$C$42, 16.6521, 16.6521) * CHOOSE(CONTROL!$C$21, $C$9, 100%, $E$9)</f>
        <v>16.652100000000001</v>
      </c>
      <c r="P349" s="17">
        <f>CHOOSE(CONTROL!$C$42, 16.5819, 16.5819) * CHOOSE(CONTROL!$C$21, $C$9, 100%, $E$9)</f>
        <v>16.581900000000001</v>
      </c>
      <c r="Q349" s="17">
        <f>CHOOSE(CONTROL!$C$42, 17.2468, 17.2468) * CHOOSE(CONTROL!$C$21, $C$9, 100%, $E$9)</f>
        <v>17.2468</v>
      </c>
      <c r="R349" s="17">
        <f>CHOOSE(CONTROL!$C$42, 17.8769, 17.8769) * CHOOSE(CONTROL!$C$21, $C$9, 100%, $E$9)</f>
        <v>17.876899999999999</v>
      </c>
      <c r="S349" s="17">
        <f>CHOOSE(CONTROL!$C$42, 16.1369, 16.1369) * CHOOSE(CONTROL!$C$21, $C$9, 100%, $E$9)</f>
        <v>16.136900000000001</v>
      </c>
      <c r="T34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49" s="56">
        <f>(1000*CHOOSE(CONTROL!$C$42, 695, 695)*CHOOSE(CONTROL!$C$42, 0.5599, 0.5599)*CHOOSE(CONTROL!$C$42, 31, 31))/1000000</f>
        <v>12.063045499999998</v>
      </c>
      <c r="V349" s="56">
        <f>(1000*CHOOSE(CONTROL!$C$42, 500, 500)*CHOOSE(CONTROL!$C$42, 0.275, 0.275)*CHOOSE(CONTROL!$C$42, 31, 31))/1000000</f>
        <v>4.2625000000000002</v>
      </c>
      <c r="W349" s="56">
        <f>(1000*CHOOSE(CONTROL!$C$42, 0.1146, 0.1146)*CHOOSE(CONTROL!$C$42, 121.5, 121.5)*CHOOSE(CONTROL!$C$42, 31, 31))/1000000</f>
        <v>0.43164089999999994</v>
      </c>
      <c r="X349" s="56">
        <f>(31*0.2374*100000/1000000)</f>
        <v>0.73594000000000004</v>
      </c>
      <c r="Y349" s="56"/>
      <c r="Z349" s="17"/>
      <c r="AA349" s="55"/>
      <c r="AB349" s="48">
        <f>(B349*122.58+C349*297.941+D349*89.177+E349*140.302+F349*40+G349*60+H349*0+I349*100+J349*300)/(122.58+297.941+89.177+140.302+0+40+60+100+300)</f>
        <v>16.84533165365217</v>
      </c>
      <c r="AC349" s="45">
        <f>(M349*'RAP TEMPLATE-GAS AVAILABILITY'!O348+N349*'RAP TEMPLATE-GAS AVAILABILITY'!P348+O349*'RAP TEMPLATE-GAS AVAILABILITY'!Q348+P349*'RAP TEMPLATE-GAS AVAILABILITY'!R348)/('RAP TEMPLATE-GAS AVAILABILITY'!O348+'RAP TEMPLATE-GAS AVAILABILITY'!P348+'RAP TEMPLATE-GAS AVAILABILITY'!Q348+'RAP TEMPLATE-GAS AVAILABILITY'!R348)</f>
        <v>16.590171942446045</v>
      </c>
    </row>
    <row r="350" spans="1:29" ht="15.75" x14ac:dyDescent="0.25">
      <c r="A350" s="14">
        <v>51560</v>
      </c>
      <c r="B350" s="17">
        <f>CHOOSE(CONTROL!$C$42, 17.1014, 17.1014) * CHOOSE(CONTROL!$C$21, $C$9, 100%, $E$9)</f>
        <v>17.101400000000002</v>
      </c>
      <c r="C350" s="17">
        <f>CHOOSE(CONTROL!$C$42, 17.1064, 17.1064) * CHOOSE(CONTROL!$C$21, $C$9, 100%, $E$9)</f>
        <v>17.106400000000001</v>
      </c>
      <c r="D350" s="17">
        <f>CHOOSE(CONTROL!$C$42, 17.2249, 17.2249) * CHOOSE(CONTROL!$C$21, $C$9, 100%, $E$9)</f>
        <v>17.224900000000002</v>
      </c>
      <c r="E350" s="17">
        <f>CHOOSE(CONTROL!$C$42, 17.259, 17.259) * CHOOSE(CONTROL!$C$21, $C$9, 100%, $E$9)</f>
        <v>17.259</v>
      </c>
      <c r="F350" s="17">
        <f>CHOOSE(CONTROL!$C$42, 17.1218, 17.1218)*CHOOSE(CONTROL!$C$21, $C$9, 100%, $E$9)</f>
        <v>17.1218</v>
      </c>
      <c r="G350" s="17">
        <f>CHOOSE(CONTROL!$C$42, 17.1386, 17.1386)*CHOOSE(CONTROL!$C$21, $C$9, 100%, $E$9)</f>
        <v>17.1386</v>
      </c>
      <c r="H350" s="17">
        <f>CHOOSE(CONTROL!$C$42, 17.2482, 17.2482) * CHOOSE(CONTROL!$C$21, $C$9, 100%, $E$9)</f>
        <v>17.248200000000001</v>
      </c>
      <c r="I350" s="17">
        <f>CHOOSE(CONTROL!$C$42, 17.1786, 17.1786)* CHOOSE(CONTROL!$C$21, $C$9, 100%, $E$9)</f>
        <v>17.178599999999999</v>
      </c>
      <c r="J350" s="17">
        <f>CHOOSE(CONTROL!$C$42, 17.1148, 17.1148)* CHOOSE(CONTROL!$C$21, $C$9, 100%, $E$9)</f>
        <v>17.114799999999999</v>
      </c>
      <c r="K350" s="52">
        <f>CHOOSE(CONTROL!$C$42, 17.1743, 17.1743) * CHOOSE(CONTROL!$C$21, $C$9, 100%, $E$9)</f>
        <v>17.174299999999999</v>
      </c>
      <c r="L350" s="17">
        <f>CHOOSE(CONTROL!$C$42, 17.8352, 17.8352) * CHOOSE(CONTROL!$C$21, $C$9, 100%, $E$9)</f>
        <v>17.8352</v>
      </c>
      <c r="M350" s="17">
        <f>CHOOSE(CONTROL!$C$42, 16.8146, 16.8146) * CHOOSE(CONTROL!$C$21, $C$9, 100%, $E$9)</f>
        <v>16.814599999999999</v>
      </c>
      <c r="N350" s="17">
        <f>CHOOSE(CONTROL!$C$42, 16.8311, 16.8311) * CHOOSE(CONTROL!$C$21, $C$9, 100%, $E$9)</f>
        <v>16.831099999999999</v>
      </c>
      <c r="O350" s="17">
        <f>CHOOSE(CONTROL!$C$42, 16.9456, 16.9456) * CHOOSE(CONTROL!$C$21, $C$9, 100%, $E$9)</f>
        <v>16.945599999999999</v>
      </c>
      <c r="P350" s="17">
        <f>CHOOSE(CONTROL!$C$42, 16.8764, 16.8764) * CHOOSE(CONTROL!$C$21, $C$9, 100%, $E$9)</f>
        <v>16.8764</v>
      </c>
      <c r="Q350" s="17">
        <f>CHOOSE(CONTROL!$C$42, 17.5403, 17.5403) * CHOOSE(CONTROL!$C$21, $C$9, 100%, $E$9)</f>
        <v>17.540299999999998</v>
      </c>
      <c r="R350" s="17">
        <f>CHOOSE(CONTROL!$C$42, 18.1712, 18.1712) * CHOOSE(CONTROL!$C$21, $C$9, 100%, $E$9)</f>
        <v>18.171199999999999</v>
      </c>
      <c r="S350" s="17">
        <f>CHOOSE(CONTROL!$C$42, 16.4242, 16.4242) * CHOOSE(CONTROL!$C$21, $C$9, 100%, $E$9)</f>
        <v>16.424199999999999</v>
      </c>
      <c r="T35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50" s="56">
        <f>(1000*CHOOSE(CONTROL!$C$42, 695, 695)*CHOOSE(CONTROL!$C$42, 0.5599, 0.5599)*CHOOSE(CONTROL!$C$42, 28, 28))/1000000</f>
        <v>10.895653999999999</v>
      </c>
      <c r="V350" s="56">
        <f>(1000*CHOOSE(CONTROL!$C$42, 500, 500)*CHOOSE(CONTROL!$C$42, 0.275, 0.275)*CHOOSE(CONTROL!$C$42, 28, 28))/1000000</f>
        <v>3.85</v>
      </c>
      <c r="W350" s="56">
        <f>(1000*CHOOSE(CONTROL!$C$42, 0.1146, 0.1146)*CHOOSE(CONTROL!$C$42, 121.5, 121.5)*CHOOSE(CONTROL!$C$42, 28, 28))/1000000</f>
        <v>0.38986920000000003</v>
      </c>
      <c r="X350" s="56">
        <f>(28*0.2374*100000/1000000)</f>
        <v>0.66471999999999998</v>
      </c>
      <c r="Y350" s="56"/>
      <c r="Z350" s="17"/>
      <c r="AA350" s="55"/>
      <c r="AB350" s="48">
        <f>(B350*122.58+C350*297.941+D350*89.177+E350*140.302+F350*40+G350*60+H350*0+I350*100+J350*300)/(122.58+297.941+89.177+140.302+0+40+60+100+300)</f>
        <v>17.144358834521739</v>
      </c>
      <c r="AC350" s="45">
        <f>(M350*'RAP TEMPLATE-GAS AVAILABILITY'!O349+N350*'RAP TEMPLATE-GAS AVAILABILITY'!P349+O350*'RAP TEMPLATE-GAS AVAILABILITY'!Q349+P350*'RAP TEMPLATE-GAS AVAILABILITY'!R349)/('RAP TEMPLATE-GAS AVAILABILITY'!O349+'RAP TEMPLATE-GAS AVAILABILITY'!P349+'RAP TEMPLATE-GAS AVAILABILITY'!Q349+'RAP TEMPLATE-GAS AVAILABILITY'!R349)</f>
        <v>16.883815827338129</v>
      </c>
    </row>
    <row r="351" spans="1:29" ht="15.75" x14ac:dyDescent="0.25">
      <c r="A351" s="14">
        <v>51591</v>
      </c>
      <c r="B351" s="17">
        <f>CHOOSE(CONTROL!$C$42, 16.6161, 16.6161) * CHOOSE(CONTROL!$C$21, $C$9, 100%, $E$9)</f>
        <v>16.616099999999999</v>
      </c>
      <c r="C351" s="17">
        <f>CHOOSE(CONTROL!$C$42, 16.6212, 16.6212) * CHOOSE(CONTROL!$C$21, $C$9, 100%, $E$9)</f>
        <v>16.621200000000002</v>
      </c>
      <c r="D351" s="17">
        <f>CHOOSE(CONTROL!$C$42, 16.7396, 16.7396) * CHOOSE(CONTROL!$C$21, $C$9, 100%, $E$9)</f>
        <v>16.739599999999999</v>
      </c>
      <c r="E351" s="17">
        <f>CHOOSE(CONTROL!$C$42, 16.7738, 16.7738) * CHOOSE(CONTROL!$C$21, $C$9, 100%, $E$9)</f>
        <v>16.773800000000001</v>
      </c>
      <c r="F351" s="17">
        <f>CHOOSE(CONTROL!$C$42, 16.6358, 16.6358)*CHOOSE(CONTROL!$C$21, $C$9, 100%, $E$9)</f>
        <v>16.6358</v>
      </c>
      <c r="G351" s="17">
        <f>CHOOSE(CONTROL!$C$42, 16.6525, 16.6525)*CHOOSE(CONTROL!$C$21, $C$9, 100%, $E$9)</f>
        <v>16.6525</v>
      </c>
      <c r="H351" s="17">
        <f>CHOOSE(CONTROL!$C$42, 16.7629, 16.7629) * CHOOSE(CONTROL!$C$21, $C$9, 100%, $E$9)</f>
        <v>16.762899999999998</v>
      </c>
      <c r="I351" s="17">
        <f>CHOOSE(CONTROL!$C$42, 16.6918, 16.6918)* CHOOSE(CONTROL!$C$21, $C$9, 100%, $E$9)</f>
        <v>16.691800000000001</v>
      </c>
      <c r="J351" s="17">
        <f>CHOOSE(CONTROL!$C$42, 16.6288, 16.6288)* CHOOSE(CONTROL!$C$21, $C$9, 100%, $E$9)</f>
        <v>16.628799999999998</v>
      </c>
      <c r="K351" s="52">
        <f>CHOOSE(CONTROL!$C$42, 16.6876, 16.6876) * CHOOSE(CONTROL!$C$21, $C$9, 100%, $E$9)</f>
        <v>16.6876</v>
      </c>
      <c r="L351" s="17">
        <f>CHOOSE(CONTROL!$C$42, 17.3499, 17.3499) * CHOOSE(CONTROL!$C$21, $C$9, 100%, $E$9)</f>
        <v>17.349900000000002</v>
      </c>
      <c r="M351" s="17">
        <f>CHOOSE(CONTROL!$C$42, 16.3374, 16.3374) * CHOOSE(CONTROL!$C$21, $C$9, 100%, $E$9)</f>
        <v>16.337399999999999</v>
      </c>
      <c r="N351" s="17">
        <f>CHOOSE(CONTROL!$C$42, 16.3538, 16.3538) * CHOOSE(CONTROL!$C$21, $C$9, 100%, $E$9)</f>
        <v>16.3538</v>
      </c>
      <c r="O351" s="17">
        <f>CHOOSE(CONTROL!$C$42, 16.4691, 16.4691) * CHOOSE(CONTROL!$C$21, $C$9, 100%, $E$9)</f>
        <v>16.469100000000001</v>
      </c>
      <c r="P351" s="17">
        <f>CHOOSE(CONTROL!$C$42, 16.3984, 16.3984) * CHOOSE(CONTROL!$C$21, $C$9, 100%, $E$9)</f>
        <v>16.398399999999999</v>
      </c>
      <c r="Q351" s="17">
        <f>CHOOSE(CONTROL!$C$42, 17.0638, 17.0638) * CHOOSE(CONTROL!$C$21, $C$9, 100%, $E$9)</f>
        <v>17.063800000000001</v>
      </c>
      <c r="R351" s="17">
        <f>CHOOSE(CONTROL!$C$42, 17.6935, 17.6935) * CHOOSE(CONTROL!$C$21, $C$9, 100%, $E$9)</f>
        <v>17.6935</v>
      </c>
      <c r="S351" s="17">
        <f>CHOOSE(CONTROL!$C$42, 15.9579, 15.9579) * CHOOSE(CONTROL!$C$21, $C$9, 100%, $E$9)</f>
        <v>15.9579</v>
      </c>
      <c r="T35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51" s="56">
        <f>(1000*CHOOSE(CONTROL!$C$42, 695, 695)*CHOOSE(CONTROL!$C$42, 0.5599, 0.5599)*CHOOSE(CONTROL!$C$42, 31, 31))/1000000</f>
        <v>12.063045499999998</v>
      </c>
      <c r="V351" s="56">
        <f>(1000*CHOOSE(CONTROL!$C$42, 500, 500)*CHOOSE(CONTROL!$C$42, 0.275, 0.275)*CHOOSE(CONTROL!$C$42, 31, 31))/1000000</f>
        <v>4.2625000000000002</v>
      </c>
      <c r="W351" s="56">
        <f>(1000*CHOOSE(CONTROL!$C$42, 0.1146, 0.1146)*CHOOSE(CONTROL!$C$42, 121.5, 121.5)*CHOOSE(CONTROL!$C$42, 31, 31))/1000000</f>
        <v>0.43164089999999994</v>
      </c>
      <c r="X351" s="56">
        <f>(31*0.2374*100000/1000000)</f>
        <v>0.73594000000000004</v>
      </c>
      <c r="Y351" s="56"/>
      <c r="Z351" s="17"/>
      <c r="AA351" s="55"/>
      <c r="AB351" s="48">
        <f>(B351*122.58+C351*297.941+D351*89.177+E351*140.302+F351*40+G351*60+H351*0+I351*100+J351*300)/(122.58+297.941+89.177+140.302+0+40+60+100+300)</f>
        <v>16.658717812173911</v>
      </c>
      <c r="AC351" s="45">
        <f>(M351*'RAP TEMPLATE-GAS AVAILABILITY'!O350+N351*'RAP TEMPLATE-GAS AVAILABILITY'!P350+O351*'RAP TEMPLATE-GAS AVAILABILITY'!Q350+P351*'RAP TEMPLATE-GAS AVAILABILITY'!R350)/('RAP TEMPLATE-GAS AVAILABILITY'!O350+'RAP TEMPLATE-GAS AVAILABILITY'!P350+'RAP TEMPLATE-GAS AVAILABILITY'!Q350+'RAP TEMPLATE-GAS AVAILABILITY'!R350)</f>
        <v>16.406812230215827</v>
      </c>
    </row>
    <row r="352" spans="1:29" ht="15.75" x14ac:dyDescent="0.25">
      <c r="A352" s="14">
        <v>51621</v>
      </c>
      <c r="B352" s="17">
        <f>CHOOSE(CONTROL!$C$42, 16.5674, 16.5674) * CHOOSE(CONTROL!$C$21, $C$9, 100%, $E$9)</f>
        <v>16.567399999999999</v>
      </c>
      <c r="C352" s="17">
        <f>CHOOSE(CONTROL!$C$42, 16.5719, 16.5719) * CHOOSE(CONTROL!$C$21, $C$9, 100%, $E$9)</f>
        <v>16.571899999999999</v>
      </c>
      <c r="D352" s="17">
        <f>CHOOSE(CONTROL!$C$42, 16.8461, 16.8461) * CHOOSE(CONTROL!$C$21, $C$9, 100%, $E$9)</f>
        <v>16.8461</v>
      </c>
      <c r="E352" s="17">
        <f>CHOOSE(CONTROL!$C$42, 16.8782, 16.8782) * CHOOSE(CONTROL!$C$21, $C$9, 100%, $E$9)</f>
        <v>16.8782</v>
      </c>
      <c r="F352" s="17">
        <f>CHOOSE(CONTROL!$C$42, 16.5867, 16.5867)*CHOOSE(CONTROL!$C$21, $C$9, 100%, $E$9)</f>
        <v>16.5867</v>
      </c>
      <c r="G352" s="17">
        <f>CHOOSE(CONTROL!$C$42, 16.6031, 16.6031)*CHOOSE(CONTROL!$C$21, $C$9, 100%, $E$9)</f>
        <v>16.603100000000001</v>
      </c>
      <c r="H352" s="17">
        <f>CHOOSE(CONTROL!$C$42, 16.868, 16.868) * CHOOSE(CONTROL!$C$21, $C$9, 100%, $E$9)</f>
        <v>16.867999999999999</v>
      </c>
      <c r="I352" s="17">
        <f>CHOOSE(CONTROL!$C$42, 16.6406, 16.6406)* CHOOSE(CONTROL!$C$21, $C$9, 100%, $E$9)</f>
        <v>16.640599999999999</v>
      </c>
      <c r="J352" s="17">
        <f>CHOOSE(CONTROL!$C$42, 16.5797, 16.5797)* CHOOSE(CONTROL!$C$21, $C$9, 100%, $E$9)</f>
        <v>16.579699999999999</v>
      </c>
      <c r="K352" s="52">
        <f>CHOOSE(CONTROL!$C$42, 16.6363, 16.6363) * CHOOSE(CONTROL!$C$21, $C$9, 100%, $E$9)</f>
        <v>16.636299999999999</v>
      </c>
      <c r="L352" s="17">
        <f>CHOOSE(CONTROL!$C$42, 17.455, 17.455) * CHOOSE(CONTROL!$C$21, $C$9, 100%, $E$9)</f>
        <v>17.454999999999998</v>
      </c>
      <c r="M352" s="17">
        <f>CHOOSE(CONTROL!$C$42, 16.2892, 16.2892) * CHOOSE(CONTROL!$C$21, $C$9, 100%, $E$9)</f>
        <v>16.289200000000001</v>
      </c>
      <c r="N352" s="17">
        <f>CHOOSE(CONTROL!$C$42, 16.3053, 16.3053) * CHOOSE(CONTROL!$C$21, $C$9, 100%, $E$9)</f>
        <v>16.305299999999999</v>
      </c>
      <c r="O352" s="17">
        <f>CHOOSE(CONTROL!$C$42, 16.5723, 16.5723) * CHOOSE(CONTROL!$C$21, $C$9, 100%, $E$9)</f>
        <v>16.572299999999998</v>
      </c>
      <c r="P352" s="17">
        <f>CHOOSE(CONTROL!$C$42, 16.3481, 16.3481) * CHOOSE(CONTROL!$C$21, $C$9, 100%, $E$9)</f>
        <v>16.348099999999999</v>
      </c>
      <c r="Q352" s="17">
        <f>CHOOSE(CONTROL!$C$42, 17.167, 17.167) * CHOOSE(CONTROL!$C$21, $C$9, 100%, $E$9)</f>
        <v>17.167000000000002</v>
      </c>
      <c r="R352" s="17">
        <f>CHOOSE(CONTROL!$C$42, 17.7969, 17.7969) * CHOOSE(CONTROL!$C$21, $C$9, 100%, $E$9)</f>
        <v>17.796900000000001</v>
      </c>
      <c r="S352" s="17">
        <f>CHOOSE(CONTROL!$C$42, 15.9103, 15.9103) * CHOOSE(CONTROL!$C$21, $C$9, 100%, $E$9)</f>
        <v>15.910299999999999</v>
      </c>
      <c r="T35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52" s="56">
        <f>(1000*CHOOSE(CONTROL!$C$42, 695, 695)*CHOOSE(CONTROL!$C$42, 0.5599, 0.5599)*CHOOSE(CONTROL!$C$42, 30, 30))/1000000</f>
        <v>11.673914999999997</v>
      </c>
      <c r="V352" s="56">
        <f>(1000*CHOOSE(CONTROL!$C$42, 500, 500)*CHOOSE(CONTROL!$C$42, 0.275, 0.275)*CHOOSE(CONTROL!$C$42, 30, 30))/1000000</f>
        <v>4.125</v>
      </c>
      <c r="W352" s="56">
        <f>(1000*CHOOSE(CONTROL!$C$42, 0.1146, 0.1146)*CHOOSE(CONTROL!$C$42, 121.5, 121.5)*CHOOSE(CONTROL!$C$42, 30, 30))/1000000</f>
        <v>0.417717</v>
      </c>
      <c r="X352" s="56">
        <f>(30*0.1790888*145000/1000000)+(30*0.2374*100000/1000000)</f>
        <v>1.4912362799999999</v>
      </c>
      <c r="Y352" s="56"/>
      <c r="Z352" s="17"/>
      <c r="AA352" s="55"/>
      <c r="AB352" s="48">
        <f>(B352*141.293+C352*267.993+D352*115.016+E352*189.698+F352*40+G352*85+H352*0+I352*100+J352*300)/(141.293+267.993+115.016+189.698+0+40+85+100+300)</f>
        <v>16.653788673204197</v>
      </c>
      <c r="AC352" s="45">
        <f>(M352*'RAP TEMPLATE-GAS AVAILABILITY'!O351+N352*'RAP TEMPLATE-GAS AVAILABILITY'!P351+O352*'RAP TEMPLATE-GAS AVAILABILITY'!Q351+P352*'RAP TEMPLATE-GAS AVAILABILITY'!R351)/('RAP TEMPLATE-GAS AVAILABILITY'!O351+'RAP TEMPLATE-GAS AVAILABILITY'!P351+'RAP TEMPLATE-GAS AVAILABILITY'!Q351+'RAP TEMPLATE-GAS AVAILABILITY'!R351)</f>
        <v>16.380812230215827</v>
      </c>
    </row>
    <row r="353" spans="1:29" ht="15.75" x14ac:dyDescent="0.25">
      <c r="A353" s="14">
        <v>51652</v>
      </c>
      <c r="B353" s="17">
        <f>CHOOSE(CONTROL!$C$42, 16.7149, 16.7149) * CHOOSE(CONTROL!$C$21, $C$9, 100%, $E$9)</f>
        <v>16.7149</v>
      </c>
      <c r="C353" s="17">
        <f>CHOOSE(CONTROL!$C$42, 16.723, 16.723) * CHOOSE(CONTROL!$C$21, $C$9, 100%, $E$9)</f>
        <v>16.722999999999999</v>
      </c>
      <c r="D353" s="17">
        <f>CHOOSE(CONTROL!$C$42, 16.994, 16.994) * CHOOSE(CONTROL!$C$21, $C$9, 100%, $E$9)</f>
        <v>16.994</v>
      </c>
      <c r="E353" s="17">
        <f>CHOOSE(CONTROL!$C$42, 17.0255, 17.0255) * CHOOSE(CONTROL!$C$21, $C$9, 100%, $E$9)</f>
        <v>17.025500000000001</v>
      </c>
      <c r="F353" s="17">
        <f>CHOOSE(CONTROL!$C$42, 16.7331, 16.7331)*CHOOSE(CONTROL!$C$21, $C$9, 100%, $E$9)</f>
        <v>16.7331</v>
      </c>
      <c r="G353" s="17">
        <f>CHOOSE(CONTROL!$C$42, 16.7497, 16.7497)*CHOOSE(CONTROL!$C$21, $C$9, 100%, $E$9)</f>
        <v>16.749700000000001</v>
      </c>
      <c r="H353" s="17">
        <f>CHOOSE(CONTROL!$C$42, 17.0141, 17.0141) * CHOOSE(CONTROL!$C$21, $C$9, 100%, $E$9)</f>
        <v>17.014099999999999</v>
      </c>
      <c r="I353" s="17">
        <f>CHOOSE(CONTROL!$C$42, 16.7872, 16.7872)* CHOOSE(CONTROL!$C$21, $C$9, 100%, $E$9)</f>
        <v>16.787199999999999</v>
      </c>
      <c r="J353" s="17">
        <f>CHOOSE(CONTROL!$C$42, 16.7261, 16.7261)* CHOOSE(CONTROL!$C$21, $C$9, 100%, $E$9)</f>
        <v>16.726099999999999</v>
      </c>
      <c r="K353" s="52">
        <f>CHOOSE(CONTROL!$C$42, 16.7829, 16.7829) * CHOOSE(CONTROL!$C$21, $C$9, 100%, $E$9)</f>
        <v>16.782900000000001</v>
      </c>
      <c r="L353" s="17">
        <f>CHOOSE(CONTROL!$C$42, 17.6011, 17.6011) * CHOOSE(CONTROL!$C$21, $C$9, 100%, $E$9)</f>
        <v>17.601099999999999</v>
      </c>
      <c r="M353" s="17">
        <f>CHOOSE(CONTROL!$C$42, 16.433, 16.433) * CHOOSE(CONTROL!$C$21, $C$9, 100%, $E$9)</f>
        <v>16.433</v>
      </c>
      <c r="N353" s="17">
        <f>CHOOSE(CONTROL!$C$42, 16.4493, 16.4493) * CHOOSE(CONTROL!$C$21, $C$9, 100%, $E$9)</f>
        <v>16.449300000000001</v>
      </c>
      <c r="O353" s="17">
        <f>CHOOSE(CONTROL!$C$42, 16.7158, 16.7158) * CHOOSE(CONTROL!$C$21, $C$9, 100%, $E$9)</f>
        <v>16.715800000000002</v>
      </c>
      <c r="P353" s="17">
        <f>CHOOSE(CONTROL!$C$42, 16.4921, 16.4921) * CHOOSE(CONTROL!$C$21, $C$9, 100%, $E$9)</f>
        <v>16.492100000000001</v>
      </c>
      <c r="Q353" s="17">
        <f>CHOOSE(CONTROL!$C$42, 17.3105, 17.3105) * CHOOSE(CONTROL!$C$21, $C$9, 100%, $E$9)</f>
        <v>17.310500000000001</v>
      </c>
      <c r="R353" s="17">
        <f>CHOOSE(CONTROL!$C$42, 17.9408, 17.9408) * CHOOSE(CONTROL!$C$21, $C$9, 100%, $E$9)</f>
        <v>17.940799999999999</v>
      </c>
      <c r="S353" s="17">
        <f>CHOOSE(CONTROL!$C$42, 16.0508, 16.0508) * CHOOSE(CONTROL!$C$21, $C$9, 100%, $E$9)</f>
        <v>16.050799999999999</v>
      </c>
      <c r="T35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53" s="56">
        <f>(1000*CHOOSE(CONTROL!$C$42, 695, 695)*CHOOSE(CONTROL!$C$42, 0.5599, 0.5599)*CHOOSE(CONTROL!$C$42, 31, 31))/1000000</f>
        <v>12.063045499999998</v>
      </c>
      <c r="V353" s="56">
        <f>(1000*CHOOSE(CONTROL!$C$42, 500, 500)*CHOOSE(CONTROL!$C$42, 0.275, 0.275)*CHOOSE(CONTROL!$C$42, 31, 31))/1000000</f>
        <v>4.2625000000000002</v>
      </c>
      <c r="W353" s="56">
        <f>(1000*CHOOSE(CONTROL!$C$42, 0.1146, 0.1146)*CHOOSE(CONTROL!$C$42, 121.5, 121.5)*CHOOSE(CONTROL!$C$42, 31, 31))/1000000</f>
        <v>0.43164089999999994</v>
      </c>
      <c r="X353" s="56">
        <f>(31*0.1790888*145000/1000000)+(31*0.2374*100000/1000000)</f>
        <v>1.5409441560000001</v>
      </c>
      <c r="Y353" s="56"/>
      <c r="Z353" s="17"/>
      <c r="AA353" s="55"/>
      <c r="AB353" s="48">
        <f>(B353*194.205+C353*267.466+D353*133.845+E353*153.484+F353*40+G353*85+H353*0+I353*100+J353*300)/(194.205+267.466+133.845+153.484+0+40+85+100+300)</f>
        <v>16.794547366169546</v>
      </c>
      <c r="AC353" s="45">
        <f>(M353*'RAP TEMPLATE-GAS AVAILABILITY'!O352+N353*'RAP TEMPLATE-GAS AVAILABILITY'!P352+O353*'RAP TEMPLATE-GAS AVAILABILITY'!Q352+P353*'RAP TEMPLATE-GAS AVAILABILITY'!R352)/('RAP TEMPLATE-GAS AVAILABILITY'!O352+'RAP TEMPLATE-GAS AVAILABILITY'!P352+'RAP TEMPLATE-GAS AVAILABILITY'!Q352+'RAP TEMPLATE-GAS AVAILABILITY'!R352)</f>
        <v>16.524602877697838</v>
      </c>
    </row>
    <row r="354" spans="1:29" ht="15.75" x14ac:dyDescent="0.25">
      <c r="A354" s="14">
        <v>51682</v>
      </c>
      <c r="B354" s="17">
        <f>CHOOSE(CONTROL!$C$42, 17.1888, 17.1888) * CHOOSE(CONTROL!$C$21, $C$9, 100%, $E$9)</f>
        <v>17.188800000000001</v>
      </c>
      <c r="C354" s="17">
        <f>CHOOSE(CONTROL!$C$42, 17.1968, 17.1968) * CHOOSE(CONTROL!$C$21, $C$9, 100%, $E$9)</f>
        <v>17.1968</v>
      </c>
      <c r="D354" s="17">
        <f>CHOOSE(CONTROL!$C$42, 17.4678, 17.4678) * CHOOSE(CONTROL!$C$21, $C$9, 100%, $E$9)</f>
        <v>17.4678</v>
      </c>
      <c r="E354" s="17">
        <f>CHOOSE(CONTROL!$C$42, 17.4993, 17.4993) * CHOOSE(CONTROL!$C$21, $C$9, 100%, $E$9)</f>
        <v>17.499300000000002</v>
      </c>
      <c r="F354" s="17">
        <f>CHOOSE(CONTROL!$C$42, 17.2072, 17.2072)*CHOOSE(CONTROL!$C$21, $C$9, 100%, $E$9)</f>
        <v>17.2072</v>
      </c>
      <c r="G354" s="17">
        <f>CHOOSE(CONTROL!$C$42, 17.2239, 17.2239)*CHOOSE(CONTROL!$C$21, $C$9, 100%, $E$9)</f>
        <v>17.2239</v>
      </c>
      <c r="H354" s="17">
        <f>CHOOSE(CONTROL!$C$42, 17.4879, 17.4879) * CHOOSE(CONTROL!$C$21, $C$9, 100%, $E$9)</f>
        <v>17.4879</v>
      </c>
      <c r="I354" s="17">
        <f>CHOOSE(CONTROL!$C$42, 17.2624, 17.2624)* CHOOSE(CONTROL!$C$21, $C$9, 100%, $E$9)</f>
        <v>17.2624</v>
      </c>
      <c r="J354" s="17">
        <f>CHOOSE(CONTROL!$C$42, 17.2002, 17.2002)* CHOOSE(CONTROL!$C$21, $C$9, 100%, $E$9)</f>
        <v>17.200199999999999</v>
      </c>
      <c r="K354" s="52">
        <f>CHOOSE(CONTROL!$C$42, 17.2582, 17.2582) * CHOOSE(CONTROL!$C$21, $C$9, 100%, $E$9)</f>
        <v>17.258199999999999</v>
      </c>
      <c r="L354" s="17">
        <f>CHOOSE(CONTROL!$C$42, 18.0749, 18.0749) * CHOOSE(CONTROL!$C$21, $C$9, 100%, $E$9)</f>
        <v>18.0749</v>
      </c>
      <c r="M354" s="17">
        <f>CHOOSE(CONTROL!$C$42, 16.8985, 16.8985) * CHOOSE(CONTROL!$C$21, $C$9, 100%, $E$9)</f>
        <v>16.898499999999999</v>
      </c>
      <c r="N354" s="17">
        <f>CHOOSE(CONTROL!$C$42, 16.9149, 16.9149) * CHOOSE(CONTROL!$C$21, $C$9, 100%, $E$9)</f>
        <v>16.914899999999999</v>
      </c>
      <c r="O354" s="17">
        <f>CHOOSE(CONTROL!$C$42, 17.1811, 17.1811) * CHOOSE(CONTROL!$C$21, $C$9, 100%, $E$9)</f>
        <v>17.181100000000001</v>
      </c>
      <c r="P354" s="17">
        <f>CHOOSE(CONTROL!$C$42, 16.9588, 16.9588) * CHOOSE(CONTROL!$C$21, $C$9, 100%, $E$9)</f>
        <v>16.9588</v>
      </c>
      <c r="Q354" s="17">
        <f>CHOOSE(CONTROL!$C$42, 17.7758, 17.7758) * CHOOSE(CONTROL!$C$21, $C$9, 100%, $E$9)</f>
        <v>17.7758</v>
      </c>
      <c r="R354" s="17">
        <f>CHOOSE(CONTROL!$C$42, 18.4072, 18.4072) * CHOOSE(CONTROL!$C$21, $C$9, 100%, $E$9)</f>
        <v>18.4072</v>
      </c>
      <c r="S354" s="17">
        <f>CHOOSE(CONTROL!$C$42, 16.506, 16.506) * CHOOSE(CONTROL!$C$21, $C$9, 100%, $E$9)</f>
        <v>16.506</v>
      </c>
      <c r="T35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54" s="56">
        <f>(1000*CHOOSE(CONTROL!$C$42, 695, 695)*CHOOSE(CONTROL!$C$42, 0.5599, 0.5599)*CHOOSE(CONTROL!$C$42, 30, 30))/1000000</f>
        <v>11.673914999999997</v>
      </c>
      <c r="V354" s="56">
        <f>(1000*CHOOSE(CONTROL!$C$42, 500, 500)*CHOOSE(CONTROL!$C$42, 0.275, 0.275)*CHOOSE(CONTROL!$C$42, 30, 30))/1000000</f>
        <v>4.125</v>
      </c>
      <c r="W354" s="56">
        <f>(1000*CHOOSE(CONTROL!$C$42, 0.1146, 0.1146)*CHOOSE(CONTROL!$C$42, 121.5, 121.5)*CHOOSE(CONTROL!$C$42, 30, 30))/1000000</f>
        <v>0.417717</v>
      </c>
      <c r="X354" s="56">
        <f>(30*0.1790888*145000/1000000)+(30*0.2374*100000/1000000)</f>
        <v>1.4912362799999999</v>
      </c>
      <c r="Y354" s="56"/>
      <c r="Z354" s="17"/>
      <c r="AA354" s="55"/>
      <c r="AB354" s="48">
        <f>(B354*194.205+C354*267.466+D354*133.845+E354*153.484+F354*40+G354*85+H354*0+I354*100+J354*300)/(194.205+267.466+133.845+153.484+0+40+85+100+300)</f>
        <v>17.268579250392467</v>
      </c>
      <c r="AC354" s="45">
        <f>(M354*'RAP TEMPLATE-GAS AVAILABILITY'!O353+N354*'RAP TEMPLATE-GAS AVAILABILITY'!P353+O354*'RAP TEMPLATE-GAS AVAILABILITY'!Q353+P354*'RAP TEMPLATE-GAS AVAILABILITY'!R353)/('RAP TEMPLATE-GAS AVAILABILITY'!O353+'RAP TEMPLATE-GAS AVAILABILITY'!P353+'RAP TEMPLATE-GAS AVAILABILITY'!Q353+'RAP TEMPLATE-GAS AVAILABILITY'!R353)</f>
        <v>16.990242446043165</v>
      </c>
    </row>
    <row r="355" spans="1:29" ht="15.75" x14ac:dyDescent="0.25">
      <c r="A355" s="14">
        <v>51713</v>
      </c>
      <c r="B355" s="17">
        <f>CHOOSE(CONTROL!$C$42, 16.8592, 16.8592) * CHOOSE(CONTROL!$C$21, $C$9, 100%, $E$9)</f>
        <v>16.859200000000001</v>
      </c>
      <c r="C355" s="17">
        <f>CHOOSE(CONTROL!$C$42, 16.8672, 16.8672) * CHOOSE(CONTROL!$C$21, $C$9, 100%, $E$9)</f>
        <v>16.8672</v>
      </c>
      <c r="D355" s="17">
        <f>CHOOSE(CONTROL!$C$42, 17.1383, 17.1383) * CHOOSE(CONTROL!$C$21, $C$9, 100%, $E$9)</f>
        <v>17.138300000000001</v>
      </c>
      <c r="E355" s="17">
        <f>CHOOSE(CONTROL!$C$42, 17.1698, 17.1698) * CHOOSE(CONTROL!$C$21, $C$9, 100%, $E$9)</f>
        <v>17.169799999999999</v>
      </c>
      <c r="F355" s="17">
        <f>CHOOSE(CONTROL!$C$42, 16.8781, 16.8781)*CHOOSE(CONTROL!$C$21, $C$9, 100%, $E$9)</f>
        <v>16.8781</v>
      </c>
      <c r="G355" s="17">
        <f>CHOOSE(CONTROL!$C$42, 16.8949, 16.8949)*CHOOSE(CONTROL!$C$21, $C$9, 100%, $E$9)</f>
        <v>16.8949</v>
      </c>
      <c r="H355" s="17">
        <f>CHOOSE(CONTROL!$C$42, 17.1584, 17.1584) * CHOOSE(CONTROL!$C$21, $C$9, 100%, $E$9)</f>
        <v>17.1584</v>
      </c>
      <c r="I355" s="17">
        <f>CHOOSE(CONTROL!$C$42, 16.9319, 16.9319)* CHOOSE(CONTROL!$C$21, $C$9, 100%, $E$9)</f>
        <v>16.931899999999999</v>
      </c>
      <c r="J355" s="17">
        <f>CHOOSE(CONTROL!$C$42, 16.8711, 16.8711)* CHOOSE(CONTROL!$C$21, $C$9, 100%, $E$9)</f>
        <v>16.871099999999998</v>
      </c>
      <c r="K355" s="52">
        <f>CHOOSE(CONTROL!$C$42, 16.9277, 16.9277) * CHOOSE(CONTROL!$C$21, $C$9, 100%, $E$9)</f>
        <v>16.927700000000002</v>
      </c>
      <c r="L355" s="17">
        <f>CHOOSE(CONTROL!$C$42, 17.7454, 17.7454) * CHOOSE(CONTROL!$C$21, $C$9, 100%, $E$9)</f>
        <v>17.7454</v>
      </c>
      <c r="M355" s="17">
        <f>CHOOSE(CONTROL!$C$42, 16.5753, 16.5753) * CHOOSE(CONTROL!$C$21, $C$9, 100%, $E$9)</f>
        <v>16.575299999999999</v>
      </c>
      <c r="N355" s="17">
        <f>CHOOSE(CONTROL!$C$42, 16.5918, 16.5918) * CHOOSE(CONTROL!$C$21, $C$9, 100%, $E$9)</f>
        <v>16.591799999999999</v>
      </c>
      <c r="O355" s="17">
        <f>CHOOSE(CONTROL!$C$42, 16.8575, 16.8575) * CHOOSE(CONTROL!$C$21, $C$9, 100%, $E$9)</f>
        <v>16.857500000000002</v>
      </c>
      <c r="P355" s="17">
        <f>CHOOSE(CONTROL!$C$42, 16.6342, 16.6342) * CHOOSE(CONTROL!$C$21, $C$9, 100%, $E$9)</f>
        <v>16.6342</v>
      </c>
      <c r="Q355" s="17">
        <f>CHOOSE(CONTROL!$C$42, 17.4522, 17.4522) * CHOOSE(CONTROL!$C$21, $C$9, 100%, $E$9)</f>
        <v>17.452200000000001</v>
      </c>
      <c r="R355" s="17">
        <f>CHOOSE(CONTROL!$C$42, 18.0828, 18.0828) * CHOOSE(CONTROL!$C$21, $C$9, 100%, $E$9)</f>
        <v>18.082799999999999</v>
      </c>
      <c r="S355" s="17">
        <f>CHOOSE(CONTROL!$C$42, 16.1894, 16.1894) * CHOOSE(CONTROL!$C$21, $C$9, 100%, $E$9)</f>
        <v>16.189399999999999</v>
      </c>
      <c r="T35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55" s="56">
        <f>(1000*CHOOSE(CONTROL!$C$42, 695, 695)*CHOOSE(CONTROL!$C$42, 0.5599, 0.5599)*CHOOSE(CONTROL!$C$42, 31, 31))/1000000</f>
        <v>12.063045499999998</v>
      </c>
      <c r="V355" s="56">
        <f>(1000*CHOOSE(CONTROL!$C$42, 500, 500)*CHOOSE(CONTROL!$C$42, 0.275, 0.275)*CHOOSE(CONTROL!$C$42, 31, 31))/1000000</f>
        <v>4.2625000000000002</v>
      </c>
      <c r="W355" s="56">
        <f>(1000*CHOOSE(CONTROL!$C$42, 0.1146, 0.1146)*CHOOSE(CONTROL!$C$42, 121.5, 121.5)*CHOOSE(CONTROL!$C$42, 31, 31))/1000000</f>
        <v>0.43164089999999994</v>
      </c>
      <c r="X355" s="56">
        <f>(31*0.1790888*145000/1000000)+(31*0.2374*100000/1000000)</f>
        <v>1.5409441560000001</v>
      </c>
      <c r="Y355" s="56"/>
      <c r="Z355" s="17"/>
      <c r="AA355" s="55"/>
      <c r="AB355" s="48">
        <f>(B355*194.205+C355*267.466+D355*133.845+E355*153.484+F355*40+G355*85+H355*0+I355*100+J355*300)/(194.205+267.466+133.845+153.484+0+40+85+100+300)</f>
        <v>16.939104629434851</v>
      </c>
      <c r="AC355" s="45">
        <f>(M355*'RAP TEMPLATE-GAS AVAILABILITY'!O354+N355*'RAP TEMPLATE-GAS AVAILABILITY'!P354+O355*'RAP TEMPLATE-GAS AVAILABILITY'!Q354+P355*'RAP TEMPLATE-GAS AVAILABILITY'!R354)/('RAP TEMPLATE-GAS AVAILABILITY'!O354+'RAP TEMPLATE-GAS AVAILABILITY'!P354+'RAP TEMPLATE-GAS AVAILABILITY'!Q354+'RAP TEMPLATE-GAS AVAILABILITY'!R354)</f>
        <v>16.666751798561151</v>
      </c>
    </row>
    <row r="356" spans="1:29" ht="15.75" x14ac:dyDescent="0.25">
      <c r="A356" s="14">
        <v>51744</v>
      </c>
      <c r="B356" s="17">
        <f>CHOOSE(CONTROL!$C$42, 16.027, 16.027) * CHOOSE(CONTROL!$C$21, $C$9, 100%, $E$9)</f>
        <v>16.027000000000001</v>
      </c>
      <c r="C356" s="17">
        <f>CHOOSE(CONTROL!$C$42, 16.0351, 16.0351) * CHOOSE(CONTROL!$C$21, $C$9, 100%, $E$9)</f>
        <v>16.0351</v>
      </c>
      <c r="D356" s="17">
        <f>CHOOSE(CONTROL!$C$42, 16.3061, 16.3061) * CHOOSE(CONTROL!$C$21, $C$9, 100%, $E$9)</f>
        <v>16.306100000000001</v>
      </c>
      <c r="E356" s="17">
        <f>CHOOSE(CONTROL!$C$42, 16.3376, 16.3376) * CHOOSE(CONTROL!$C$21, $C$9, 100%, $E$9)</f>
        <v>16.337599999999998</v>
      </c>
      <c r="F356" s="17">
        <f>CHOOSE(CONTROL!$C$42, 16.0462, 16.0462)*CHOOSE(CONTROL!$C$21, $C$9, 100%, $E$9)</f>
        <v>16.046199999999999</v>
      </c>
      <c r="G356" s="17">
        <f>CHOOSE(CONTROL!$C$42, 16.0631, 16.0631)*CHOOSE(CONTROL!$C$21, $C$9, 100%, $E$9)</f>
        <v>16.063099999999999</v>
      </c>
      <c r="H356" s="17">
        <f>CHOOSE(CONTROL!$C$42, 16.3262, 16.3262) * CHOOSE(CONTROL!$C$21, $C$9, 100%, $E$9)</f>
        <v>16.3262</v>
      </c>
      <c r="I356" s="17">
        <f>CHOOSE(CONTROL!$C$42, 16.0971, 16.0971)* CHOOSE(CONTROL!$C$21, $C$9, 100%, $E$9)</f>
        <v>16.097100000000001</v>
      </c>
      <c r="J356" s="17">
        <f>CHOOSE(CONTROL!$C$42, 16.0392, 16.0392)* CHOOSE(CONTROL!$C$21, $C$9, 100%, $E$9)</f>
        <v>16.039200000000001</v>
      </c>
      <c r="K356" s="52">
        <f>CHOOSE(CONTROL!$C$42, 16.0929, 16.0929) * CHOOSE(CONTROL!$C$21, $C$9, 100%, $E$9)</f>
        <v>16.0929</v>
      </c>
      <c r="L356" s="17">
        <f>CHOOSE(CONTROL!$C$42, 16.9132, 16.9132) * CHOOSE(CONTROL!$C$21, $C$9, 100%, $E$9)</f>
        <v>16.9132</v>
      </c>
      <c r="M356" s="17">
        <f>CHOOSE(CONTROL!$C$42, 15.7584, 15.7584) * CHOOSE(CONTROL!$C$21, $C$9, 100%, $E$9)</f>
        <v>15.7584</v>
      </c>
      <c r="N356" s="17">
        <f>CHOOSE(CONTROL!$C$42, 15.7749, 15.7749) * CHOOSE(CONTROL!$C$21, $C$9, 100%, $E$9)</f>
        <v>15.774900000000001</v>
      </c>
      <c r="O356" s="17">
        <f>CHOOSE(CONTROL!$C$42, 16.0403, 16.0403) * CHOOSE(CONTROL!$C$21, $C$9, 100%, $E$9)</f>
        <v>16.040299999999998</v>
      </c>
      <c r="P356" s="17">
        <f>CHOOSE(CONTROL!$C$42, 15.8144, 15.8144) * CHOOSE(CONTROL!$C$21, $C$9, 100%, $E$9)</f>
        <v>15.814399999999999</v>
      </c>
      <c r="Q356" s="17">
        <f>CHOOSE(CONTROL!$C$42, 16.635, 16.635) * CHOOSE(CONTROL!$C$21, $C$9, 100%, $E$9)</f>
        <v>16.635000000000002</v>
      </c>
      <c r="R356" s="17">
        <f>CHOOSE(CONTROL!$C$42, 17.2636, 17.2636) * CHOOSE(CONTROL!$C$21, $C$9, 100%, $E$9)</f>
        <v>17.2636</v>
      </c>
      <c r="S356" s="17">
        <f>CHOOSE(CONTROL!$C$42, 15.3898, 15.3898) * CHOOSE(CONTROL!$C$21, $C$9, 100%, $E$9)</f>
        <v>15.389799999999999</v>
      </c>
      <c r="T35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56" s="56">
        <f>(1000*CHOOSE(CONTROL!$C$42, 695, 695)*CHOOSE(CONTROL!$C$42, 0.5599, 0.5599)*CHOOSE(CONTROL!$C$42, 31, 31))/1000000</f>
        <v>12.063045499999998</v>
      </c>
      <c r="V356" s="56">
        <f>(1000*CHOOSE(CONTROL!$C$42, 500, 500)*CHOOSE(CONTROL!$C$42, 0.275, 0.275)*CHOOSE(CONTROL!$C$42, 31, 31))/1000000</f>
        <v>4.2625000000000002</v>
      </c>
      <c r="W356" s="56">
        <f>(1000*CHOOSE(CONTROL!$C$42, 0.1146, 0.1146)*CHOOSE(CONTROL!$C$42, 121.5, 121.5)*CHOOSE(CONTROL!$C$42, 31, 31))/1000000</f>
        <v>0.43164089999999994</v>
      </c>
      <c r="X356" s="56">
        <f>(31*0.1790888*145000/1000000)+(31*0.2374*100000/1000000)</f>
        <v>1.5409441560000001</v>
      </c>
      <c r="Y356" s="56"/>
      <c r="Z356" s="17"/>
      <c r="AA356" s="55"/>
      <c r="AB356" s="48">
        <f>(B356*194.205+C356*267.466+D356*133.845+E356*153.484+F356*40+G356*85+H356*0+I356*100+J356*300)/(194.205+267.466+133.845+153.484+0+40+85+100+300)</f>
        <v>16.106828292386187</v>
      </c>
      <c r="AC356" s="45">
        <f>(M356*'RAP TEMPLATE-GAS AVAILABILITY'!O355+N356*'RAP TEMPLATE-GAS AVAILABILITY'!P355+O356*'RAP TEMPLATE-GAS AVAILABILITY'!Q355+P356*'RAP TEMPLATE-GAS AVAILABILITY'!R355)/('RAP TEMPLATE-GAS AVAILABILITY'!O355+'RAP TEMPLATE-GAS AVAILABILITY'!P355+'RAP TEMPLATE-GAS AVAILABILITY'!Q355+'RAP TEMPLATE-GAS AVAILABILITY'!R355)</f>
        <v>15.849350359712231</v>
      </c>
    </row>
    <row r="357" spans="1:29" ht="15.75" x14ac:dyDescent="0.25">
      <c r="A357" s="14">
        <v>51774</v>
      </c>
      <c r="B357" s="17">
        <f>CHOOSE(CONTROL!$C$42, 15.0101, 15.0101) * CHOOSE(CONTROL!$C$21, $C$9, 100%, $E$9)</f>
        <v>15.0101</v>
      </c>
      <c r="C357" s="17">
        <f>CHOOSE(CONTROL!$C$42, 15.0181, 15.0181) * CHOOSE(CONTROL!$C$21, $C$9, 100%, $E$9)</f>
        <v>15.0181</v>
      </c>
      <c r="D357" s="17">
        <f>CHOOSE(CONTROL!$C$42, 15.2891, 15.2891) * CHOOSE(CONTROL!$C$21, $C$9, 100%, $E$9)</f>
        <v>15.289099999999999</v>
      </c>
      <c r="E357" s="17">
        <f>CHOOSE(CONTROL!$C$42, 15.3206, 15.3206) * CHOOSE(CONTROL!$C$21, $C$9, 100%, $E$9)</f>
        <v>15.320600000000001</v>
      </c>
      <c r="F357" s="17">
        <f>CHOOSE(CONTROL!$C$42, 15.0292, 15.0292)*CHOOSE(CONTROL!$C$21, $C$9, 100%, $E$9)</f>
        <v>15.029199999999999</v>
      </c>
      <c r="G357" s="17">
        <f>CHOOSE(CONTROL!$C$42, 15.0461, 15.0461)*CHOOSE(CONTROL!$C$21, $C$9, 100%, $E$9)</f>
        <v>15.046099999999999</v>
      </c>
      <c r="H357" s="17">
        <f>CHOOSE(CONTROL!$C$42, 15.3092, 15.3092) * CHOOSE(CONTROL!$C$21, $C$9, 100%, $E$9)</f>
        <v>15.309200000000001</v>
      </c>
      <c r="I357" s="17">
        <f>CHOOSE(CONTROL!$C$42, 15.0769, 15.0769)* CHOOSE(CONTROL!$C$21, $C$9, 100%, $E$9)</f>
        <v>15.0769</v>
      </c>
      <c r="J357" s="17">
        <f>CHOOSE(CONTROL!$C$42, 15.0222, 15.0222)* CHOOSE(CONTROL!$C$21, $C$9, 100%, $E$9)</f>
        <v>15.0222</v>
      </c>
      <c r="K357" s="52">
        <f>CHOOSE(CONTROL!$C$42, 15.0727, 15.0727) * CHOOSE(CONTROL!$C$21, $C$9, 100%, $E$9)</f>
        <v>15.072699999999999</v>
      </c>
      <c r="L357" s="17">
        <f>CHOOSE(CONTROL!$C$42, 15.8962, 15.8962) * CHOOSE(CONTROL!$C$21, $C$9, 100%, $E$9)</f>
        <v>15.8962</v>
      </c>
      <c r="M357" s="17">
        <f>CHOOSE(CONTROL!$C$42, 14.7597, 14.7597) * CHOOSE(CONTROL!$C$21, $C$9, 100%, $E$9)</f>
        <v>14.7597</v>
      </c>
      <c r="N357" s="17">
        <f>CHOOSE(CONTROL!$C$42, 14.7763, 14.7763) * CHOOSE(CONTROL!$C$21, $C$9, 100%, $E$9)</f>
        <v>14.776300000000001</v>
      </c>
      <c r="O357" s="17">
        <f>CHOOSE(CONTROL!$C$42, 15.0416, 15.0416) * CHOOSE(CONTROL!$C$21, $C$9, 100%, $E$9)</f>
        <v>15.041600000000001</v>
      </c>
      <c r="P357" s="17">
        <f>CHOOSE(CONTROL!$C$42, 14.8127, 14.8127) * CHOOSE(CONTROL!$C$21, $C$9, 100%, $E$9)</f>
        <v>14.8127</v>
      </c>
      <c r="Q357" s="17">
        <f>CHOOSE(CONTROL!$C$42, 15.6363, 15.6363) * CHOOSE(CONTROL!$C$21, $C$9, 100%, $E$9)</f>
        <v>15.6363</v>
      </c>
      <c r="R357" s="17">
        <f>CHOOSE(CONTROL!$C$42, 16.2624, 16.2624) * CHOOSE(CONTROL!$C$21, $C$9, 100%, $E$9)</f>
        <v>16.2624</v>
      </c>
      <c r="S357" s="17">
        <f>CHOOSE(CONTROL!$C$42, 14.4125, 14.4125) * CHOOSE(CONTROL!$C$21, $C$9, 100%, $E$9)</f>
        <v>14.4125</v>
      </c>
      <c r="T35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57" s="56">
        <f>(1000*CHOOSE(CONTROL!$C$42, 695, 695)*CHOOSE(CONTROL!$C$42, 0.5599, 0.5599)*CHOOSE(CONTROL!$C$42, 30, 30))/1000000</f>
        <v>11.673914999999997</v>
      </c>
      <c r="V357" s="56">
        <f>(1000*CHOOSE(CONTROL!$C$42, 500, 500)*CHOOSE(CONTROL!$C$42, 0.275, 0.275)*CHOOSE(CONTROL!$C$42, 30, 30))/1000000</f>
        <v>4.125</v>
      </c>
      <c r="W357" s="56">
        <f>(1000*CHOOSE(CONTROL!$C$42, 0.1146, 0.1146)*CHOOSE(CONTROL!$C$42, 121.5, 121.5)*CHOOSE(CONTROL!$C$42, 30, 30))/1000000</f>
        <v>0.417717</v>
      </c>
      <c r="X357" s="56">
        <f>(30*0.1790888*145000/1000000)+(30*0.2374*100000/1000000)</f>
        <v>1.4912362799999999</v>
      </c>
      <c r="Y357" s="56"/>
      <c r="Z357" s="17"/>
      <c r="AA357" s="55"/>
      <c r="AB357" s="48">
        <f>(B357*194.205+C357*267.466+D357*133.845+E357*153.484+F357*40+G357*85+H357*0+I357*100+J357*300)/(194.205+267.466+133.845+153.484+0+40+85+100+300)</f>
        <v>15.089592358712714</v>
      </c>
      <c r="AC357" s="45">
        <f>(M357*'RAP TEMPLATE-GAS AVAILABILITY'!O356+N357*'RAP TEMPLATE-GAS AVAILABILITY'!P356+O357*'RAP TEMPLATE-GAS AVAILABILITY'!Q356+P357*'RAP TEMPLATE-GAS AVAILABILITY'!R356)/('RAP TEMPLATE-GAS AVAILABILITY'!O356+'RAP TEMPLATE-GAS AVAILABILITY'!P356+'RAP TEMPLATE-GAS AVAILABILITY'!Q356+'RAP TEMPLATE-GAS AVAILABILITY'!R356)</f>
        <v>14.850241726618707</v>
      </c>
    </row>
    <row r="358" spans="1:29" ht="15.75" x14ac:dyDescent="0.25">
      <c r="A358" s="14">
        <v>51805</v>
      </c>
      <c r="B358" s="17">
        <f>CHOOSE(CONTROL!$C$42, 14.7038, 14.7038) * CHOOSE(CONTROL!$C$21, $C$9, 100%, $E$9)</f>
        <v>14.703799999999999</v>
      </c>
      <c r="C358" s="17">
        <f>CHOOSE(CONTROL!$C$42, 14.7091, 14.7091) * CHOOSE(CONTROL!$C$21, $C$9, 100%, $E$9)</f>
        <v>14.709099999999999</v>
      </c>
      <c r="D358" s="17">
        <f>CHOOSE(CONTROL!$C$42, 14.9851, 14.9851) * CHOOSE(CONTROL!$C$21, $C$9, 100%, $E$9)</f>
        <v>14.985099999999999</v>
      </c>
      <c r="E358" s="17">
        <f>CHOOSE(CONTROL!$C$42, 15.0142, 15.0142) * CHOOSE(CONTROL!$C$21, $C$9, 100%, $E$9)</f>
        <v>15.014200000000001</v>
      </c>
      <c r="F358" s="17">
        <f>CHOOSE(CONTROL!$C$42, 14.7252, 14.7252)*CHOOSE(CONTROL!$C$21, $C$9, 100%, $E$9)</f>
        <v>14.725199999999999</v>
      </c>
      <c r="G358" s="17">
        <f>CHOOSE(CONTROL!$C$42, 14.742, 14.742)*CHOOSE(CONTROL!$C$21, $C$9, 100%, $E$9)</f>
        <v>14.742000000000001</v>
      </c>
      <c r="H358" s="17">
        <f>CHOOSE(CONTROL!$C$42, 15.0047, 15.0047) * CHOOSE(CONTROL!$C$21, $C$9, 100%, $E$9)</f>
        <v>15.0047</v>
      </c>
      <c r="I358" s="17">
        <f>CHOOSE(CONTROL!$C$42, 14.7714, 14.7714)* CHOOSE(CONTROL!$C$21, $C$9, 100%, $E$9)</f>
        <v>14.7714</v>
      </c>
      <c r="J358" s="17">
        <f>CHOOSE(CONTROL!$C$42, 14.7182, 14.7182)* CHOOSE(CONTROL!$C$21, $C$9, 100%, $E$9)</f>
        <v>14.7182</v>
      </c>
      <c r="K358" s="52">
        <f>CHOOSE(CONTROL!$C$42, 14.7672, 14.7672) * CHOOSE(CONTROL!$C$21, $C$9, 100%, $E$9)</f>
        <v>14.767200000000001</v>
      </c>
      <c r="L358" s="17">
        <f>CHOOSE(CONTROL!$C$42, 15.5917, 15.5917) * CHOOSE(CONTROL!$C$21, $C$9, 100%, $E$9)</f>
        <v>15.591699999999999</v>
      </c>
      <c r="M358" s="17">
        <f>CHOOSE(CONTROL!$C$42, 14.4611, 14.4611) * CHOOSE(CONTROL!$C$21, $C$9, 100%, $E$9)</f>
        <v>14.4611</v>
      </c>
      <c r="N358" s="17">
        <f>CHOOSE(CONTROL!$C$42, 14.4776, 14.4776) * CHOOSE(CONTROL!$C$21, $C$9, 100%, $E$9)</f>
        <v>14.477600000000001</v>
      </c>
      <c r="O358" s="17">
        <f>CHOOSE(CONTROL!$C$42, 14.7425, 14.7425) * CHOOSE(CONTROL!$C$21, $C$9, 100%, $E$9)</f>
        <v>14.7425</v>
      </c>
      <c r="P358" s="17">
        <f>CHOOSE(CONTROL!$C$42, 14.5127, 14.5127) * CHOOSE(CONTROL!$C$21, $C$9, 100%, $E$9)</f>
        <v>14.512700000000001</v>
      </c>
      <c r="Q358" s="17">
        <f>CHOOSE(CONTROL!$C$42, 15.3372, 15.3372) * CHOOSE(CONTROL!$C$21, $C$9, 100%, $E$9)</f>
        <v>15.337199999999999</v>
      </c>
      <c r="R358" s="17">
        <f>CHOOSE(CONTROL!$C$42, 15.9626, 15.9626) * CHOOSE(CONTROL!$C$21, $C$9, 100%, $E$9)</f>
        <v>15.9626</v>
      </c>
      <c r="S358" s="17">
        <f>CHOOSE(CONTROL!$C$42, 14.1199, 14.1199) * CHOOSE(CONTROL!$C$21, $C$9, 100%, $E$9)</f>
        <v>14.119899999999999</v>
      </c>
      <c r="T35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58" s="56">
        <f>(1000*CHOOSE(CONTROL!$C$42, 695, 695)*CHOOSE(CONTROL!$C$42, 0.5599, 0.5599)*CHOOSE(CONTROL!$C$42, 31, 31))/1000000</f>
        <v>12.063045499999998</v>
      </c>
      <c r="V358" s="56">
        <f>(1000*CHOOSE(CONTROL!$C$42, 500, 500)*CHOOSE(CONTROL!$C$42, 0.275, 0.275)*CHOOSE(CONTROL!$C$42, 31, 31))/1000000</f>
        <v>4.2625000000000002</v>
      </c>
      <c r="W358" s="56">
        <f>(1000*CHOOSE(CONTROL!$C$42, 0.1146, 0.1146)*CHOOSE(CONTROL!$C$42, 121.5, 121.5)*CHOOSE(CONTROL!$C$42, 31, 31))/1000000</f>
        <v>0.43164089999999994</v>
      </c>
      <c r="X358" s="56">
        <f>(31*0.1790888*145000/1000000)+(31*0.2374*100000/1000000)</f>
        <v>1.5409441560000001</v>
      </c>
      <c r="Y358" s="56"/>
      <c r="Z358" s="17"/>
      <c r="AA358" s="55"/>
      <c r="AB358" s="48">
        <f>(B358*131.881+C358*277.167+D358*79.08+E358*225.872+F358*40+G358*85+H358*0+I358*100+J358*300)/(131.881+277.167+79.08+225.872+0+40+85+100+300)</f>
        <v>14.791780514850686</v>
      </c>
      <c r="AC358" s="45">
        <f>(M358*'RAP TEMPLATE-GAS AVAILABILITY'!O357+N358*'RAP TEMPLATE-GAS AVAILABILITY'!P357+O358*'RAP TEMPLATE-GAS AVAILABILITY'!Q357+P358*'RAP TEMPLATE-GAS AVAILABILITY'!R357)/('RAP TEMPLATE-GAS AVAILABILITY'!O357+'RAP TEMPLATE-GAS AVAILABILITY'!P357+'RAP TEMPLATE-GAS AVAILABILITY'!Q357+'RAP TEMPLATE-GAS AVAILABILITY'!R357)</f>
        <v>14.551276978417267</v>
      </c>
    </row>
    <row r="359" spans="1:29" ht="15.75" x14ac:dyDescent="0.25">
      <c r="A359" s="14">
        <v>51835</v>
      </c>
      <c r="B359" s="17">
        <f>CHOOSE(CONTROL!$C$42, 15.0905, 15.0905) * CHOOSE(CONTROL!$C$21, $C$9, 100%, $E$9)</f>
        <v>15.0905</v>
      </c>
      <c r="C359" s="17">
        <f>CHOOSE(CONTROL!$C$42, 15.0955, 15.0955) * CHOOSE(CONTROL!$C$21, $C$9, 100%, $E$9)</f>
        <v>15.095499999999999</v>
      </c>
      <c r="D359" s="17">
        <f>CHOOSE(CONTROL!$C$42, 15.1906, 15.1906) * CHOOSE(CONTROL!$C$21, $C$9, 100%, $E$9)</f>
        <v>15.1906</v>
      </c>
      <c r="E359" s="17">
        <f>CHOOSE(CONTROL!$C$42, 15.2247, 15.2247) * CHOOSE(CONTROL!$C$21, $C$9, 100%, $E$9)</f>
        <v>15.2247</v>
      </c>
      <c r="F359" s="17">
        <f>CHOOSE(CONTROL!$C$42, 15.1144, 15.1144)*CHOOSE(CONTROL!$C$21, $C$9, 100%, $E$9)</f>
        <v>15.1144</v>
      </c>
      <c r="G359" s="17">
        <f>CHOOSE(CONTROL!$C$42, 15.1314, 15.1314)*CHOOSE(CONTROL!$C$21, $C$9, 100%, $E$9)</f>
        <v>15.131399999999999</v>
      </c>
      <c r="H359" s="17">
        <f>CHOOSE(CONTROL!$C$42, 15.2139, 15.2139) * CHOOSE(CONTROL!$C$21, $C$9, 100%, $E$9)</f>
        <v>15.213900000000001</v>
      </c>
      <c r="I359" s="17">
        <f>CHOOSE(CONTROL!$C$42, 15.1577, 15.1577)* CHOOSE(CONTROL!$C$21, $C$9, 100%, $E$9)</f>
        <v>15.1577</v>
      </c>
      <c r="J359" s="17">
        <f>CHOOSE(CONTROL!$C$42, 15.1074, 15.1074)* CHOOSE(CONTROL!$C$21, $C$9, 100%, $E$9)</f>
        <v>15.1074</v>
      </c>
      <c r="K359" s="52">
        <f>CHOOSE(CONTROL!$C$42, 15.1535, 15.1535) * CHOOSE(CONTROL!$C$21, $C$9, 100%, $E$9)</f>
        <v>15.153499999999999</v>
      </c>
      <c r="L359" s="17">
        <f>CHOOSE(CONTROL!$C$42, 15.8009, 15.8009) * CHOOSE(CONTROL!$C$21, $C$9, 100%, $E$9)</f>
        <v>15.8009</v>
      </c>
      <c r="M359" s="17">
        <f>CHOOSE(CONTROL!$C$42, 14.8433, 14.8433) * CHOOSE(CONTROL!$C$21, $C$9, 100%, $E$9)</f>
        <v>14.843299999999999</v>
      </c>
      <c r="N359" s="17">
        <f>CHOOSE(CONTROL!$C$42, 14.8601, 14.8601) * CHOOSE(CONTROL!$C$21, $C$9, 100%, $E$9)</f>
        <v>14.860099999999999</v>
      </c>
      <c r="O359" s="17">
        <f>CHOOSE(CONTROL!$C$42, 14.9479, 14.9479) * CHOOSE(CONTROL!$C$21, $C$9, 100%, $E$9)</f>
        <v>14.947900000000001</v>
      </c>
      <c r="P359" s="17">
        <f>CHOOSE(CONTROL!$C$42, 14.892, 14.892) * CHOOSE(CONTROL!$C$21, $C$9, 100%, $E$9)</f>
        <v>14.891999999999999</v>
      </c>
      <c r="Q359" s="17">
        <f>CHOOSE(CONTROL!$C$42, 15.5426, 15.5426) * CHOOSE(CONTROL!$C$21, $C$9, 100%, $E$9)</f>
        <v>15.5426</v>
      </c>
      <c r="R359" s="17">
        <f>CHOOSE(CONTROL!$C$42, 16.1685, 16.1685) * CHOOSE(CONTROL!$C$21, $C$9, 100%, $E$9)</f>
        <v>16.168500000000002</v>
      </c>
      <c r="S359" s="17">
        <f>CHOOSE(CONTROL!$C$42, 14.4919, 14.4919) * CHOOSE(CONTROL!$C$21, $C$9, 100%, $E$9)</f>
        <v>14.491899999999999</v>
      </c>
      <c r="T35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59" s="56">
        <f>(1000*CHOOSE(CONTROL!$C$42, 695, 695)*CHOOSE(CONTROL!$C$42, 0.5599, 0.5599)*CHOOSE(CONTROL!$C$42, 30, 30))/1000000</f>
        <v>11.673914999999997</v>
      </c>
      <c r="V359" s="56">
        <f>(1000*CHOOSE(CONTROL!$C$42, 500, 500)*CHOOSE(CONTROL!$C$42, 0.275, 0.275)*CHOOSE(CONTROL!$C$42, 30, 30))/1000000</f>
        <v>4.125</v>
      </c>
      <c r="W359" s="56">
        <f>(1000*CHOOSE(CONTROL!$C$42, 0.1146, 0.1146)*CHOOSE(CONTROL!$C$42, 121.5, 121.5)*CHOOSE(CONTROL!$C$42, 30, 30))/1000000</f>
        <v>0.417717</v>
      </c>
      <c r="X359" s="56">
        <f>(30*0.2374*100000/1000000)</f>
        <v>0.71220000000000006</v>
      </c>
      <c r="Y359" s="56"/>
      <c r="Z359" s="17"/>
      <c r="AA359" s="55"/>
      <c r="AB359" s="48">
        <f>(B359*122.58+C359*297.941+D359*89.177+E359*140.302+F359*40+G359*60+H359*0+I359*100+J359*300)/(122.58+297.941+89.177+140.302+0+40+60+100+300)</f>
        <v>15.129147696608694</v>
      </c>
      <c r="AC359" s="45">
        <f>(M359*'RAP TEMPLATE-GAS AVAILABILITY'!O358+N359*'RAP TEMPLATE-GAS AVAILABILITY'!P358+O359*'RAP TEMPLATE-GAS AVAILABILITY'!Q358+P359*'RAP TEMPLATE-GAS AVAILABILITY'!R358)/('RAP TEMPLATE-GAS AVAILABILITY'!O358+'RAP TEMPLATE-GAS AVAILABILITY'!P358+'RAP TEMPLATE-GAS AVAILABILITY'!Q358+'RAP TEMPLATE-GAS AVAILABILITY'!R358)</f>
        <v>14.898682733812951</v>
      </c>
    </row>
    <row r="360" spans="1:29" ht="15.75" x14ac:dyDescent="0.25">
      <c r="A360" s="14">
        <v>51866</v>
      </c>
      <c r="B360" s="17">
        <f>CHOOSE(CONTROL!$C$42, 16.1187, 16.1187) * CHOOSE(CONTROL!$C$21, $C$9, 100%, $E$9)</f>
        <v>16.1187</v>
      </c>
      <c r="C360" s="17">
        <f>CHOOSE(CONTROL!$C$42, 16.1237, 16.1237) * CHOOSE(CONTROL!$C$21, $C$9, 100%, $E$9)</f>
        <v>16.123699999999999</v>
      </c>
      <c r="D360" s="17">
        <f>CHOOSE(CONTROL!$C$42, 16.2188, 16.2188) * CHOOSE(CONTROL!$C$21, $C$9, 100%, $E$9)</f>
        <v>16.218800000000002</v>
      </c>
      <c r="E360" s="17">
        <f>CHOOSE(CONTROL!$C$42, 16.2529, 16.2529) * CHOOSE(CONTROL!$C$21, $C$9, 100%, $E$9)</f>
        <v>16.2529</v>
      </c>
      <c r="F360" s="17">
        <f>CHOOSE(CONTROL!$C$42, 16.1449, 16.1449)*CHOOSE(CONTROL!$C$21, $C$9, 100%, $E$9)</f>
        <v>16.1449</v>
      </c>
      <c r="G360" s="17">
        <f>CHOOSE(CONTROL!$C$42, 16.1626, 16.1626)*CHOOSE(CONTROL!$C$21, $C$9, 100%, $E$9)</f>
        <v>16.162600000000001</v>
      </c>
      <c r="H360" s="17">
        <f>CHOOSE(CONTROL!$C$42, 16.2421, 16.2421) * CHOOSE(CONTROL!$C$21, $C$9, 100%, $E$9)</f>
        <v>16.242100000000001</v>
      </c>
      <c r="I360" s="17">
        <f>CHOOSE(CONTROL!$C$42, 16.1891, 16.1891)* CHOOSE(CONTROL!$C$21, $C$9, 100%, $E$9)</f>
        <v>16.1891</v>
      </c>
      <c r="J360" s="17">
        <f>CHOOSE(CONTROL!$C$42, 16.1379, 16.1379)* CHOOSE(CONTROL!$C$21, $C$9, 100%, $E$9)</f>
        <v>16.137899999999998</v>
      </c>
      <c r="K360" s="52">
        <f>CHOOSE(CONTROL!$C$42, 16.1849, 16.1849) * CHOOSE(CONTROL!$C$21, $C$9, 100%, $E$9)</f>
        <v>16.184899999999999</v>
      </c>
      <c r="L360" s="17">
        <f>CHOOSE(CONTROL!$C$42, 16.8291, 16.8291) * CHOOSE(CONTROL!$C$21, $C$9, 100%, $E$9)</f>
        <v>16.8291</v>
      </c>
      <c r="M360" s="17">
        <f>CHOOSE(CONTROL!$C$42, 15.8553, 15.8553) * CHOOSE(CONTROL!$C$21, $C$9, 100%, $E$9)</f>
        <v>15.8553</v>
      </c>
      <c r="N360" s="17">
        <f>CHOOSE(CONTROL!$C$42, 15.8727, 15.8727) * CHOOSE(CONTROL!$C$21, $C$9, 100%, $E$9)</f>
        <v>15.8727</v>
      </c>
      <c r="O360" s="17">
        <f>CHOOSE(CONTROL!$C$42, 15.9576, 15.9576) * CHOOSE(CONTROL!$C$21, $C$9, 100%, $E$9)</f>
        <v>15.957599999999999</v>
      </c>
      <c r="P360" s="17">
        <f>CHOOSE(CONTROL!$C$42, 15.9048, 15.9048) * CHOOSE(CONTROL!$C$21, $C$9, 100%, $E$9)</f>
        <v>15.9048</v>
      </c>
      <c r="Q360" s="17">
        <f>CHOOSE(CONTROL!$C$42, 16.5523, 16.5523) * CHOOSE(CONTROL!$C$21, $C$9, 100%, $E$9)</f>
        <v>16.552299999999999</v>
      </c>
      <c r="R360" s="17">
        <f>CHOOSE(CONTROL!$C$42, 17.1807, 17.1807) * CHOOSE(CONTROL!$C$21, $C$9, 100%, $E$9)</f>
        <v>17.180700000000002</v>
      </c>
      <c r="S360" s="17">
        <f>CHOOSE(CONTROL!$C$42, 15.4799, 15.4799) * CHOOSE(CONTROL!$C$21, $C$9, 100%, $E$9)</f>
        <v>15.479900000000001</v>
      </c>
      <c r="T36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60" s="56">
        <f>(1000*CHOOSE(CONTROL!$C$42, 695, 695)*CHOOSE(CONTROL!$C$42, 0.5599, 0.5599)*CHOOSE(CONTROL!$C$42, 31, 31))/1000000</f>
        <v>12.063045499999998</v>
      </c>
      <c r="V360" s="56">
        <f>(1000*CHOOSE(CONTROL!$C$42, 500, 500)*CHOOSE(CONTROL!$C$42, 0.275, 0.275)*CHOOSE(CONTROL!$C$42, 31, 31))/1000000</f>
        <v>4.2625000000000002</v>
      </c>
      <c r="W360" s="56">
        <f>(1000*CHOOSE(CONTROL!$C$42, 0.1146, 0.1146)*CHOOSE(CONTROL!$C$42, 121.5, 121.5)*CHOOSE(CONTROL!$C$42, 31, 31))/1000000</f>
        <v>0.43164089999999994</v>
      </c>
      <c r="X360" s="56">
        <f>(31*0.2374*100000/1000000)</f>
        <v>0.73594000000000004</v>
      </c>
      <c r="Y360" s="56"/>
      <c r="Z360" s="17"/>
      <c r="AA360" s="55"/>
      <c r="AB360" s="48">
        <f>(B360*122.58+C360*297.941+D360*89.177+E360*140.302+F360*40+G360*60+H360*0+I360*100+J360*300)/(122.58+297.941+89.177+140.302+0+40+60+100+300)</f>
        <v>16.158462479217391</v>
      </c>
      <c r="AC360" s="45">
        <f>(M360*'RAP TEMPLATE-GAS AVAILABILITY'!O359+N360*'RAP TEMPLATE-GAS AVAILABILITY'!P359+O360*'RAP TEMPLATE-GAS AVAILABILITY'!Q359+P360*'RAP TEMPLATE-GAS AVAILABILITY'!R359)/('RAP TEMPLATE-GAS AVAILABILITY'!O359+'RAP TEMPLATE-GAS AVAILABILITY'!P359+'RAP TEMPLATE-GAS AVAILABILITY'!Q359+'RAP TEMPLATE-GAS AVAILABILITY'!R359)</f>
        <v>15.909789928057554</v>
      </c>
    </row>
    <row r="361" spans="1:29" ht="15.75" x14ac:dyDescent="0.25">
      <c r="A361" s="14">
        <v>51897</v>
      </c>
      <c r="B361" s="17">
        <f>CHOOSE(CONTROL!$C$42, 17.4541, 17.4541) * CHOOSE(CONTROL!$C$21, $C$9, 100%, $E$9)</f>
        <v>17.4541</v>
      </c>
      <c r="C361" s="17">
        <f>CHOOSE(CONTROL!$C$42, 17.4592, 17.4592) * CHOOSE(CONTROL!$C$21, $C$9, 100%, $E$9)</f>
        <v>17.459199999999999</v>
      </c>
      <c r="D361" s="17">
        <f>CHOOSE(CONTROL!$C$42, 17.5776, 17.5776) * CHOOSE(CONTROL!$C$21, $C$9, 100%, $E$9)</f>
        <v>17.5776</v>
      </c>
      <c r="E361" s="17">
        <f>CHOOSE(CONTROL!$C$42, 17.6117, 17.6117) * CHOOSE(CONTROL!$C$21, $C$9, 100%, $E$9)</f>
        <v>17.611699999999999</v>
      </c>
      <c r="F361" s="17">
        <f>CHOOSE(CONTROL!$C$42, 17.4745, 17.4745)*CHOOSE(CONTROL!$C$21, $C$9, 100%, $E$9)</f>
        <v>17.474499999999999</v>
      </c>
      <c r="G361" s="17">
        <f>CHOOSE(CONTROL!$C$42, 17.4913, 17.4913)*CHOOSE(CONTROL!$C$21, $C$9, 100%, $E$9)</f>
        <v>17.491299999999999</v>
      </c>
      <c r="H361" s="17">
        <f>CHOOSE(CONTROL!$C$42, 17.6009, 17.6009) * CHOOSE(CONTROL!$C$21, $C$9, 100%, $E$9)</f>
        <v>17.600899999999999</v>
      </c>
      <c r="I361" s="17">
        <f>CHOOSE(CONTROL!$C$42, 17.5324, 17.5324)* CHOOSE(CONTROL!$C$21, $C$9, 100%, $E$9)</f>
        <v>17.532399999999999</v>
      </c>
      <c r="J361" s="17">
        <f>CHOOSE(CONTROL!$C$42, 17.4675, 17.4675)* CHOOSE(CONTROL!$C$21, $C$9, 100%, $E$9)</f>
        <v>17.467500000000001</v>
      </c>
      <c r="K361" s="52">
        <f>CHOOSE(CONTROL!$C$42, 17.5282, 17.5282) * CHOOSE(CONTROL!$C$21, $C$9, 100%, $E$9)</f>
        <v>17.528199999999998</v>
      </c>
      <c r="L361" s="17">
        <f>CHOOSE(CONTROL!$C$42, 18.1879, 18.1879) * CHOOSE(CONTROL!$C$21, $C$9, 100%, $E$9)</f>
        <v>18.187899999999999</v>
      </c>
      <c r="M361" s="17">
        <f>CHOOSE(CONTROL!$C$42, 17.161, 17.161) * CHOOSE(CONTROL!$C$21, $C$9, 100%, $E$9)</f>
        <v>17.161000000000001</v>
      </c>
      <c r="N361" s="17">
        <f>CHOOSE(CONTROL!$C$42, 17.1775, 17.1775) * CHOOSE(CONTROL!$C$21, $C$9, 100%, $E$9)</f>
        <v>17.177499999999998</v>
      </c>
      <c r="O361" s="17">
        <f>CHOOSE(CONTROL!$C$42, 17.292, 17.292) * CHOOSE(CONTROL!$C$21, $C$9, 100%, $E$9)</f>
        <v>17.292000000000002</v>
      </c>
      <c r="P361" s="17">
        <f>CHOOSE(CONTROL!$C$42, 17.2238, 17.2238) * CHOOSE(CONTROL!$C$21, $C$9, 100%, $E$9)</f>
        <v>17.223800000000001</v>
      </c>
      <c r="Q361" s="17">
        <f>CHOOSE(CONTROL!$C$42, 17.8867, 17.8867) * CHOOSE(CONTROL!$C$21, $C$9, 100%, $E$9)</f>
        <v>17.886700000000001</v>
      </c>
      <c r="R361" s="17">
        <f>CHOOSE(CONTROL!$C$42, 18.5185, 18.5185) * CHOOSE(CONTROL!$C$21, $C$9, 100%, $E$9)</f>
        <v>18.5185</v>
      </c>
      <c r="S361" s="17">
        <f>CHOOSE(CONTROL!$C$42, 16.7631, 16.7631) * CHOOSE(CONTROL!$C$21, $C$9, 100%, $E$9)</f>
        <v>16.763100000000001</v>
      </c>
      <c r="T36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61" s="56">
        <f>(1000*CHOOSE(CONTROL!$C$42, 695, 695)*CHOOSE(CONTROL!$C$42, 0.5599, 0.5599)*CHOOSE(CONTROL!$C$42, 31, 31))/1000000</f>
        <v>12.063045499999998</v>
      </c>
      <c r="V361" s="56">
        <f>(1000*CHOOSE(CONTROL!$C$42, 500, 500)*CHOOSE(CONTROL!$C$42, 0.275, 0.275)*CHOOSE(CONTROL!$C$42, 31, 31))/1000000</f>
        <v>4.2625000000000002</v>
      </c>
      <c r="W361" s="56">
        <f>(1000*CHOOSE(CONTROL!$C$42, 0.1146, 0.1146)*CHOOSE(CONTROL!$C$42, 121.5, 121.5)*CHOOSE(CONTROL!$C$42, 31, 31))/1000000</f>
        <v>0.43164089999999994</v>
      </c>
      <c r="X361" s="56">
        <f>(31*0.2374*100000/1000000)</f>
        <v>0.73594000000000004</v>
      </c>
      <c r="Y361" s="56"/>
      <c r="Z361" s="17"/>
      <c r="AA361" s="55"/>
      <c r="AB361" s="48">
        <f>(B361*122.58+C361*297.941+D361*89.177+E361*140.302+F361*40+G361*60+H361*0+I361*100+J361*300)/(122.58+297.941+89.177+140.302+0+40+60+100+300)</f>
        <v>17.497180394608694</v>
      </c>
      <c r="AC361" s="45">
        <f>(M361*'RAP TEMPLATE-GAS AVAILABILITY'!O360+N361*'RAP TEMPLATE-GAS AVAILABILITY'!P360+O361*'RAP TEMPLATE-GAS AVAILABILITY'!Q360+P361*'RAP TEMPLATE-GAS AVAILABILITY'!R360)/('RAP TEMPLATE-GAS AVAILABILITY'!O360+'RAP TEMPLATE-GAS AVAILABILITY'!P360+'RAP TEMPLATE-GAS AVAILABILITY'!Q360+'RAP TEMPLATE-GAS AVAILABILITY'!R360)</f>
        <v>17.230359712230218</v>
      </c>
    </row>
    <row r="362" spans="1:29" ht="15.75" x14ac:dyDescent="0.25">
      <c r="A362" s="14">
        <v>51925</v>
      </c>
      <c r="B362" s="17">
        <f>CHOOSE(CONTROL!$C$42, 17.7647, 17.7647) * CHOOSE(CONTROL!$C$21, $C$9, 100%, $E$9)</f>
        <v>17.764700000000001</v>
      </c>
      <c r="C362" s="17">
        <f>CHOOSE(CONTROL!$C$42, 17.7697, 17.7697) * CHOOSE(CONTROL!$C$21, $C$9, 100%, $E$9)</f>
        <v>17.7697</v>
      </c>
      <c r="D362" s="17">
        <f>CHOOSE(CONTROL!$C$42, 17.8882, 17.8882) * CHOOSE(CONTROL!$C$21, $C$9, 100%, $E$9)</f>
        <v>17.888200000000001</v>
      </c>
      <c r="E362" s="17">
        <f>CHOOSE(CONTROL!$C$42, 17.9223, 17.9223) * CHOOSE(CONTROL!$C$21, $C$9, 100%, $E$9)</f>
        <v>17.9223</v>
      </c>
      <c r="F362" s="17">
        <f>CHOOSE(CONTROL!$C$42, 17.785, 17.785)*CHOOSE(CONTROL!$C$21, $C$9, 100%, $E$9)</f>
        <v>17.785</v>
      </c>
      <c r="G362" s="17">
        <f>CHOOSE(CONTROL!$C$42, 17.8018, 17.8018)*CHOOSE(CONTROL!$C$21, $C$9, 100%, $E$9)</f>
        <v>17.8018</v>
      </c>
      <c r="H362" s="17">
        <f>CHOOSE(CONTROL!$C$42, 17.9115, 17.9115) * CHOOSE(CONTROL!$C$21, $C$9, 100%, $E$9)</f>
        <v>17.9115</v>
      </c>
      <c r="I362" s="17">
        <f>CHOOSE(CONTROL!$C$42, 17.8439, 17.8439)* CHOOSE(CONTROL!$C$21, $C$9, 100%, $E$9)</f>
        <v>17.843900000000001</v>
      </c>
      <c r="J362" s="17">
        <f>CHOOSE(CONTROL!$C$42, 17.778, 17.778)* CHOOSE(CONTROL!$C$21, $C$9, 100%, $E$9)</f>
        <v>17.777999999999999</v>
      </c>
      <c r="K362" s="52">
        <f>CHOOSE(CONTROL!$C$42, 17.8397, 17.8397) * CHOOSE(CONTROL!$C$21, $C$9, 100%, $E$9)</f>
        <v>17.839700000000001</v>
      </c>
      <c r="L362" s="17">
        <f>CHOOSE(CONTROL!$C$42, 18.4985, 18.4985) * CHOOSE(CONTROL!$C$21, $C$9, 100%, $E$9)</f>
        <v>18.4985</v>
      </c>
      <c r="M362" s="17">
        <f>CHOOSE(CONTROL!$C$42, 17.4659, 17.4659) * CHOOSE(CONTROL!$C$21, $C$9, 100%, $E$9)</f>
        <v>17.465900000000001</v>
      </c>
      <c r="N362" s="17">
        <f>CHOOSE(CONTROL!$C$42, 17.4825, 17.4825) * CHOOSE(CONTROL!$C$21, $C$9, 100%, $E$9)</f>
        <v>17.482500000000002</v>
      </c>
      <c r="O362" s="17">
        <f>CHOOSE(CONTROL!$C$42, 17.597, 17.597) * CHOOSE(CONTROL!$C$21, $C$9, 100%, $E$9)</f>
        <v>17.597000000000001</v>
      </c>
      <c r="P362" s="17">
        <f>CHOOSE(CONTROL!$C$42, 17.5297, 17.5297) * CHOOSE(CONTROL!$C$21, $C$9, 100%, $E$9)</f>
        <v>17.529699999999998</v>
      </c>
      <c r="Q362" s="17">
        <f>CHOOSE(CONTROL!$C$42, 18.1917, 18.1917) * CHOOSE(CONTROL!$C$21, $C$9, 100%, $E$9)</f>
        <v>18.191700000000001</v>
      </c>
      <c r="R362" s="17">
        <f>CHOOSE(CONTROL!$C$42, 18.8242, 18.8242) * CHOOSE(CONTROL!$C$21, $C$9, 100%, $E$9)</f>
        <v>18.824200000000001</v>
      </c>
      <c r="S362" s="17">
        <f>CHOOSE(CONTROL!$C$42, 17.0615, 17.0615) * CHOOSE(CONTROL!$C$21, $C$9, 100%, $E$9)</f>
        <v>17.061499999999999</v>
      </c>
      <c r="T36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62" s="56">
        <f>(1000*CHOOSE(CONTROL!$C$42, 695, 695)*CHOOSE(CONTROL!$C$42, 0.5599, 0.5599)*CHOOSE(CONTROL!$C$42, 28, 28))/1000000</f>
        <v>10.895653999999999</v>
      </c>
      <c r="V362" s="56">
        <f>(1000*CHOOSE(CONTROL!$C$42, 500, 500)*CHOOSE(CONTROL!$C$42, 0.275, 0.275)*CHOOSE(CONTROL!$C$42, 28, 28))/1000000</f>
        <v>3.85</v>
      </c>
      <c r="W362" s="56">
        <f>(1000*CHOOSE(CONTROL!$C$42, 0.1146, 0.1146)*CHOOSE(CONTROL!$C$42, 121.5, 121.5)*CHOOSE(CONTROL!$C$42, 28, 28))/1000000</f>
        <v>0.38986920000000003</v>
      </c>
      <c r="X362" s="56">
        <f>(28*0.2374*100000/1000000)</f>
        <v>0.66471999999999998</v>
      </c>
      <c r="Y362" s="56"/>
      <c r="Z362" s="17"/>
      <c r="AA362" s="55"/>
      <c r="AB362" s="48">
        <f>(B362*122.58+C362*297.941+D362*89.177+E362*140.302+F362*40+G362*60+H362*0+I362*100+J362*300)/(122.58+297.941+89.177+140.302+0+40+60+100+300)</f>
        <v>17.807797964956521</v>
      </c>
      <c r="AC362" s="45">
        <f>(M362*'RAP TEMPLATE-GAS AVAILABILITY'!O361+N362*'RAP TEMPLATE-GAS AVAILABILITY'!P361+O362*'RAP TEMPLATE-GAS AVAILABILITY'!Q361+P362*'RAP TEMPLATE-GAS AVAILABILITY'!R361)/('RAP TEMPLATE-GAS AVAILABILITY'!O361+'RAP TEMPLATE-GAS AVAILABILITY'!P361+'RAP TEMPLATE-GAS AVAILABILITY'!Q361+'RAP TEMPLATE-GAS AVAILABILITY'!R361)</f>
        <v>17.535454676258993</v>
      </c>
    </row>
    <row r="363" spans="1:29" ht="15.75" x14ac:dyDescent="0.25">
      <c r="A363" s="14">
        <v>51956</v>
      </c>
      <c r="B363" s="17">
        <f>CHOOSE(CONTROL!$C$42, 17.2606, 17.2606) * CHOOSE(CONTROL!$C$21, $C$9, 100%, $E$9)</f>
        <v>17.2606</v>
      </c>
      <c r="C363" s="17">
        <f>CHOOSE(CONTROL!$C$42, 17.2656, 17.2656) * CHOOSE(CONTROL!$C$21, $C$9, 100%, $E$9)</f>
        <v>17.265599999999999</v>
      </c>
      <c r="D363" s="17">
        <f>CHOOSE(CONTROL!$C$42, 17.3841, 17.3841) * CHOOSE(CONTROL!$C$21, $C$9, 100%, $E$9)</f>
        <v>17.3841</v>
      </c>
      <c r="E363" s="17">
        <f>CHOOSE(CONTROL!$C$42, 17.4182, 17.4182) * CHOOSE(CONTROL!$C$21, $C$9, 100%, $E$9)</f>
        <v>17.418199999999999</v>
      </c>
      <c r="F363" s="17">
        <f>CHOOSE(CONTROL!$C$42, 17.2803, 17.2803)*CHOOSE(CONTROL!$C$21, $C$9, 100%, $E$9)</f>
        <v>17.2803</v>
      </c>
      <c r="G363" s="17">
        <f>CHOOSE(CONTROL!$C$42, 17.2969, 17.2969)*CHOOSE(CONTROL!$C$21, $C$9, 100%, $E$9)</f>
        <v>17.296900000000001</v>
      </c>
      <c r="H363" s="17">
        <f>CHOOSE(CONTROL!$C$42, 17.4074, 17.4074) * CHOOSE(CONTROL!$C$21, $C$9, 100%, $E$9)</f>
        <v>17.407399999999999</v>
      </c>
      <c r="I363" s="17">
        <f>CHOOSE(CONTROL!$C$42, 17.3382, 17.3382)* CHOOSE(CONTROL!$C$21, $C$9, 100%, $E$9)</f>
        <v>17.338200000000001</v>
      </c>
      <c r="J363" s="17">
        <f>CHOOSE(CONTROL!$C$42, 17.2733, 17.2733)* CHOOSE(CONTROL!$C$21, $C$9, 100%, $E$9)</f>
        <v>17.273299999999999</v>
      </c>
      <c r="K363" s="52">
        <f>CHOOSE(CONTROL!$C$42, 17.334, 17.334) * CHOOSE(CONTROL!$C$21, $C$9, 100%, $E$9)</f>
        <v>17.334</v>
      </c>
      <c r="L363" s="17">
        <f>CHOOSE(CONTROL!$C$42, 17.9944, 17.9944) * CHOOSE(CONTROL!$C$21, $C$9, 100%, $E$9)</f>
        <v>17.994399999999999</v>
      </c>
      <c r="M363" s="17">
        <f>CHOOSE(CONTROL!$C$42, 16.9703, 16.9703) * CHOOSE(CONTROL!$C$21, $C$9, 100%, $E$9)</f>
        <v>16.970300000000002</v>
      </c>
      <c r="N363" s="17">
        <f>CHOOSE(CONTROL!$C$42, 16.9866, 16.9866) * CHOOSE(CONTROL!$C$21, $C$9, 100%, $E$9)</f>
        <v>16.986599999999999</v>
      </c>
      <c r="O363" s="17">
        <f>CHOOSE(CONTROL!$C$42, 17.102, 17.102) * CHOOSE(CONTROL!$C$21, $C$9, 100%, $E$9)</f>
        <v>17.102</v>
      </c>
      <c r="P363" s="17">
        <f>CHOOSE(CONTROL!$C$42, 17.0332, 17.0332) * CHOOSE(CONTROL!$C$21, $C$9, 100%, $E$9)</f>
        <v>17.033200000000001</v>
      </c>
      <c r="Q363" s="17">
        <f>CHOOSE(CONTROL!$C$42, 17.6967, 17.6967) * CHOOSE(CONTROL!$C$21, $C$9, 100%, $E$9)</f>
        <v>17.6967</v>
      </c>
      <c r="R363" s="17">
        <f>CHOOSE(CONTROL!$C$42, 18.3279, 18.3279) * CHOOSE(CONTROL!$C$21, $C$9, 100%, $E$9)</f>
        <v>18.3279</v>
      </c>
      <c r="S363" s="17">
        <f>CHOOSE(CONTROL!$C$42, 16.5771, 16.5771) * CHOOSE(CONTROL!$C$21, $C$9, 100%, $E$9)</f>
        <v>16.577100000000002</v>
      </c>
      <c r="T36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63" s="56">
        <f>(1000*CHOOSE(CONTROL!$C$42, 695, 695)*CHOOSE(CONTROL!$C$42, 0.5599, 0.5599)*CHOOSE(CONTROL!$C$42, 31, 31))/1000000</f>
        <v>12.063045499999998</v>
      </c>
      <c r="V363" s="56">
        <f>(1000*CHOOSE(CONTROL!$C$42, 500, 500)*CHOOSE(CONTROL!$C$42, 0.275, 0.275)*CHOOSE(CONTROL!$C$42, 31, 31))/1000000</f>
        <v>4.2625000000000002</v>
      </c>
      <c r="W363" s="56">
        <f>(1000*CHOOSE(CONTROL!$C$42, 0.1146, 0.1146)*CHOOSE(CONTROL!$C$42, 121.5, 121.5)*CHOOSE(CONTROL!$C$42, 31, 31))/1000000</f>
        <v>0.43164089999999994</v>
      </c>
      <c r="X363" s="56">
        <f>(31*0.2374*100000/1000000)</f>
        <v>0.73594000000000004</v>
      </c>
      <c r="Y363" s="56"/>
      <c r="Z363" s="17"/>
      <c r="AA363" s="55"/>
      <c r="AB363" s="48">
        <f>(B363*122.58+C363*297.941+D363*89.177+E363*140.302+F363*40+G363*60+H363*0+I363*100+J363*300)/(122.58+297.941+89.177+140.302+0+40+60+100+300)</f>
        <v>17.303339704086955</v>
      </c>
      <c r="AC363" s="45">
        <f>(M363*'RAP TEMPLATE-GAS AVAILABILITY'!O362+N363*'RAP TEMPLATE-GAS AVAILABILITY'!P362+O363*'RAP TEMPLATE-GAS AVAILABILITY'!Q362+P363*'RAP TEMPLATE-GAS AVAILABILITY'!R362)/('RAP TEMPLATE-GAS AVAILABILITY'!O362+'RAP TEMPLATE-GAS AVAILABILITY'!P362+'RAP TEMPLATE-GAS AVAILABILITY'!Q362+'RAP TEMPLATE-GAS AVAILABILITY'!R362)</f>
        <v>17.039979856115107</v>
      </c>
    </row>
    <row r="364" spans="1:29" ht="15.75" x14ac:dyDescent="0.25">
      <c r="A364" s="14">
        <v>51986</v>
      </c>
      <c r="B364" s="17">
        <f>CHOOSE(CONTROL!$C$42, 17.2099, 17.2099) * CHOOSE(CONTROL!$C$21, $C$9, 100%, $E$9)</f>
        <v>17.209900000000001</v>
      </c>
      <c r="C364" s="17">
        <f>CHOOSE(CONTROL!$C$42, 17.2144, 17.2144) * CHOOSE(CONTROL!$C$21, $C$9, 100%, $E$9)</f>
        <v>17.214400000000001</v>
      </c>
      <c r="D364" s="17">
        <f>CHOOSE(CONTROL!$C$42, 17.4886, 17.4886) * CHOOSE(CONTROL!$C$21, $C$9, 100%, $E$9)</f>
        <v>17.488600000000002</v>
      </c>
      <c r="E364" s="17">
        <f>CHOOSE(CONTROL!$C$42, 17.5207, 17.5207) * CHOOSE(CONTROL!$C$21, $C$9, 100%, $E$9)</f>
        <v>17.520700000000001</v>
      </c>
      <c r="F364" s="17">
        <f>CHOOSE(CONTROL!$C$42, 17.2292, 17.2292)*CHOOSE(CONTROL!$C$21, $C$9, 100%, $E$9)</f>
        <v>17.229199999999999</v>
      </c>
      <c r="G364" s="17">
        <f>CHOOSE(CONTROL!$C$42, 17.2456, 17.2456)*CHOOSE(CONTROL!$C$21, $C$9, 100%, $E$9)</f>
        <v>17.2456</v>
      </c>
      <c r="H364" s="17">
        <f>CHOOSE(CONTROL!$C$42, 17.5105, 17.5105) * CHOOSE(CONTROL!$C$21, $C$9, 100%, $E$9)</f>
        <v>17.5105</v>
      </c>
      <c r="I364" s="17">
        <f>CHOOSE(CONTROL!$C$42, 17.2851, 17.2851)* CHOOSE(CONTROL!$C$21, $C$9, 100%, $E$9)</f>
        <v>17.2851</v>
      </c>
      <c r="J364" s="17">
        <f>CHOOSE(CONTROL!$C$42, 17.2222, 17.2222)* CHOOSE(CONTROL!$C$21, $C$9, 100%, $E$9)</f>
        <v>17.222200000000001</v>
      </c>
      <c r="K364" s="52">
        <f>CHOOSE(CONTROL!$C$42, 17.2809, 17.2809) * CHOOSE(CONTROL!$C$21, $C$9, 100%, $E$9)</f>
        <v>17.280899999999999</v>
      </c>
      <c r="L364" s="17">
        <f>CHOOSE(CONTROL!$C$42, 18.0975, 18.0975) * CHOOSE(CONTROL!$C$21, $C$9, 100%, $E$9)</f>
        <v>18.0975</v>
      </c>
      <c r="M364" s="17">
        <f>CHOOSE(CONTROL!$C$42, 16.9202, 16.9202) * CHOOSE(CONTROL!$C$21, $C$9, 100%, $E$9)</f>
        <v>16.920200000000001</v>
      </c>
      <c r="N364" s="17">
        <f>CHOOSE(CONTROL!$C$42, 16.9362, 16.9362) * CHOOSE(CONTROL!$C$21, $C$9, 100%, $E$9)</f>
        <v>16.936199999999999</v>
      </c>
      <c r="O364" s="17">
        <f>CHOOSE(CONTROL!$C$42, 17.2032, 17.2032) * CHOOSE(CONTROL!$C$21, $C$9, 100%, $E$9)</f>
        <v>17.203199999999999</v>
      </c>
      <c r="P364" s="17">
        <f>CHOOSE(CONTROL!$C$42, 16.981, 16.981) * CHOOSE(CONTROL!$C$21, $C$9, 100%, $E$9)</f>
        <v>16.981000000000002</v>
      </c>
      <c r="Q364" s="17">
        <f>CHOOSE(CONTROL!$C$42, 17.7979, 17.7979) * CHOOSE(CONTROL!$C$21, $C$9, 100%, $E$9)</f>
        <v>17.797899999999998</v>
      </c>
      <c r="R364" s="17">
        <f>CHOOSE(CONTROL!$C$42, 18.4294, 18.4294) * CHOOSE(CONTROL!$C$21, $C$9, 100%, $E$9)</f>
        <v>18.429400000000001</v>
      </c>
      <c r="S364" s="17">
        <f>CHOOSE(CONTROL!$C$42, 16.5277, 16.5277) * CHOOSE(CONTROL!$C$21, $C$9, 100%, $E$9)</f>
        <v>16.527699999999999</v>
      </c>
      <c r="T36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64" s="56">
        <f>(1000*CHOOSE(CONTROL!$C$42, 695, 695)*CHOOSE(CONTROL!$C$42, 0.5599, 0.5599)*CHOOSE(CONTROL!$C$42, 30, 30))/1000000</f>
        <v>11.673914999999997</v>
      </c>
      <c r="V364" s="56">
        <f>(1000*CHOOSE(CONTROL!$C$42, 500, 500)*CHOOSE(CONTROL!$C$42, 0.275, 0.275)*CHOOSE(CONTROL!$C$42, 30, 30))/1000000</f>
        <v>4.125</v>
      </c>
      <c r="W364" s="56">
        <f>(1000*CHOOSE(CONTROL!$C$42, 0.1146, 0.1146)*CHOOSE(CONTROL!$C$42, 121.5, 121.5)*CHOOSE(CONTROL!$C$42, 30, 30))/1000000</f>
        <v>0.417717</v>
      </c>
      <c r="X364" s="56">
        <f>(30*0.1790888*145000/1000000)+(30*0.2374*100000/1000000)</f>
        <v>1.4912362799999999</v>
      </c>
      <c r="Y364" s="56"/>
      <c r="Z364" s="17"/>
      <c r="AA364" s="55"/>
      <c r="AB364" s="48">
        <f>(B364*141.293+C364*267.993+D364*115.016+E364*189.698+F364*40+G364*85+H364*0+I364*100+J364*300)/(141.293+267.993+115.016+189.698+0+40+85+100+300)</f>
        <v>17.2964500937046</v>
      </c>
      <c r="AC364" s="45">
        <f>(M364*'RAP TEMPLATE-GAS AVAILABILITY'!O363+N364*'RAP TEMPLATE-GAS AVAILABILITY'!P363+O364*'RAP TEMPLATE-GAS AVAILABILITY'!Q363+P364*'RAP TEMPLATE-GAS AVAILABILITY'!R363)/('RAP TEMPLATE-GAS AVAILABILITY'!O363+'RAP TEMPLATE-GAS AVAILABILITY'!P363+'RAP TEMPLATE-GAS AVAILABILITY'!Q363+'RAP TEMPLATE-GAS AVAILABILITY'!R363)</f>
        <v>17.012034532374098</v>
      </c>
    </row>
    <row r="365" spans="1:29" ht="15.75" x14ac:dyDescent="0.25">
      <c r="A365" s="14">
        <v>52017</v>
      </c>
      <c r="B365" s="17">
        <f>CHOOSE(CONTROL!$C$42, 17.3631, 17.3631) * CHOOSE(CONTROL!$C$21, $C$9, 100%, $E$9)</f>
        <v>17.363099999999999</v>
      </c>
      <c r="C365" s="17">
        <f>CHOOSE(CONTROL!$C$42, 17.3712, 17.3712) * CHOOSE(CONTROL!$C$21, $C$9, 100%, $E$9)</f>
        <v>17.371200000000002</v>
      </c>
      <c r="D365" s="17">
        <f>CHOOSE(CONTROL!$C$42, 17.6422, 17.6422) * CHOOSE(CONTROL!$C$21, $C$9, 100%, $E$9)</f>
        <v>17.642199999999999</v>
      </c>
      <c r="E365" s="17">
        <f>CHOOSE(CONTROL!$C$42, 17.6737, 17.6737) * CHOOSE(CONTROL!$C$21, $C$9, 100%, $E$9)</f>
        <v>17.6737</v>
      </c>
      <c r="F365" s="17">
        <f>CHOOSE(CONTROL!$C$42, 17.3813, 17.3813)*CHOOSE(CONTROL!$C$21, $C$9, 100%, $E$9)</f>
        <v>17.3813</v>
      </c>
      <c r="G365" s="17">
        <f>CHOOSE(CONTROL!$C$42, 17.3979, 17.3979)*CHOOSE(CONTROL!$C$21, $C$9, 100%, $E$9)</f>
        <v>17.3979</v>
      </c>
      <c r="H365" s="17">
        <f>CHOOSE(CONTROL!$C$42, 17.6623, 17.6623) * CHOOSE(CONTROL!$C$21, $C$9, 100%, $E$9)</f>
        <v>17.662299999999998</v>
      </c>
      <c r="I365" s="17">
        <f>CHOOSE(CONTROL!$C$42, 17.4374, 17.4374)* CHOOSE(CONTROL!$C$21, $C$9, 100%, $E$9)</f>
        <v>17.4374</v>
      </c>
      <c r="J365" s="17">
        <f>CHOOSE(CONTROL!$C$42, 17.3743, 17.3743)* CHOOSE(CONTROL!$C$21, $C$9, 100%, $E$9)</f>
        <v>17.374300000000002</v>
      </c>
      <c r="K365" s="52">
        <f>CHOOSE(CONTROL!$C$42, 17.4332, 17.4332) * CHOOSE(CONTROL!$C$21, $C$9, 100%, $E$9)</f>
        <v>17.433199999999999</v>
      </c>
      <c r="L365" s="17">
        <f>CHOOSE(CONTROL!$C$42, 18.2493, 18.2493) * CHOOSE(CONTROL!$C$21, $C$9, 100%, $E$9)</f>
        <v>18.249300000000002</v>
      </c>
      <c r="M365" s="17">
        <f>CHOOSE(CONTROL!$C$42, 17.0695, 17.0695) * CHOOSE(CONTROL!$C$21, $C$9, 100%, $E$9)</f>
        <v>17.069500000000001</v>
      </c>
      <c r="N365" s="17">
        <f>CHOOSE(CONTROL!$C$42, 17.0858, 17.0858) * CHOOSE(CONTROL!$C$21, $C$9, 100%, $E$9)</f>
        <v>17.085799999999999</v>
      </c>
      <c r="O365" s="17">
        <f>CHOOSE(CONTROL!$C$42, 17.3523, 17.3523) * CHOOSE(CONTROL!$C$21, $C$9, 100%, $E$9)</f>
        <v>17.3523</v>
      </c>
      <c r="P365" s="17">
        <f>CHOOSE(CONTROL!$C$42, 17.1305, 17.1305) * CHOOSE(CONTROL!$C$21, $C$9, 100%, $E$9)</f>
        <v>17.130500000000001</v>
      </c>
      <c r="Q365" s="17">
        <f>CHOOSE(CONTROL!$C$42, 17.947, 17.947) * CHOOSE(CONTROL!$C$21, $C$9, 100%, $E$9)</f>
        <v>17.946999999999999</v>
      </c>
      <c r="R365" s="17">
        <f>CHOOSE(CONTROL!$C$42, 18.5789, 18.5789) * CHOOSE(CONTROL!$C$21, $C$9, 100%, $E$9)</f>
        <v>18.578900000000001</v>
      </c>
      <c r="S365" s="17">
        <f>CHOOSE(CONTROL!$C$42, 16.6736, 16.6736) * CHOOSE(CONTROL!$C$21, $C$9, 100%, $E$9)</f>
        <v>16.6736</v>
      </c>
      <c r="T36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65" s="56">
        <f>(1000*CHOOSE(CONTROL!$C$42, 695, 695)*CHOOSE(CONTROL!$C$42, 0.5599, 0.5599)*CHOOSE(CONTROL!$C$42, 31, 31))/1000000</f>
        <v>12.063045499999998</v>
      </c>
      <c r="V365" s="56">
        <f>(1000*CHOOSE(CONTROL!$C$42, 500, 500)*CHOOSE(CONTROL!$C$42, 0.275, 0.275)*CHOOSE(CONTROL!$C$42, 31, 31))/1000000</f>
        <v>4.2625000000000002</v>
      </c>
      <c r="W365" s="56">
        <f>(1000*CHOOSE(CONTROL!$C$42, 0.1146, 0.1146)*CHOOSE(CONTROL!$C$42, 121.5, 121.5)*CHOOSE(CONTROL!$C$42, 31, 31))/1000000</f>
        <v>0.43164089999999994</v>
      </c>
      <c r="X365" s="56">
        <f>(31*0.1790888*145000/1000000)+(31*0.2374*100000/1000000)</f>
        <v>1.5409441560000001</v>
      </c>
      <c r="Y365" s="56"/>
      <c r="Z365" s="17"/>
      <c r="AA365" s="55"/>
      <c r="AB365" s="48">
        <f>(B365*194.205+C365*267.466+D365*133.845+E365*153.484+F365*40+G365*85+H365*0+I365*100+J365*300)/(194.205+267.466+133.845+153.484+0+40+85+100+300)</f>
        <v>17.442904352040816</v>
      </c>
      <c r="AC365" s="45">
        <f>(M365*'RAP TEMPLATE-GAS AVAILABILITY'!O364+N365*'RAP TEMPLATE-GAS AVAILABILITY'!P364+O365*'RAP TEMPLATE-GAS AVAILABILITY'!Q364+P365*'RAP TEMPLATE-GAS AVAILABILITY'!R364)/('RAP TEMPLATE-GAS AVAILABILITY'!O364+'RAP TEMPLATE-GAS AVAILABILITY'!P364+'RAP TEMPLATE-GAS AVAILABILITY'!Q364+'RAP TEMPLATE-GAS AVAILABILITY'!R364)</f>
        <v>17.161376258992806</v>
      </c>
    </row>
    <row r="366" spans="1:29" ht="15.75" x14ac:dyDescent="0.25">
      <c r="A366" s="14">
        <v>52047</v>
      </c>
      <c r="B366" s="17">
        <f>CHOOSE(CONTROL!$C$42, 17.8553, 17.8553) * CHOOSE(CONTROL!$C$21, $C$9, 100%, $E$9)</f>
        <v>17.8553</v>
      </c>
      <c r="C366" s="17">
        <f>CHOOSE(CONTROL!$C$42, 17.8633, 17.8633) * CHOOSE(CONTROL!$C$21, $C$9, 100%, $E$9)</f>
        <v>17.863299999999999</v>
      </c>
      <c r="D366" s="17">
        <f>CHOOSE(CONTROL!$C$42, 18.1344, 18.1344) * CHOOSE(CONTROL!$C$21, $C$9, 100%, $E$9)</f>
        <v>18.134399999999999</v>
      </c>
      <c r="E366" s="17">
        <f>CHOOSE(CONTROL!$C$42, 18.1659, 18.1659) * CHOOSE(CONTROL!$C$21, $C$9, 100%, $E$9)</f>
        <v>18.165900000000001</v>
      </c>
      <c r="F366" s="17">
        <f>CHOOSE(CONTROL!$C$42, 17.8738, 17.8738)*CHOOSE(CONTROL!$C$21, $C$9, 100%, $E$9)</f>
        <v>17.873799999999999</v>
      </c>
      <c r="G366" s="17">
        <f>CHOOSE(CONTROL!$C$42, 17.8905, 17.8905)*CHOOSE(CONTROL!$C$21, $C$9, 100%, $E$9)</f>
        <v>17.890499999999999</v>
      </c>
      <c r="H366" s="17">
        <f>CHOOSE(CONTROL!$C$42, 18.1545, 18.1545) * CHOOSE(CONTROL!$C$21, $C$9, 100%, $E$9)</f>
        <v>18.154499999999999</v>
      </c>
      <c r="I366" s="17">
        <f>CHOOSE(CONTROL!$C$42, 17.9311, 17.9311)* CHOOSE(CONTROL!$C$21, $C$9, 100%, $E$9)</f>
        <v>17.931100000000001</v>
      </c>
      <c r="J366" s="17">
        <f>CHOOSE(CONTROL!$C$42, 17.8668, 17.8668)* CHOOSE(CONTROL!$C$21, $C$9, 100%, $E$9)</f>
        <v>17.866800000000001</v>
      </c>
      <c r="K366" s="52">
        <f>CHOOSE(CONTROL!$C$42, 17.9269, 17.9269) * CHOOSE(CONTROL!$C$21, $C$9, 100%, $E$9)</f>
        <v>17.9269</v>
      </c>
      <c r="L366" s="17">
        <f>CHOOSE(CONTROL!$C$42, 18.7415, 18.7415) * CHOOSE(CONTROL!$C$21, $C$9, 100%, $E$9)</f>
        <v>18.741499999999998</v>
      </c>
      <c r="M366" s="17">
        <f>CHOOSE(CONTROL!$C$42, 17.5531, 17.5531) * CHOOSE(CONTROL!$C$21, $C$9, 100%, $E$9)</f>
        <v>17.553100000000001</v>
      </c>
      <c r="N366" s="17">
        <f>CHOOSE(CONTROL!$C$42, 17.5695, 17.5695) * CHOOSE(CONTROL!$C$21, $C$9, 100%, $E$9)</f>
        <v>17.569500000000001</v>
      </c>
      <c r="O366" s="17">
        <f>CHOOSE(CONTROL!$C$42, 17.8357, 17.8357) * CHOOSE(CONTROL!$C$21, $C$9, 100%, $E$9)</f>
        <v>17.835699999999999</v>
      </c>
      <c r="P366" s="17">
        <f>CHOOSE(CONTROL!$C$42, 17.6154, 17.6154) * CHOOSE(CONTROL!$C$21, $C$9, 100%, $E$9)</f>
        <v>17.615400000000001</v>
      </c>
      <c r="Q366" s="17">
        <f>CHOOSE(CONTROL!$C$42, 18.4304, 18.4304) * CHOOSE(CONTROL!$C$21, $C$9, 100%, $E$9)</f>
        <v>18.430399999999999</v>
      </c>
      <c r="R366" s="17">
        <f>CHOOSE(CONTROL!$C$42, 19.0634, 19.0634) * CHOOSE(CONTROL!$C$21, $C$9, 100%, $E$9)</f>
        <v>19.063400000000001</v>
      </c>
      <c r="S366" s="17">
        <f>CHOOSE(CONTROL!$C$42, 17.1465, 17.1465) * CHOOSE(CONTROL!$C$21, $C$9, 100%, $E$9)</f>
        <v>17.1465</v>
      </c>
      <c r="T36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66" s="56">
        <f>(1000*CHOOSE(CONTROL!$C$42, 695, 695)*CHOOSE(CONTROL!$C$42, 0.5599, 0.5599)*CHOOSE(CONTROL!$C$42, 30, 30))/1000000</f>
        <v>11.673914999999997</v>
      </c>
      <c r="V366" s="56">
        <f>(1000*CHOOSE(CONTROL!$C$42, 500, 500)*CHOOSE(CONTROL!$C$42, 0.275, 0.275)*CHOOSE(CONTROL!$C$42, 30, 30))/1000000</f>
        <v>4.125</v>
      </c>
      <c r="W366" s="56">
        <f>(1000*CHOOSE(CONTROL!$C$42, 0.1146, 0.1146)*CHOOSE(CONTROL!$C$42, 121.5, 121.5)*CHOOSE(CONTROL!$C$42, 30, 30))/1000000</f>
        <v>0.417717</v>
      </c>
      <c r="X366" s="56">
        <f>(30*0.1790888*145000/1000000)+(30*0.2374*100000/1000000)</f>
        <v>1.4912362799999999</v>
      </c>
      <c r="Y366" s="56"/>
      <c r="Z366" s="17"/>
      <c r="AA366" s="55"/>
      <c r="AB366" s="48">
        <f>(B366*194.205+C366*267.466+D366*133.845+E366*153.484+F366*40+G366*85+H366*0+I366*100+J366*300)/(194.205+267.466+133.845+153.484+0+40+85+100+300)</f>
        <v>17.935307847645213</v>
      </c>
      <c r="AC366" s="45">
        <f>(M366*'RAP TEMPLATE-GAS AVAILABILITY'!O365+N366*'RAP TEMPLATE-GAS AVAILABILITY'!P365+O366*'RAP TEMPLATE-GAS AVAILABILITY'!Q365+P366*'RAP TEMPLATE-GAS AVAILABILITY'!R365)/('RAP TEMPLATE-GAS AVAILABILITY'!O365+'RAP TEMPLATE-GAS AVAILABILITY'!P365+'RAP TEMPLATE-GAS AVAILABILITY'!Q365+'RAP TEMPLATE-GAS AVAILABILITY'!R365)</f>
        <v>17.64513021582734</v>
      </c>
    </row>
    <row r="367" spans="1:29" ht="15.75" x14ac:dyDescent="0.25">
      <c r="A367" s="14">
        <v>52078</v>
      </c>
      <c r="B367" s="17">
        <f>CHOOSE(CONTROL!$C$42, 17.513, 17.513) * CHOOSE(CONTROL!$C$21, $C$9, 100%, $E$9)</f>
        <v>17.513000000000002</v>
      </c>
      <c r="C367" s="17">
        <f>CHOOSE(CONTROL!$C$42, 17.521, 17.521) * CHOOSE(CONTROL!$C$21, $C$9, 100%, $E$9)</f>
        <v>17.521000000000001</v>
      </c>
      <c r="D367" s="17">
        <f>CHOOSE(CONTROL!$C$42, 17.7921, 17.7921) * CHOOSE(CONTROL!$C$21, $C$9, 100%, $E$9)</f>
        <v>17.792100000000001</v>
      </c>
      <c r="E367" s="17">
        <f>CHOOSE(CONTROL!$C$42, 17.8235, 17.8235) * CHOOSE(CONTROL!$C$21, $C$9, 100%, $E$9)</f>
        <v>17.823499999999999</v>
      </c>
      <c r="F367" s="17">
        <f>CHOOSE(CONTROL!$C$42, 17.5319, 17.5319)*CHOOSE(CONTROL!$C$21, $C$9, 100%, $E$9)</f>
        <v>17.5319</v>
      </c>
      <c r="G367" s="17">
        <f>CHOOSE(CONTROL!$C$42, 17.5487, 17.5487)*CHOOSE(CONTROL!$C$21, $C$9, 100%, $E$9)</f>
        <v>17.5487</v>
      </c>
      <c r="H367" s="17">
        <f>CHOOSE(CONTROL!$C$42, 17.8122, 17.8122) * CHOOSE(CONTROL!$C$21, $C$9, 100%, $E$9)</f>
        <v>17.812200000000001</v>
      </c>
      <c r="I367" s="17">
        <f>CHOOSE(CONTROL!$C$42, 17.5877, 17.5877)* CHOOSE(CONTROL!$C$21, $C$9, 100%, $E$9)</f>
        <v>17.587700000000002</v>
      </c>
      <c r="J367" s="17">
        <f>CHOOSE(CONTROL!$C$42, 17.5249, 17.5249)* CHOOSE(CONTROL!$C$21, $C$9, 100%, $E$9)</f>
        <v>17.524899999999999</v>
      </c>
      <c r="K367" s="52">
        <f>CHOOSE(CONTROL!$C$42, 17.5835, 17.5835) * CHOOSE(CONTROL!$C$21, $C$9, 100%, $E$9)</f>
        <v>17.583500000000001</v>
      </c>
      <c r="L367" s="17">
        <f>CHOOSE(CONTROL!$C$42, 18.3992, 18.3992) * CHOOSE(CONTROL!$C$21, $C$9, 100%, $E$9)</f>
        <v>18.3992</v>
      </c>
      <c r="M367" s="17">
        <f>CHOOSE(CONTROL!$C$42, 17.2173, 17.2173) * CHOOSE(CONTROL!$C$21, $C$9, 100%, $E$9)</f>
        <v>17.217300000000002</v>
      </c>
      <c r="N367" s="17">
        <f>CHOOSE(CONTROL!$C$42, 17.2339, 17.2339) * CHOOSE(CONTROL!$C$21, $C$9, 100%, $E$9)</f>
        <v>17.233899999999998</v>
      </c>
      <c r="O367" s="17">
        <f>CHOOSE(CONTROL!$C$42, 17.4995, 17.4995) * CHOOSE(CONTROL!$C$21, $C$9, 100%, $E$9)</f>
        <v>17.499500000000001</v>
      </c>
      <c r="P367" s="17">
        <f>CHOOSE(CONTROL!$C$42, 17.2782, 17.2782) * CHOOSE(CONTROL!$C$21, $C$9, 100%, $E$9)</f>
        <v>17.278199999999998</v>
      </c>
      <c r="Q367" s="17">
        <f>CHOOSE(CONTROL!$C$42, 18.0942, 18.0942) * CHOOSE(CONTROL!$C$21, $C$9, 100%, $E$9)</f>
        <v>18.094200000000001</v>
      </c>
      <c r="R367" s="17">
        <f>CHOOSE(CONTROL!$C$42, 18.7264, 18.7264) * CHOOSE(CONTROL!$C$21, $C$9, 100%, $E$9)</f>
        <v>18.726400000000002</v>
      </c>
      <c r="S367" s="17">
        <f>CHOOSE(CONTROL!$C$42, 16.8176, 16.8176) * CHOOSE(CONTROL!$C$21, $C$9, 100%, $E$9)</f>
        <v>16.817599999999999</v>
      </c>
      <c r="T36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67" s="56">
        <f>(1000*CHOOSE(CONTROL!$C$42, 695, 695)*CHOOSE(CONTROL!$C$42, 0.5599, 0.5599)*CHOOSE(CONTROL!$C$42, 31, 31))/1000000</f>
        <v>12.063045499999998</v>
      </c>
      <c r="V367" s="56">
        <f>(1000*CHOOSE(CONTROL!$C$42, 500, 500)*CHOOSE(CONTROL!$C$42, 0.275, 0.275)*CHOOSE(CONTROL!$C$42, 31, 31))/1000000</f>
        <v>4.2625000000000002</v>
      </c>
      <c r="W367" s="56">
        <f>(1000*CHOOSE(CONTROL!$C$42, 0.1146, 0.1146)*CHOOSE(CONTROL!$C$42, 121.5, 121.5)*CHOOSE(CONTROL!$C$42, 31, 31))/1000000</f>
        <v>0.43164089999999994</v>
      </c>
      <c r="X367" s="56">
        <f>(31*0.1790888*145000/1000000)+(31*0.2374*100000/1000000)</f>
        <v>1.5409441560000001</v>
      </c>
      <c r="Y367" s="56"/>
      <c r="Z367" s="17"/>
      <c r="AA367" s="55"/>
      <c r="AB367" s="48">
        <f>(B367*194.205+C367*267.466+D367*133.845+E367*153.484+F367*40+G367*85+H367*0+I367*100+J367*300)/(194.205+267.466+133.845+153.484+0+40+85+100+300)</f>
        <v>17.59304956789639</v>
      </c>
      <c r="AC367" s="45">
        <f>(M367*'RAP TEMPLATE-GAS AVAILABILITY'!O366+N367*'RAP TEMPLATE-GAS AVAILABILITY'!P366+O367*'RAP TEMPLATE-GAS AVAILABILITY'!Q366+P367*'RAP TEMPLATE-GAS AVAILABILITY'!R366)/('RAP TEMPLATE-GAS AVAILABILITY'!O366+'RAP TEMPLATE-GAS AVAILABILITY'!P366+'RAP TEMPLATE-GAS AVAILABILITY'!Q366+'RAP TEMPLATE-GAS AVAILABILITY'!R366)</f>
        <v>17.309062589928057</v>
      </c>
    </row>
    <row r="368" spans="1:29" ht="15.75" x14ac:dyDescent="0.25">
      <c r="A368" s="14">
        <v>52109</v>
      </c>
      <c r="B368" s="17">
        <f>CHOOSE(CONTROL!$C$42, 16.6485, 16.6485) * CHOOSE(CONTROL!$C$21, $C$9, 100%, $E$9)</f>
        <v>16.648499999999999</v>
      </c>
      <c r="C368" s="17">
        <f>CHOOSE(CONTROL!$C$42, 16.6566, 16.6566) * CHOOSE(CONTROL!$C$21, $C$9, 100%, $E$9)</f>
        <v>16.656600000000001</v>
      </c>
      <c r="D368" s="17">
        <f>CHOOSE(CONTROL!$C$42, 16.9276, 16.9276) * CHOOSE(CONTROL!$C$21, $C$9, 100%, $E$9)</f>
        <v>16.927600000000002</v>
      </c>
      <c r="E368" s="17">
        <f>CHOOSE(CONTROL!$C$42, 16.9591, 16.9591) * CHOOSE(CONTROL!$C$21, $C$9, 100%, $E$9)</f>
        <v>16.959099999999999</v>
      </c>
      <c r="F368" s="17">
        <f>CHOOSE(CONTROL!$C$42, 16.6677, 16.6677)*CHOOSE(CONTROL!$C$21, $C$9, 100%, $E$9)</f>
        <v>16.6677</v>
      </c>
      <c r="G368" s="17">
        <f>CHOOSE(CONTROL!$C$42, 16.6845, 16.6845)*CHOOSE(CONTROL!$C$21, $C$9, 100%, $E$9)</f>
        <v>16.6845</v>
      </c>
      <c r="H368" s="17">
        <f>CHOOSE(CONTROL!$C$42, 16.9477, 16.9477) * CHOOSE(CONTROL!$C$21, $C$9, 100%, $E$9)</f>
        <v>16.947700000000001</v>
      </c>
      <c r="I368" s="17">
        <f>CHOOSE(CONTROL!$C$42, 16.7205, 16.7205)* CHOOSE(CONTROL!$C$21, $C$9, 100%, $E$9)</f>
        <v>16.720500000000001</v>
      </c>
      <c r="J368" s="17">
        <f>CHOOSE(CONTROL!$C$42, 16.6607, 16.6607)* CHOOSE(CONTROL!$C$21, $C$9, 100%, $E$9)</f>
        <v>16.660699999999999</v>
      </c>
      <c r="K368" s="52">
        <f>CHOOSE(CONTROL!$C$42, 16.7163, 16.7163) * CHOOSE(CONTROL!$C$21, $C$9, 100%, $E$9)</f>
        <v>16.7163</v>
      </c>
      <c r="L368" s="17">
        <f>CHOOSE(CONTROL!$C$42, 17.5347, 17.5347) * CHOOSE(CONTROL!$C$21, $C$9, 100%, $E$9)</f>
        <v>17.534700000000001</v>
      </c>
      <c r="M368" s="17">
        <f>CHOOSE(CONTROL!$C$42, 16.3687, 16.3687) * CHOOSE(CONTROL!$C$21, $C$9, 100%, $E$9)</f>
        <v>16.3687</v>
      </c>
      <c r="N368" s="17">
        <f>CHOOSE(CONTROL!$C$42, 16.3853, 16.3853) * CHOOSE(CONTROL!$C$21, $C$9, 100%, $E$9)</f>
        <v>16.385300000000001</v>
      </c>
      <c r="O368" s="17">
        <f>CHOOSE(CONTROL!$C$42, 16.6506, 16.6506) * CHOOSE(CONTROL!$C$21, $C$9, 100%, $E$9)</f>
        <v>16.650600000000001</v>
      </c>
      <c r="P368" s="17">
        <f>CHOOSE(CONTROL!$C$42, 16.4266, 16.4266) * CHOOSE(CONTROL!$C$21, $C$9, 100%, $E$9)</f>
        <v>16.426600000000001</v>
      </c>
      <c r="Q368" s="17">
        <f>CHOOSE(CONTROL!$C$42, 17.2453, 17.2453) * CHOOSE(CONTROL!$C$21, $C$9, 100%, $E$9)</f>
        <v>17.2453</v>
      </c>
      <c r="R368" s="17">
        <f>CHOOSE(CONTROL!$C$42, 17.8754, 17.8754) * CHOOSE(CONTROL!$C$21, $C$9, 100%, $E$9)</f>
        <v>17.875399999999999</v>
      </c>
      <c r="S368" s="17">
        <f>CHOOSE(CONTROL!$C$42, 15.9869, 15.9869) * CHOOSE(CONTROL!$C$21, $C$9, 100%, $E$9)</f>
        <v>15.9869</v>
      </c>
      <c r="T36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68" s="56">
        <f>(1000*CHOOSE(CONTROL!$C$42, 695, 695)*CHOOSE(CONTROL!$C$42, 0.5599, 0.5599)*CHOOSE(CONTROL!$C$42, 31, 31))/1000000</f>
        <v>12.063045499999998</v>
      </c>
      <c r="V368" s="56">
        <f>(1000*CHOOSE(CONTROL!$C$42, 500, 500)*CHOOSE(CONTROL!$C$42, 0.275, 0.275)*CHOOSE(CONTROL!$C$42, 31, 31))/1000000</f>
        <v>4.2625000000000002</v>
      </c>
      <c r="W368" s="56">
        <f>(1000*CHOOSE(CONTROL!$C$42, 0.1146, 0.1146)*CHOOSE(CONTROL!$C$42, 121.5, 121.5)*CHOOSE(CONTROL!$C$42, 31, 31))/1000000</f>
        <v>0.43164089999999994</v>
      </c>
      <c r="X368" s="56">
        <f>(31*0.1790888*145000/1000000)+(31*0.2374*100000/1000000)</f>
        <v>1.5409441560000001</v>
      </c>
      <c r="Y368" s="56"/>
      <c r="Z368" s="17"/>
      <c r="AA368" s="55"/>
      <c r="AB368" s="48">
        <f>(B368*194.205+C368*267.466+D368*133.845+E368*153.484+F368*40+G368*85+H368*0+I368*100+J368*300)/(194.205+267.466+133.845+153.484+0+40+85+100+300)</f>
        <v>16.728470757064365</v>
      </c>
      <c r="AC368" s="45">
        <f>(M368*'RAP TEMPLATE-GAS AVAILABILITY'!O367+N368*'RAP TEMPLATE-GAS AVAILABILITY'!P367+O368*'RAP TEMPLATE-GAS AVAILABILITY'!Q367+P368*'RAP TEMPLATE-GAS AVAILABILITY'!R367)/('RAP TEMPLATE-GAS AVAILABILITY'!O367+'RAP TEMPLATE-GAS AVAILABILITY'!P367+'RAP TEMPLATE-GAS AVAILABILITY'!Q367+'RAP TEMPLATE-GAS AVAILABILITY'!R367)</f>
        <v>16.459946762589929</v>
      </c>
    </row>
    <row r="369" spans="1:29" ht="15.75" x14ac:dyDescent="0.25">
      <c r="A369" s="14">
        <v>52139</v>
      </c>
      <c r="B369" s="17">
        <f>CHOOSE(CONTROL!$C$42, 15.5921, 15.5921) * CHOOSE(CONTROL!$C$21, $C$9, 100%, $E$9)</f>
        <v>15.5921</v>
      </c>
      <c r="C369" s="17">
        <f>CHOOSE(CONTROL!$C$42, 15.6001, 15.6001) * CHOOSE(CONTROL!$C$21, $C$9, 100%, $E$9)</f>
        <v>15.600099999999999</v>
      </c>
      <c r="D369" s="17">
        <f>CHOOSE(CONTROL!$C$42, 15.8712, 15.8712) * CHOOSE(CONTROL!$C$21, $C$9, 100%, $E$9)</f>
        <v>15.8712</v>
      </c>
      <c r="E369" s="17">
        <f>CHOOSE(CONTROL!$C$42, 15.9026, 15.9026) * CHOOSE(CONTROL!$C$21, $C$9, 100%, $E$9)</f>
        <v>15.9026</v>
      </c>
      <c r="F369" s="17">
        <f>CHOOSE(CONTROL!$C$42, 15.6113, 15.6113)*CHOOSE(CONTROL!$C$21, $C$9, 100%, $E$9)</f>
        <v>15.6113</v>
      </c>
      <c r="G369" s="17">
        <f>CHOOSE(CONTROL!$C$42, 15.6282, 15.6282)*CHOOSE(CONTROL!$C$21, $C$9, 100%, $E$9)</f>
        <v>15.6282</v>
      </c>
      <c r="H369" s="17">
        <f>CHOOSE(CONTROL!$C$42, 15.8913, 15.8913) * CHOOSE(CONTROL!$C$21, $C$9, 100%, $E$9)</f>
        <v>15.891299999999999</v>
      </c>
      <c r="I369" s="17">
        <f>CHOOSE(CONTROL!$C$42, 15.6608, 15.6608)* CHOOSE(CONTROL!$C$21, $C$9, 100%, $E$9)</f>
        <v>15.6608</v>
      </c>
      <c r="J369" s="17">
        <f>CHOOSE(CONTROL!$C$42, 15.6043, 15.6043)* CHOOSE(CONTROL!$C$21, $C$9, 100%, $E$9)</f>
        <v>15.6043</v>
      </c>
      <c r="K369" s="52">
        <f>CHOOSE(CONTROL!$C$42, 15.6566, 15.6566) * CHOOSE(CONTROL!$C$21, $C$9, 100%, $E$9)</f>
        <v>15.656599999999999</v>
      </c>
      <c r="L369" s="17">
        <f>CHOOSE(CONTROL!$C$42, 16.4783, 16.4783) * CHOOSE(CONTROL!$C$21, $C$9, 100%, $E$9)</f>
        <v>16.478300000000001</v>
      </c>
      <c r="M369" s="17">
        <f>CHOOSE(CONTROL!$C$42, 15.3313, 15.3313) * CHOOSE(CONTROL!$C$21, $C$9, 100%, $E$9)</f>
        <v>15.331300000000001</v>
      </c>
      <c r="N369" s="17">
        <f>CHOOSE(CONTROL!$C$42, 15.3479, 15.3479) * CHOOSE(CONTROL!$C$21, $C$9, 100%, $E$9)</f>
        <v>15.347899999999999</v>
      </c>
      <c r="O369" s="17">
        <f>CHOOSE(CONTROL!$C$42, 15.6131, 15.6131) * CHOOSE(CONTROL!$C$21, $C$9, 100%, $E$9)</f>
        <v>15.613099999999999</v>
      </c>
      <c r="P369" s="17">
        <f>CHOOSE(CONTROL!$C$42, 15.386, 15.386) * CHOOSE(CONTROL!$C$21, $C$9, 100%, $E$9)</f>
        <v>15.385999999999999</v>
      </c>
      <c r="Q369" s="17">
        <f>CHOOSE(CONTROL!$C$42, 16.2078, 16.2078) * CHOOSE(CONTROL!$C$21, $C$9, 100%, $E$9)</f>
        <v>16.207799999999999</v>
      </c>
      <c r="R369" s="17">
        <f>CHOOSE(CONTROL!$C$42, 16.8353, 16.8353) * CHOOSE(CONTROL!$C$21, $C$9, 100%, $E$9)</f>
        <v>16.8353</v>
      </c>
      <c r="S369" s="17">
        <f>CHOOSE(CONTROL!$C$42, 14.9718, 14.9718) * CHOOSE(CONTROL!$C$21, $C$9, 100%, $E$9)</f>
        <v>14.9718</v>
      </c>
      <c r="T36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69" s="56">
        <f>(1000*CHOOSE(CONTROL!$C$42, 695, 695)*CHOOSE(CONTROL!$C$42, 0.5599, 0.5599)*CHOOSE(CONTROL!$C$42, 30, 30))/1000000</f>
        <v>11.673914999999997</v>
      </c>
      <c r="V369" s="56">
        <f>(1000*CHOOSE(CONTROL!$C$42, 500, 500)*CHOOSE(CONTROL!$C$42, 0.275, 0.275)*CHOOSE(CONTROL!$C$42, 30, 30))/1000000</f>
        <v>4.125</v>
      </c>
      <c r="W369" s="56">
        <f>(1000*CHOOSE(CONTROL!$C$42, 0.1146, 0.1146)*CHOOSE(CONTROL!$C$42, 121.5, 121.5)*CHOOSE(CONTROL!$C$42, 30, 30))/1000000</f>
        <v>0.417717</v>
      </c>
      <c r="X369" s="56">
        <f>(30*0.1790888*145000/1000000)+(30*0.2374*100000/1000000)</f>
        <v>1.4912362799999999</v>
      </c>
      <c r="Y369" s="56"/>
      <c r="Z369" s="17"/>
      <c r="AA369" s="55"/>
      <c r="AB369" s="48">
        <f>(B369*194.205+C369*267.466+D369*133.845+E369*153.484+F369*40+G369*85+H369*0+I369*100+J369*300)/(194.205+267.466+133.845+153.484+0+40+85+100+300)</f>
        <v>15.67178536067504</v>
      </c>
      <c r="AC369" s="45">
        <f>(M369*'RAP TEMPLATE-GAS AVAILABILITY'!O368+N369*'RAP TEMPLATE-GAS AVAILABILITY'!P368+O369*'RAP TEMPLATE-GAS AVAILABILITY'!Q368+P369*'RAP TEMPLATE-GAS AVAILABILITY'!R368)/('RAP TEMPLATE-GAS AVAILABILITY'!O368+'RAP TEMPLATE-GAS AVAILABILITY'!P368+'RAP TEMPLATE-GAS AVAILABILITY'!Q368+'RAP TEMPLATE-GAS AVAILABILITY'!R368)</f>
        <v>15.422058273381294</v>
      </c>
    </row>
    <row r="370" spans="1:29" ht="15.75" x14ac:dyDescent="0.25">
      <c r="A370" s="14">
        <v>52170</v>
      </c>
      <c r="B370" s="17">
        <f>CHOOSE(CONTROL!$C$42, 15.274, 15.274) * CHOOSE(CONTROL!$C$21, $C$9, 100%, $E$9)</f>
        <v>15.273999999999999</v>
      </c>
      <c r="C370" s="17">
        <f>CHOOSE(CONTROL!$C$42, 15.2793, 15.2793) * CHOOSE(CONTROL!$C$21, $C$9, 100%, $E$9)</f>
        <v>15.279299999999999</v>
      </c>
      <c r="D370" s="17">
        <f>CHOOSE(CONTROL!$C$42, 15.5553, 15.5553) * CHOOSE(CONTROL!$C$21, $C$9, 100%, $E$9)</f>
        <v>15.555300000000001</v>
      </c>
      <c r="E370" s="17">
        <f>CHOOSE(CONTROL!$C$42, 15.5845, 15.5845) * CHOOSE(CONTROL!$C$21, $C$9, 100%, $E$9)</f>
        <v>15.5845</v>
      </c>
      <c r="F370" s="17">
        <f>CHOOSE(CONTROL!$C$42, 15.2954, 15.2954)*CHOOSE(CONTROL!$C$21, $C$9, 100%, $E$9)</f>
        <v>15.295400000000001</v>
      </c>
      <c r="G370" s="17">
        <f>CHOOSE(CONTROL!$C$42, 15.3122, 15.3122)*CHOOSE(CONTROL!$C$21, $C$9, 100%, $E$9)</f>
        <v>15.312200000000001</v>
      </c>
      <c r="H370" s="17">
        <f>CHOOSE(CONTROL!$C$42, 15.5749, 15.5749) * CHOOSE(CONTROL!$C$21, $C$9, 100%, $E$9)</f>
        <v>15.5749</v>
      </c>
      <c r="I370" s="17">
        <f>CHOOSE(CONTROL!$C$42, 15.3434, 15.3434)* CHOOSE(CONTROL!$C$21, $C$9, 100%, $E$9)</f>
        <v>15.343400000000001</v>
      </c>
      <c r="J370" s="17">
        <f>CHOOSE(CONTROL!$C$42, 15.2884, 15.2884)* CHOOSE(CONTROL!$C$21, $C$9, 100%, $E$9)</f>
        <v>15.288399999999999</v>
      </c>
      <c r="K370" s="52">
        <f>CHOOSE(CONTROL!$C$42, 15.3392, 15.3392) * CHOOSE(CONTROL!$C$21, $C$9, 100%, $E$9)</f>
        <v>15.3392</v>
      </c>
      <c r="L370" s="17">
        <f>CHOOSE(CONTROL!$C$42, 16.1619, 16.1619) * CHOOSE(CONTROL!$C$21, $C$9, 100%, $E$9)</f>
        <v>16.161899999999999</v>
      </c>
      <c r="M370" s="17">
        <f>CHOOSE(CONTROL!$C$42, 15.0211, 15.0211) * CHOOSE(CONTROL!$C$21, $C$9, 100%, $E$9)</f>
        <v>15.021100000000001</v>
      </c>
      <c r="N370" s="17">
        <f>CHOOSE(CONTROL!$C$42, 15.0376, 15.0376) * CHOOSE(CONTROL!$C$21, $C$9, 100%, $E$9)</f>
        <v>15.037599999999999</v>
      </c>
      <c r="O370" s="17">
        <f>CHOOSE(CONTROL!$C$42, 15.3025, 15.3025) * CHOOSE(CONTROL!$C$21, $C$9, 100%, $E$9)</f>
        <v>15.3025</v>
      </c>
      <c r="P370" s="17">
        <f>CHOOSE(CONTROL!$C$42, 15.0744, 15.0744) * CHOOSE(CONTROL!$C$21, $C$9, 100%, $E$9)</f>
        <v>15.074400000000001</v>
      </c>
      <c r="Q370" s="17">
        <f>CHOOSE(CONTROL!$C$42, 15.8972, 15.8972) * CHOOSE(CONTROL!$C$21, $C$9, 100%, $E$9)</f>
        <v>15.8972</v>
      </c>
      <c r="R370" s="17">
        <f>CHOOSE(CONTROL!$C$42, 16.5239, 16.5239) * CHOOSE(CONTROL!$C$21, $C$9, 100%, $E$9)</f>
        <v>16.523900000000001</v>
      </c>
      <c r="S370" s="17">
        <f>CHOOSE(CONTROL!$C$42, 14.6678, 14.6678) * CHOOSE(CONTROL!$C$21, $C$9, 100%, $E$9)</f>
        <v>14.6678</v>
      </c>
      <c r="T37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70" s="56">
        <f>(1000*CHOOSE(CONTROL!$C$42, 695, 695)*CHOOSE(CONTROL!$C$42, 0.5599, 0.5599)*CHOOSE(CONTROL!$C$42, 31, 31))/1000000</f>
        <v>12.063045499999998</v>
      </c>
      <c r="V370" s="56">
        <f>(1000*CHOOSE(CONTROL!$C$42, 500, 500)*CHOOSE(CONTROL!$C$42, 0.275, 0.275)*CHOOSE(CONTROL!$C$42, 31, 31))/1000000</f>
        <v>4.2625000000000002</v>
      </c>
      <c r="W370" s="56">
        <f>(1000*CHOOSE(CONTROL!$C$42, 0.1146, 0.1146)*CHOOSE(CONTROL!$C$42, 121.5, 121.5)*CHOOSE(CONTROL!$C$42, 31, 31))/1000000</f>
        <v>0.43164089999999994</v>
      </c>
      <c r="X370" s="56">
        <f>(31*0.1790888*145000/1000000)+(31*0.2374*100000/1000000)</f>
        <v>1.5409441560000001</v>
      </c>
      <c r="Y370" s="56"/>
      <c r="Z370" s="17"/>
      <c r="AA370" s="55"/>
      <c r="AB370" s="48">
        <f>(B370*131.881+C370*277.167+D370*79.08+E370*225.872+F370*40+G370*85+H370*0+I370*100+J370*300)/(131.881+277.167+79.08+225.872+0+40+85+100+300)</f>
        <v>15.362144023486682</v>
      </c>
      <c r="AC370" s="45">
        <f>(M370*'RAP TEMPLATE-GAS AVAILABILITY'!O369+N370*'RAP TEMPLATE-GAS AVAILABILITY'!P369+O370*'RAP TEMPLATE-GAS AVAILABILITY'!Q369+P370*'RAP TEMPLATE-GAS AVAILABILITY'!R369)/('RAP TEMPLATE-GAS AVAILABILITY'!O369+'RAP TEMPLATE-GAS AVAILABILITY'!P369+'RAP TEMPLATE-GAS AVAILABILITY'!Q369+'RAP TEMPLATE-GAS AVAILABILITY'!R369)</f>
        <v>15.111521582733815</v>
      </c>
    </row>
    <row r="371" spans="1:29" ht="15.75" x14ac:dyDescent="0.25">
      <c r="A371" s="14">
        <v>52200</v>
      </c>
      <c r="B371" s="17">
        <f>CHOOSE(CONTROL!$C$42, 15.6757, 15.6757) * CHOOSE(CONTROL!$C$21, $C$9, 100%, $E$9)</f>
        <v>15.675700000000001</v>
      </c>
      <c r="C371" s="17">
        <f>CHOOSE(CONTROL!$C$42, 15.6808, 15.6808) * CHOOSE(CONTROL!$C$21, $C$9, 100%, $E$9)</f>
        <v>15.6808</v>
      </c>
      <c r="D371" s="17">
        <f>CHOOSE(CONTROL!$C$42, 15.7758, 15.7758) * CHOOSE(CONTROL!$C$21, $C$9, 100%, $E$9)</f>
        <v>15.7758</v>
      </c>
      <c r="E371" s="17">
        <f>CHOOSE(CONTROL!$C$42, 15.8099, 15.8099) * CHOOSE(CONTROL!$C$21, $C$9, 100%, $E$9)</f>
        <v>15.809900000000001</v>
      </c>
      <c r="F371" s="17">
        <f>CHOOSE(CONTROL!$C$42, 15.6996, 15.6996)*CHOOSE(CONTROL!$C$21, $C$9, 100%, $E$9)</f>
        <v>15.6996</v>
      </c>
      <c r="G371" s="17">
        <f>CHOOSE(CONTROL!$C$42, 15.7167, 15.7167)*CHOOSE(CONTROL!$C$21, $C$9, 100%, $E$9)</f>
        <v>15.716699999999999</v>
      </c>
      <c r="H371" s="17">
        <f>CHOOSE(CONTROL!$C$42, 15.7991, 15.7991) * CHOOSE(CONTROL!$C$21, $C$9, 100%, $E$9)</f>
        <v>15.799099999999999</v>
      </c>
      <c r="I371" s="17">
        <f>CHOOSE(CONTROL!$C$42, 15.7447, 15.7447)* CHOOSE(CONTROL!$C$21, $C$9, 100%, $E$9)</f>
        <v>15.7447</v>
      </c>
      <c r="J371" s="17">
        <f>CHOOSE(CONTROL!$C$42, 15.6926, 15.6926)* CHOOSE(CONTROL!$C$21, $C$9, 100%, $E$9)</f>
        <v>15.692600000000001</v>
      </c>
      <c r="K371" s="52">
        <f>CHOOSE(CONTROL!$C$42, 15.7405, 15.7405) * CHOOSE(CONTROL!$C$21, $C$9, 100%, $E$9)</f>
        <v>15.740500000000001</v>
      </c>
      <c r="L371" s="17">
        <f>CHOOSE(CONTROL!$C$42, 16.3861, 16.3861) * CHOOSE(CONTROL!$C$21, $C$9, 100%, $E$9)</f>
        <v>16.386099999999999</v>
      </c>
      <c r="M371" s="17">
        <f>CHOOSE(CONTROL!$C$42, 15.418, 15.418) * CHOOSE(CONTROL!$C$21, $C$9, 100%, $E$9)</f>
        <v>15.417999999999999</v>
      </c>
      <c r="N371" s="17">
        <f>CHOOSE(CONTROL!$C$42, 15.4348, 15.4348) * CHOOSE(CONTROL!$C$21, $C$9, 100%, $E$9)</f>
        <v>15.434799999999999</v>
      </c>
      <c r="O371" s="17">
        <f>CHOOSE(CONTROL!$C$42, 15.5226, 15.5226) * CHOOSE(CONTROL!$C$21, $C$9, 100%, $E$9)</f>
        <v>15.522600000000001</v>
      </c>
      <c r="P371" s="17">
        <f>CHOOSE(CONTROL!$C$42, 15.4684, 15.4684) * CHOOSE(CONTROL!$C$21, $C$9, 100%, $E$9)</f>
        <v>15.468400000000001</v>
      </c>
      <c r="Q371" s="17">
        <f>CHOOSE(CONTROL!$C$42, 16.1173, 16.1173) * CHOOSE(CONTROL!$C$21, $C$9, 100%, $E$9)</f>
        <v>16.1173</v>
      </c>
      <c r="R371" s="17">
        <f>CHOOSE(CONTROL!$C$42, 16.7446, 16.7446) * CHOOSE(CONTROL!$C$21, $C$9, 100%, $E$9)</f>
        <v>16.744599999999998</v>
      </c>
      <c r="S371" s="17">
        <f>CHOOSE(CONTROL!$C$42, 15.0542, 15.0542) * CHOOSE(CONTROL!$C$21, $C$9, 100%, $E$9)</f>
        <v>15.0542</v>
      </c>
      <c r="T37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71" s="56">
        <f>(1000*CHOOSE(CONTROL!$C$42, 695, 695)*CHOOSE(CONTROL!$C$42, 0.5599, 0.5599)*CHOOSE(CONTROL!$C$42, 30, 30))/1000000</f>
        <v>11.673914999999997</v>
      </c>
      <c r="V371" s="56">
        <f>(1000*CHOOSE(CONTROL!$C$42, 500, 500)*CHOOSE(CONTROL!$C$42, 0.275, 0.275)*CHOOSE(CONTROL!$C$42, 30, 30))/1000000</f>
        <v>4.125</v>
      </c>
      <c r="W371" s="56">
        <f>(1000*CHOOSE(CONTROL!$C$42, 0.1146, 0.1146)*CHOOSE(CONTROL!$C$42, 121.5, 121.5)*CHOOSE(CONTROL!$C$42, 30, 30))/1000000</f>
        <v>0.417717</v>
      </c>
      <c r="X371" s="56">
        <f>(30*0.2374*100000/1000000)</f>
        <v>0.71220000000000006</v>
      </c>
      <c r="Y371" s="56"/>
      <c r="Z371" s="17"/>
      <c r="AA371" s="55"/>
      <c r="AB371" s="48">
        <f>(B371*122.58+C371*297.941+D371*89.177+E371*140.302+F371*40+G371*60+H371*0+I371*100+J371*300)/(122.58+297.941+89.177+140.302+0+40+60+100+300)</f>
        <v>15.714535343652173</v>
      </c>
      <c r="AC371" s="45">
        <f>(M371*'RAP TEMPLATE-GAS AVAILABILITY'!O370+N371*'RAP TEMPLATE-GAS AVAILABILITY'!P370+O371*'RAP TEMPLATE-GAS AVAILABILITY'!Q370+P371*'RAP TEMPLATE-GAS AVAILABILITY'!R370)/('RAP TEMPLATE-GAS AVAILABILITY'!O370+'RAP TEMPLATE-GAS AVAILABILITY'!P370+'RAP TEMPLATE-GAS AVAILABILITY'!Q370+'RAP TEMPLATE-GAS AVAILABILITY'!R370)</f>
        <v>15.473627338129496</v>
      </c>
    </row>
    <row r="372" spans="1:29" ht="15.75" x14ac:dyDescent="0.25">
      <c r="A372" s="14">
        <v>52231</v>
      </c>
      <c r="B372" s="17">
        <f>CHOOSE(CONTROL!$C$42, 16.7438, 16.7438) * CHOOSE(CONTROL!$C$21, $C$9, 100%, $E$9)</f>
        <v>16.7438</v>
      </c>
      <c r="C372" s="17">
        <f>CHOOSE(CONTROL!$C$42, 16.7489, 16.7489) * CHOOSE(CONTROL!$C$21, $C$9, 100%, $E$9)</f>
        <v>16.748899999999999</v>
      </c>
      <c r="D372" s="17">
        <f>CHOOSE(CONTROL!$C$42, 16.8439, 16.8439) * CHOOSE(CONTROL!$C$21, $C$9, 100%, $E$9)</f>
        <v>16.843900000000001</v>
      </c>
      <c r="E372" s="17">
        <f>CHOOSE(CONTROL!$C$42, 16.878, 16.878) * CHOOSE(CONTROL!$C$21, $C$9, 100%, $E$9)</f>
        <v>16.878</v>
      </c>
      <c r="F372" s="17">
        <f>CHOOSE(CONTROL!$C$42, 16.77, 16.77)*CHOOSE(CONTROL!$C$21, $C$9, 100%, $E$9)</f>
        <v>16.77</v>
      </c>
      <c r="G372" s="17">
        <f>CHOOSE(CONTROL!$C$42, 16.7877, 16.7877)*CHOOSE(CONTROL!$C$21, $C$9, 100%, $E$9)</f>
        <v>16.787700000000001</v>
      </c>
      <c r="H372" s="17">
        <f>CHOOSE(CONTROL!$C$42, 16.8672, 16.8672) * CHOOSE(CONTROL!$C$21, $C$9, 100%, $E$9)</f>
        <v>16.8672</v>
      </c>
      <c r="I372" s="17">
        <f>CHOOSE(CONTROL!$C$42, 16.8162, 16.8162)* CHOOSE(CONTROL!$C$21, $C$9, 100%, $E$9)</f>
        <v>16.816199999999998</v>
      </c>
      <c r="J372" s="17">
        <f>CHOOSE(CONTROL!$C$42, 16.763, 16.763)* CHOOSE(CONTROL!$C$21, $C$9, 100%, $E$9)</f>
        <v>16.763000000000002</v>
      </c>
      <c r="K372" s="52">
        <f>CHOOSE(CONTROL!$C$42, 16.812, 16.812) * CHOOSE(CONTROL!$C$21, $C$9, 100%, $E$9)</f>
        <v>16.812000000000001</v>
      </c>
      <c r="L372" s="17">
        <f>CHOOSE(CONTROL!$C$42, 17.4542, 17.4542) * CHOOSE(CONTROL!$C$21, $C$9, 100%, $E$9)</f>
        <v>17.4542</v>
      </c>
      <c r="M372" s="17">
        <f>CHOOSE(CONTROL!$C$42, 16.4692, 16.4692) * CHOOSE(CONTROL!$C$21, $C$9, 100%, $E$9)</f>
        <v>16.469200000000001</v>
      </c>
      <c r="N372" s="17">
        <f>CHOOSE(CONTROL!$C$42, 16.4866, 16.4866) * CHOOSE(CONTROL!$C$21, $C$9, 100%, $E$9)</f>
        <v>16.486599999999999</v>
      </c>
      <c r="O372" s="17">
        <f>CHOOSE(CONTROL!$C$42, 16.5715, 16.5715) * CHOOSE(CONTROL!$C$21, $C$9, 100%, $E$9)</f>
        <v>16.5715</v>
      </c>
      <c r="P372" s="17">
        <f>CHOOSE(CONTROL!$C$42, 16.5206, 16.5206) * CHOOSE(CONTROL!$C$21, $C$9, 100%, $E$9)</f>
        <v>16.520600000000002</v>
      </c>
      <c r="Q372" s="17">
        <f>CHOOSE(CONTROL!$C$42, 17.1662, 17.1662) * CHOOSE(CONTROL!$C$21, $C$9, 100%, $E$9)</f>
        <v>17.1662</v>
      </c>
      <c r="R372" s="17">
        <f>CHOOSE(CONTROL!$C$42, 17.7961, 17.7961) * CHOOSE(CONTROL!$C$21, $C$9, 100%, $E$9)</f>
        <v>17.796099999999999</v>
      </c>
      <c r="S372" s="17">
        <f>CHOOSE(CONTROL!$C$42, 16.0806, 16.0806) * CHOOSE(CONTROL!$C$21, $C$9, 100%, $E$9)</f>
        <v>16.0806</v>
      </c>
      <c r="T37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72" s="56">
        <f>(1000*CHOOSE(CONTROL!$C$42, 695, 695)*CHOOSE(CONTROL!$C$42, 0.5599, 0.5599)*CHOOSE(CONTROL!$C$42, 31, 31))/1000000</f>
        <v>12.063045499999998</v>
      </c>
      <c r="V372" s="56">
        <f>(1000*CHOOSE(CONTROL!$C$42, 500, 500)*CHOOSE(CONTROL!$C$42, 0.275, 0.275)*CHOOSE(CONTROL!$C$42, 31, 31))/1000000</f>
        <v>4.2625000000000002</v>
      </c>
      <c r="W372" s="56">
        <f>(1000*CHOOSE(CONTROL!$C$42, 0.1146, 0.1146)*CHOOSE(CONTROL!$C$42, 121.5, 121.5)*CHOOSE(CONTROL!$C$42, 31, 31))/1000000</f>
        <v>0.43164089999999994</v>
      </c>
      <c r="X372" s="56">
        <f>(31*0.2374*100000/1000000)</f>
        <v>0.73594000000000004</v>
      </c>
      <c r="Y372" s="56"/>
      <c r="Z372" s="17"/>
      <c r="AA372" s="55"/>
      <c r="AB372" s="48">
        <f>(B372*122.58+C372*297.941+D372*89.177+E372*140.302+F372*40+G372*60+H372*0+I372*100+J372*300)/(122.58+297.941+89.177+140.302+0+40+60+100+300)</f>
        <v>16.783762300173912</v>
      </c>
      <c r="AC372" s="45">
        <f>(M372*'RAP TEMPLATE-GAS AVAILABILITY'!O371+N372*'RAP TEMPLATE-GAS AVAILABILITY'!P371+O372*'RAP TEMPLATE-GAS AVAILABILITY'!Q371+P372*'RAP TEMPLATE-GAS AVAILABILITY'!R371)/('RAP TEMPLATE-GAS AVAILABILITY'!O371+'RAP TEMPLATE-GAS AVAILABILITY'!P371+'RAP TEMPLATE-GAS AVAILABILITY'!Q371+'RAP TEMPLATE-GAS AVAILABILITY'!R371)</f>
        <v>16.523963309352517</v>
      </c>
    </row>
    <row r="373" spans="1:29" ht="15.75" x14ac:dyDescent="0.25">
      <c r="A373" s="14">
        <v>52262</v>
      </c>
      <c r="B373" s="17">
        <f>CHOOSE(CONTROL!$C$42, 18.1311, 18.1311) * CHOOSE(CONTROL!$C$21, $C$9, 100%, $E$9)</f>
        <v>18.1311</v>
      </c>
      <c r="C373" s="17">
        <f>CHOOSE(CONTROL!$C$42, 18.1361, 18.1361) * CHOOSE(CONTROL!$C$21, $C$9, 100%, $E$9)</f>
        <v>18.136099999999999</v>
      </c>
      <c r="D373" s="17">
        <f>CHOOSE(CONTROL!$C$42, 18.2546, 18.2546) * CHOOSE(CONTROL!$C$21, $C$9, 100%, $E$9)</f>
        <v>18.2546</v>
      </c>
      <c r="E373" s="17">
        <f>CHOOSE(CONTROL!$C$42, 18.2887, 18.2887) * CHOOSE(CONTROL!$C$21, $C$9, 100%, $E$9)</f>
        <v>18.288699999999999</v>
      </c>
      <c r="F373" s="17">
        <f>CHOOSE(CONTROL!$C$42, 18.1515, 18.1515)*CHOOSE(CONTROL!$C$21, $C$9, 100%, $E$9)</f>
        <v>18.151499999999999</v>
      </c>
      <c r="G373" s="17">
        <f>CHOOSE(CONTROL!$C$42, 18.1683, 18.1683)*CHOOSE(CONTROL!$C$21, $C$9, 100%, $E$9)</f>
        <v>18.168299999999999</v>
      </c>
      <c r="H373" s="17">
        <f>CHOOSE(CONTROL!$C$42, 18.2779, 18.2779) * CHOOSE(CONTROL!$C$21, $C$9, 100%, $E$9)</f>
        <v>18.277899999999999</v>
      </c>
      <c r="I373" s="17">
        <f>CHOOSE(CONTROL!$C$42, 18.2115, 18.2115)* CHOOSE(CONTROL!$C$21, $C$9, 100%, $E$9)</f>
        <v>18.211500000000001</v>
      </c>
      <c r="J373" s="17">
        <f>CHOOSE(CONTROL!$C$42, 18.1445, 18.1445)* CHOOSE(CONTROL!$C$21, $C$9, 100%, $E$9)</f>
        <v>18.144500000000001</v>
      </c>
      <c r="K373" s="52">
        <f>CHOOSE(CONTROL!$C$42, 18.2072, 18.2072) * CHOOSE(CONTROL!$C$21, $C$9, 100%, $E$9)</f>
        <v>18.2072</v>
      </c>
      <c r="L373" s="17">
        <f>CHOOSE(CONTROL!$C$42, 18.8649, 18.8649) * CHOOSE(CONTROL!$C$21, $C$9, 100%, $E$9)</f>
        <v>18.864899999999999</v>
      </c>
      <c r="M373" s="17">
        <f>CHOOSE(CONTROL!$C$42, 17.8258, 17.8258) * CHOOSE(CONTROL!$C$21, $C$9, 100%, $E$9)</f>
        <v>17.825800000000001</v>
      </c>
      <c r="N373" s="17">
        <f>CHOOSE(CONTROL!$C$42, 17.8423, 17.8423) * CHOOSE(CONTROL!$C$21, $C$9, 100%, $E$9)</f>
        <v>17.842300000000002</v>
      </c>
      <c r="O373" s="17">
        <f>CHOOSE(CONTROL!$C$42, 17.9568, 17.9568) * CHOOSE(CONTROL!$C$21, $C$9, 100%, $E$9)</f>
        <v>17.956800000000001</v>
      </c>
      <c r="P373" s="17">
        <f>CHOOSE(CONTROL!$C$42, 17.8907, 17.8907) * CHOOSE(CONTROL!$C$21, $C$9, 100%, $E$9)</f>
        <v>17.890699999999999</v>
      </c>
      <c r="Q373" s="17">
        <f>CHOOSE(CONTROL!$C$42, 18.5515, 18.5515) * CHOOSE(CONTROL!$C$21, $C$9, 100%, $E$9)</f>
        <v>18.551500000000001</v>
      </c>
      <c r="R373" s="17">
        <f>CHOOSE(CONTROL!$C$42, 19.1849, 19.1849) * CHOOSE(CONTROL!$C$21, $C$9, 100%, $E$9)</f>
        <v>19.184899999999999</v>
      </c>
      <c r="S373" s="17">
        <f>CHOOSE(CONTROL!$C$42, 17.4136, 17.4136) * CHOOSE(CONTROL!$C$21, $C$9, 100%, $E$9)</f>
        <v>17.413599999999999</v>
      </c>
      <c r="T37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73" s="56">
        <f>(1000*CHOOSE(CONTROL!$C$42, 695, 695)*CHOOSE(CONTROL!$C$42, 0.5599, 0.5599)*CHOOSE(CONTROL!$C$42, 31, 31))/1000000</f>
        <v>12.063045499999998</v>
      </c>
      <c r="V373" s="56">
        <f>(1000*CHOOSE(CONTROL!$C$42, 500, 500)*CHOOSE(CONTROL!$C$42, 0.275, 0.275)*CHOOSE(CONTROL!$C$42, 31, 31))/1000000</f>
        <v>4.2625000000000002</v>
      </c>
      <c r="W373" s="56">
        <f>(1000*CHOOSE(CONTROL!$C$42, 0.1146, 0.1146)*CHOOSE(CONTROL!$C$42, 121.5, 121.5)*CHOOSE(CONTROL!$C$42, 31, 31))/1000000</f>
        <v>0.43164089999999994</v>
      </c>
      <c r="X373" s="56">
        <f>(31*0.2374*100000/1000000)</f>
        <v>0.73594000000000004</v>
      </c>
      <c r="Y373" s="56"/>
      <c r="Z373" s="17"/>
      <c r="AA373" s="55"/>
      <c r="AB373" s="48">
        <f>(B373*122.58+C373*297.941+D373*89.177+E373*140.302+F373*40+G373*60+H373*0+I373*100+J373*300)/(122.58+297.941+89.177+140.302+0+40+60+100+300)</f>
        <v>18.174337095391301</v>
      </c>
      <c r="AC373" s="45">
        <f>(M373*'RAP TEMPLATE-GAS AVAILABILITY'!O372+N373*'RAP TEMPLATE-GAS AVAILABILITY'!P372+O373*'RAP TEMPLATE-GAS AVAILABILITY'!Q372+P373*'RAP TEMPLATE-GAS AVAILABILITY'!R372)/('RAP TEMPLATE-GAS AVAILABILITY'!O372+'RAP TEMPLATE-GAS AVAILABILITY'!P372+'RAP TEMPLATE-GAS AVAILABILITY'!Q372+'RAP TEMPLATE-GAS AVAILABILITY'!R372)</f>
        <v>17.895461870503599</v>
      </c>
    </row>
    <row r="374" spans="1:29" ht="15.75" x14ac:dyDescent="0.25">
      <c r="A374" s="14">
        <v>52290</v>
      </c>
      <c r="B374" s="17">
        <f>CHOOSE(CONTROL!$C$42, 18.4537, 18.4537) * CHOOSE(CONTROL!$C$21, $C$9, 100%, $E$9)</f>
        <v>18.453700000000001</v>
      </c>
      <c r="C374" s="17">
        <f>CHOOSE(CONTROL!$C$42, 18.4587, 18.4587) * CHOOSE(CONTROL!$C$21, $C$9, 100%, $E$9)</f>
        <v>18.4587</v>
      </c>
      <c r="D374" s="17">
        <f>CHOOSE(CONTROL!$C$42, 18.5772, 18.5772) * CHOOSE(CONTROL!$C$21, $C$9, 100%, $E$9)</f>
        <v>18.577200000000001</v>
      </c>
      <c r="E374" s="17">
        <f>CHOOSE(CONTROL!$C$42, 18.6113, 18.6113) * CHOOSE(CONTROL!$C$21, $C$9, 100%, $E$9)</f>
        <v>18.6113</v>
      </c>
      <c r="F374" s="17">
        <f>CHOOSE(CONTROL!$C$42, 18.474, 18.474)*CHOOSE(CONTROL!$C$21, $C$9, 100%, $E$9)</f>
        <v>18.474</v>
      </c>
      <c r="G374" s="17">
        <f>CHOOSE(CONTROL!$C$42, 18.4909, 18.4909)*CHOOSE(CONTROL!$C$21, $C$9, 100%, $E$9)</f>
        <v>18.4909</v>
      </c>
      <c r="H374" s="17">
        <f>CHOOSE(CONTROL!$C$42, 18.6005, 18.6005) * CHOOSE(CONTROL!$C$21, $C$9, 100%, $E$9)</f>
        <v>18.6005</v>
      </c>
      <c r="I374" s="17">
        <f>CHOOSE(CONTROL!$C$42, 18.5351, 18.5351)* CHOOSE(CONTROL!$C$21, $C$9, 100%, $E$9)</f>
        <v>18.5351</v>
      </c>
      <c r="J374" s="17">
        <f>CHOOSE(CONTROL!$C$42, 18.467, 18.467)* CHOOSE(CONTROL!$C$21, $C$9, 100%, $E$9)</f>
        <v>18.466999999999999</v>
      </c>
      <c r="K374" s="52">
        <f>CHOOSE(CONTROL!$C$42, 18.5308, 18.5308) * CHOOSE(CONTROL!$C$21, $C$9, 100%, $E$9)</f>
        <v>18.530799999999999</v>
      </c>
      <c r="L374" s="17">
        <f>CHOOSE(CONTROL!$C$42, 19.1875, 19.1875) * CHOOSE(CONTROL!$C$21, $C$9, 100%, $E$9)</f>
        <v>19.1875</v>
      </c>
      <c r="M374" s="17">
        <f>CHOOSE(CONTROL!$C$42, 18.1426, 18.1426) * CHOOSE(CONTROL!$C$21, $C$9, 100%, $E$9)</f>
        <v>18.142600000000002</v>
      </c>
      <c r="N374" s="17">
        <f>CHOOSE(CONTROL!$C$42, 18.1591, 18.1591) * CHOOSE(CONTROL!$C$21, $C$9, 100%, $E$9)</f>
        <v>18.159099999999999</v>
      </c>
      <c r="O374" s="17">
        <f>CHOOSE(CONTROL!$C$42, 18.2736, 18.2736) * CHOOSE(CONTROL!$C$21, $C$9, 100%, $E$9)</f>
        <v>18.273599999999998</v>
      </c>
      <c r="P374" s="17">
        <f>CHOOSE(CONTROL!$C$42, 18.2084, 18.2084) * CHOOSE(CONTROL!$C$21, $C$9, 100%, $E$9)</f>
        <v>18.208400000000001</v>
      </c>
      <c r="Q374" s="17">
        <f>CHOOSE(CONTROL!$C$42, 18.8683, 18.8683) * CHOOSE(CONTROL!$C$21, $C$9, 100%, $E$9)</f>
        <v>18.868300000000001</v>
      </c>
      <c r="R374" s="17">
        <f>CHOOSE(CONTROL!$C$42, 19.5025, 19.5025) * CHOOSE(CONTROL!$C$21, $C$9, 100%, $E$9)</f>
        <v>19.502500000000001</v>
      </c>
      <c r="S374" s="17">
        <f>CHOOSE(CONTROL!$C$42, 17.7236, 17.7236) * CHOOSE(CONTROL!$C$21, $C$9, 100%, $E$9)</f>
        <v>17.723600000000001</v>
      </c>
      <c r="T37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74" s="56">
        <f>(1000*CHOOSE(CONTROL!$C$42, 695, 695)*CHOOSE(CONTROL!$C$42, 0.5599, 0.5599)*CHOOSE(CONTROL!$C$42, 28, 28))/1000000</f>
        <v>10.895653999999999</v>
      </c>
      <c r="V374" s="56">
        <f>(1000*CHOOSE(CONTROL!$C$42, 500, 500)*CHOOSE(CONTROL!$C$42, 0.275, 0.275)*CHOOSE(CONTROL!$C$42, 28, 28))/1000000</f>
        <v>3.85</v>
      </c>
      <c r="W374" s="56">
        <f>(1000*CHOOSE(CONTROL!$C$42, 0.1146, 0.1146)*CHOOSE(CONTROL!$C$42, 121.5, 121.5)*CHOOSE(CONTROL!$C$42, 28, 28))/1000000</f>
        <v>0.38986920000000003</v>
      </c>
      <c r="X374" s="56">
        <f>(28*0.2374*100000/1000000)</f>
        <v>0.66471999999999998</v>
      </c>
      <c r="Y374" s="56"/>
      <c r="Z374" s="17"/>
      <c r="AA374" s="55"/>
      <c r="AB374" s="48">
        <f>(B374*122.58+C374*297.941+D374*89.177+E374*140.302+F374*40+G374*60+H374*0+I374*100+J374*300)/(122.58+297.941+89.177+140.302+0+40+60+100+300)</f>
        <v>18.496994486695648</v>
      </c>
      <c r="AC374" s="45">
        <f>(M374*'RAP TEMPLATE-GAS AVAILABILITY'!O373+N374*'RAP TEMPLATE-GAS AVAILABILITY'!P373+O374*'RAP TEMPLATE-GAS AVAILABILITY'!Q373+P374*'RAP TEMPLATE-GAS AVAILABILITY'!R373)/('RAP TEMPLATE-GAS AVAILABILITY'!O373+'RAP TEMPLATE-GAS AVAILABILITY'!P373+'RAP TEMPLATE-GAS AVAILABILITY'!Q373+'RAP TEMPLATE-GAS AVAILABILITY'!R373)</f>
        <v>18.212391366906473</v>
      </c>
    </row>
    <row r="375" spans="1:29" ht="15.75" x14ac:dyDescent="0.25">
      <c r="A375" s="14">
        <v>52321</v>
      </c>
      <c r="B375" s="17">
        <f>CHOOSE(CONTROL!$C$42, 17.93, 17.93) * CHOOSE(CONTROL!$C$21, $C$9, 100%, $E$9)</f>
        <v>17.93</v>
      </c>
      <c r="C375" s="17">
        <f>CHOOSE(CONTROL!$C$42, 17.9351, 17.9351) * CHOOSE(CONTROL!$C$21, $C$9, 100%, $E$9)</f>
        <v>17.935099999999998</v>
      </c>
      <c r="D375" s="17">
        <f>CHOOSE(CONTROL!$C$42, 18.0535, 18.0535) * CHOOSE(CONTROL!$C$21, $C$9, 100%, $E$9)</f>
        <v>18.0535</v>
      </c>
      <c r="E375" s="17">
        <f>CHOOSE(CONTROL!$C$42, 18.0876, 18.0876) * CHOOSE(CONTROL!$C$21, $C$9, 100%, $E$9)</f>
        <v>18.087599999999998</v>
      </c>
      <c r="F375" s="17">
        <f>CHOOSE(CONTROL!$C$42, 17.9497, 17.9497)*CHOOSE(CONTROL!$C$21, $C$9, 100%, $E$9)</f>
        <v>17.9497</v>
      </c>
      <c r="G375" s="17">
        <f>CHOOSE(CONTROL!$C$42, 17.9664, 17.9664)*CHOOSE(CONTROL!$C$21, $C$9, 100%, $E$9)</f>
        <v>17.9664</v>
      </c>
      <c r="H375" s="17">
        <f>CHOOSE(CONTROL!$C$42, 18.0768, 18.0768) * CHOOSE(CONTROL!$C$21, $C$9, 100%, $E$9)</f>
        <v>18.076799999999999</v>
      </c>
      <c r="I375" s="17">
        <f>CHOOSE(CONTROL!$C$42, 18.0098, 18.0098)* CHOOSE(CONTROL!$C$21, $C$9, 100%, $E$9)</f>
        <v>18.009799999999998</v>
      </c>
      <c r="J375" s="17">
        <f>CHOOSE(CONTROL!$C$42, 17.9427, 17.9427)* CHOOSE(CONTROL!$C$21, $C$9, 100%, $E$9)</f>
        <v>17.942699999999999</v>
      </c>
      <c r="K375" s="52">
        <f>CHOOSE(CONTROL!$C$42, 18.0056, 18.0056) * CHOOSE(CONTROL!$C$21, $C$9, 100%, $E$9)</f>
        <v>18.005600000000001</v>
      </c>
      <c r="L375" s="17">
        <f>CHOOSE(CONTROL!$C$42, 18.6638, 18.6638) * CHOOSE(CONTROL!$C$21, $C$9, 100%, $E$9)</f>
        <v>18.663799999999998</v>
      </c>
      <c r="M375" s="17">
        <f>CHOOSE(CONTROL!$C$42, 17.6277, 17.6277) * CHOOSE(CONTROL!$C$21, $C$9, 100%, $E$9)</f>
        <v>17.627700000000001</v>
      </c>
      <c r="N375" s="17">
        <f>CHOOSE(CONTROL!$C$42, 17.644, 17.644) * CHOOSE(CONTROL!$C$21, $C$9, 100%, $E$9)</f>
        <v>17.643999999999998</v>
      </c>
      <c r="O375" s="17">
        <f>CHOOSE(CONTROL!$C$42, 17.7594, 17.7594) * CHOOSE(CONTROL!$C$21, $C$9, 100%, $E$9)</f>
        <v>17.759399999999999</v>
      </c>
      <c r="P375" s="17">
        <f>CHOOSE(CONTROL!$C$42, 17.6926, 17.6926) * CHOOSE(CONTROL!$C$21, $C$9, 100%, $E$9)</f>
        <v>17.692599999999999</v>
      </c>
      <c r="Q375" s="17">
        <f>CHOOSE(CONTROL!$C$42, 18.3541, 18.3541) * CHOOSE(CONTROL!$C$21, $C$9, 100%, $E$9)</f>
        <v>18.354099999999999</v>
      </c>
      <c r="R375" s="17">
        <f>CHOOSE(CONTROL!$C$42, 18.987, 18.987) * CHOOSE(CONTROL!$C$21, $C$9, 100%, $E$9)</f>
        <v>18.986999999999998</v>
      </c>
      <c r="S375" s="17">
        <f>CHOOSE(CONTROL!$C$42, 17.2204, 17.2204) * CHOOSE(CONTROL!$C$21, $C$9, 100%, $E$9)</f>
        <v>17.220400000000001</v>
      </c>
      <c r="T37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75" s="56">
        <f>(1000*CHOOSE(CONTROL!$C$42, 695, 695)*CHOOSE(CONTROL!$C$42, 0.5599, 0.5599)*CHOOSE(CONTROL!$C$42, 31, 31))/1000000</f>
        <v>12.063045499999998</v>
      </c>
      <c r="V375" s="56">
        <f>(1000*CHOOSE(CONTROL!$C$42, 500, 500)*CHOOSE(CONTROL!$C$42, 0.275, 0.275)*CHOOSE(CONTROL!$C$42, 31, 31))/1000000</f>
        <v>4.2625000000000002</v>
      </c>
      <c r="W375" s="56">
        <f>(1000*CHOOSE(CONTROL!$C$42, 0.1146, 0.1146)*CHOOSE(CONTROL!$C$42, 121.5, 121.5)*CHOOSE(CONTROL!$C$42, 31, 31))/1000000</f>
        <v>0.43164089999999994</v>
      </c>
      <c r="X375" s="56">
        <f>(31*0.2374*100000/1000000)</f>
        <v>0.73594000000000004</v>
      </c>
      <c r="Y375" s="56"/>
      <c r="Z375" s="17"/>
      <c r="AA375" s="55"/>
      <c r="AB375" s="48">
        <f>(B375*122.58+C375*297.941+D375*89.177+E375*140.302+F375*40+G375*60+H375*0+I375*100+J375*300)/(122.58+297.941+89.177+140.302+0+40+60+100+300)</f>
        <v>17.972962133739127</v>
      </c>
      <c r="AC375" s="45">
        <f>(M375*'RAP TEMPLATE-GAS AVAILABILITY'!O374+N375*'RAP TEMPLATE-GAS AVAILABILITY'!P374+O375*'RAP TEMPLATE-GAS AVAILABILITY'!Q374+P375*'RAP TEMPLATE-GAS AVAILABILITY'!R374)/('RAP TEMPLATE-GAS AVAILABILITY'!O374+'RAP TEMPLATE-GAS AVAILABILITY'!P374+'RAP TEMPLATE-GAS AVAILABILITY'!Q374+'RAP TEMPLATE-GAS AVAILABILITY'!R374)</f>
        <v>17.697667625899282</v>
      </c>
    </row>
    <row r="376" spans="1:29" ht="15.75" x14ac:dyDescent="0.25">
      <c r="A376" s="14">
        <v>52351</v>
      </c>
      <c r="B376" s="17">
        <f>CHOOSE(CONTROL!$C$42, 17.8774, 17.8774) * CHOOSE(CONTROL!$C$21, $C$9, 100%, $E$9)</f>
        <v>17.877400000000002</v>
      </c>
      <c r="C376" s="17">
        <f>CHOOSE(CONTROL!$C$42, 17.8819, 17.8819) * CHOOSE(CONTROL!$C$21, $C$9, 100%, $E$9)</f>
        <v>17.881900000000002</v>
      </c>
      <c r="D376" s="17">
        <f>CHOOSE(CONTROL!$C$42, 18.1561, 18.1561) * CHOOSE(CONTROL!$C$21, $C$9, 100%, $E$9)</f>
        <v>18.156099999999999</v>
      </c>
      <c r="E376" s="17">
        <f>CHOOSE(CONTROL!$C$42, 18.1882, 18.1882) * CHOOSE(CONTROL!$C$21, $C$9, 100%, $E$9)</f>
        <v>18.188199999999998</v>
      </c>
      <c r="F376" s="17">
        <f>CHOOSE(CONTROL!$C$42, 17.8967, 17.8967)*CHOOSE(CONTROL!$C$21, $C$9, 100%, $E$9)</f>
        <v>17.896699999999999</v>
      </c>
      <c r="G376" s="17">
        <f>CHOOSE(CONTROL!$C$42, 17.913, 17.913)*CHOOSE(CONTROL!$C$21, $C$9, 100%, $E$9)</f>
        <v>17.913</v>
      </c>
      <c r="H376" s="17">
        <f>CHOOSE(CONTROL!$C$42, 18.178, 18.178) * CHOOSE(CONTROL!$C$21, $C$9, 100%, $E$9)</f>
        <v>18.178000000000001</v>
      </c>
      <c r="I376" s="17">
        <f>CHOOSE(CONTROL!$C$42, 17.9546, 17.9546)* CHOOSE(CONTROL!$C$21, $C$9, 100%, $E$9)</f>
        <v>17.954599999999999</v>
      </c>
      <c r="J376" s="17">
        <f>CHOOSE(CONTROL!$C$42, 17.8897, 17.8897)* CHOOSE(CONTROL!$C$21, $C$9, 100%, $E$9)</f>
        <v>17.889700000000001</v>
      </c>
      <c r="K376" s="52">
        <f>CHOOSE(CONTROL!$C$42, 17.9504, 17.9504) * CHOOSE(CONTROL!$C$21, $C$9, 100%, $E$9)</f>
        <v>17.950399999999998</v>
      </c>
      <c r="L376" s="17">
        <f>CHOOSE(CONTROL!$C$42, 18.765, 18.765) * CHOOSE(CONTROL!$C$21, $C$9, 100%, $E$9)</f>
        <v>18.765000000000001</v>
      </c>
      <c r="M376" s="17">
        <f>CHOOSE(CONTROL!$C$42, 17.5756, 17.5756) * CHOOSE(CONTROL!$C$21, $C$9, 100%, $E$9)</f>
        <v>17.575600000000001</v>
      </c>
      <c r="N376" s="17">
        <f>CHOOSE(CONTROL!$C$42, 17.5916, 17.5916) * CHOOSE(CONTROL!$C$21, $C$9, 100%, $E$9)</f>
        <v>17.5916</v>
      </c>
      <c r="O376" s="17">
        <f>CHOOSE(CONTROL!$C$42, 17.8587, 17.8587) * CHOOSE(CONTROL!$C$21, $C$9, 100%, $E$9)</f>
        <v>17.858699999999999</v>
      </c>
      <c r="P376" s="17">
        <f>CHOOSE(CONTROL!$C$42, 17.6385, 17.6385) * CHOOSE(CONTROL!$C$21, $C$9, 100%, $E$9)</f>
        <v>17.638500000000001</v>
      </c>
      <c r="Q376" s="17">
        <f>CHOOSE(CONTROL!$C$42, 18.4534, 18.4534) * CHOOSE(CONTROL!$C$21, $C$9, 100%, $E$9)</f>
        <v>18.453399999999998</v>
      </c>
      <c r="R376" s="17">
        <f>CHOOSE(CONTROL!$C$42, 19.0865, 19.0865) * CHOOSE(CONTROL!$C$21, $C$9, 100%, $E$9)</f>
        <v>19.086500000000001</v>
      </c>
      <c r="S376" s="17">
        <f>CHOOSE(CONTROL!$C$42, 17.1691, 17.1691) * CHOOSE(CONTROL!$C$21, $C$9, 100%, $E$9)</f>
        <v>17.1691</v>
      </c>
      <c r="T37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76" s="56">
        <f>(1000*CHOOSE(CONTROL!$C$42, 695, 695)*CHOOSE(CONTROL!$C$42, 0.5599, 0.5599)*CHOOSE(CONTROL!$C$42, 30, 30))/1000000</f>
        <v>11.673914999999997</v>
      </c>
      <c r="V376" s="56">
        <f>(1000*CHOOSE(CONTROL!$C$42, 500, 500)*CHOOSE(CONTROL!$C$42, 0.275, 0.275)*CHOOSE(CONTROL!$C$42, 30, 30))/1000000</f>
        <v>4.125</v>
      </c>
      <c r="W376" s="56">
        <f>(1000*CHOOSE(CONTROL!$C$42, 0.1146, 0.1146)*CHOOSE(CONTROL!$C$42, 121.5, 121.5)*CHOOSE(CONTROL!$C$42, 30, 30))/1000000</f>
        <v>0.417717</v>
      </c>
      <c r="X376" s="56">
        <f>(30*0.1790888*145000/1000000)+(30*0.2374*100000/1000000)</f>
        <v>1.4912362799999999</v>
      </c>
      <c r="Y376" s="56"/>
      <c r="Z376" s="17"/>
      <c r="AA376" s="55"/>
      <c r="AB376" s="48">
        <f>(B376*141.293+C376*267.993+D376*115.016+E376*189.698+F376*40+G376*85+H376*0+I376*100+J376*300)/(141.293+267.993+115.016+189.698+0+40+85+100+300)</f>
        <v>17.96410465383374</v>
      </c>
      <c r="AC376" s="45">
        <f>(M376*'RAP TEMPLATE-GAS AVAILABILITY'!O375+N376*'RAP TEMPLATE-GAS AVAILABILITY'!P375+O376*'RAP TEMPLATE-GAS AVAILABILITY'!Q375+P376*'RAP TEMPLATE-GAS AVAILABILITY'!R375)/('RAP TEMPLATE-GAS AVAILABILITY'!O375+'RAP TEMPLATE-GAS AVAILABILITY'!P375+'RAP TEMPLATE-GAS AVAILABILITY'!Q375+'RAP TEMPLATE-GAS AVAILABILITY'!R375)</f>
        <v>17.667764748201442</v>
      </c>
    </row>
    <row r="377" spans="1:29" ht="15.75" x14ac:dyDescent="0.25">
      <c r="A377" s="14">
        <v>52382</v>
      </c>
      <c r="B377" s="17">
        <f>CHOOSE(CONTROL!$C$42, 18.0365, 18.0365) * CHOOSE(CONTROL!$C$21, $C$9, 100%, $E$9)</f>
        <v>18.0365</v>
      </c>
      <c r="C377" s="17">
        <f>CHOOSE(CONTROL!$C$42, 18.0445, 18.0445) * CHOOSE(CONTROL!$C$21, $C$9, 100%, $E$9)</f>
        <v>18.044499999999999</v>
      </c>
      <c r="D377" s="17">
        <f>CHOOSE(CONTROL!$C$42, 18.3155, 18.3155) * CHOOSE(CONTROL!$C$21, $C$9, 100%, $E$9)</f>
        <v>18.3155</v>
      </c>
      <c r="E377" s="17">
        <f>CHOOSE(CONTROL!$C$42, 18.347, 18.347) * CHOOSE(CONTROL!$C$21, $C$9, 100%, $E$9)</f>
        <v>18.347000000000001</v>
      </c>
      <c r="F377" s="17">
        <f>CHOOSE(CONTROL!$C$42, 18.0546, 18.0546)*CHOOSE(CONTROL!$C$21, $C$9, 100%, $E$9)</f>
        <v>18.054600000000001</v>
      </c>
      <c r="G377" s="17">
        <f>CHOOSE(CONTROL!$C$42, 18.0713, 18.0713)*CHOOSE(CONTROL!$C$21, $C$9, 100%, $E$9)</f>
        <v>18.071300000000001</v>
      </c>
      <c r="H377" s="17">
        <f>CHOOSE(CONTROL!$C$42, 18.3356, 18.3356) * CHOOSE(CONTROL!$C$21, $C$9, 100%, $E$9)</f>
        <v>18.335599999999999</v>
      </c>
      <c r="I377" s="17">
        <f>CHOOSE(CONTROL!$C$42, 18.1128, 18.1128)* CHOOSE(CONTROL!$C$21, $C$9, 100%, $E$9)</f>
        <v>18.1128</v>
      </c>
      <c r="J377" s="17">
        <f>CHOOSE(CONTROL!$C$42, 18.0476, 18.0476)* CHOOSE(CONTROL!$C$21, $C$9, 100%, $E$9)</f>
        <v>18.047599999999999</v>
      </c>
      <c r="K377" s="52">
        <f>CHOOSE(CONTROL!$C$42, 18.1086, 18.1086) * CHOOSE(CONTROL!$C$21, $C$9, 100%, $E$9)</f>
        <v>18.108599999999999</v>
      </c>
      <c r="L377" s="17">
        <f>CHOOSE(CONTROL!$C$42, 18.9226, 18.9226) * CHOOSE(CONTROL!$C$21, $C$9, 100%, $E$9)</f>
        <v>18.922599999999999</v>
      </c>
      <c r="M377" s="17">
        <f>CHOOSE(CONTROL!$C$42, 17.7307, 17.7307) * CHOOSE(CONTROL!$C$21, $C$9, 100%, $E$9)</f>
        <v>17.730699999999999</v>
      </c>
      <c r="N377" s="17">
        <f>CHOOSE(CONTROL!$C$42, 17.747, 17.747) * CHOOSE(CONTROL!$C$21, $C$9, 100%, $E$9)</f>
        <v>17.747</v>
      </c>
      <c r="O377" s="17">
        <f>CHOOSE(CONTROL!$C$42, 18.0135, 18.0135) * CHOOSE(CONTROL!$C$21, $C$9, 100%, $E$9)</f>
        <v>18.013500000000001</v>
      </c>
      <c r="P377" s="17">
        <f>CHOOSE(CONTROL!$C$42, 17.7938, 17.7938) * CHOOSE(CONTROL!$C$21, $C$9, 100%, $E$9)</f>
        <v>17.793800000000001</v>
      </c>
      <c r="Q377" s="17">
        <f>CHOOSE(CONTROL!$C$42, 18.6082, 18.6082) * CHOOSE(CONTROL!$C$21, $C$9, 100%, $E$9)</f>
        <v>18.6082</v>
      </c>
      <c r="R377" s="17">
        <f>CHOOSE(CONTROL!$C$42, 19.2418, 19.2418) * CHOOSE(CONTROL!$C$21, $C$9, 100%, $E$9)</f>
        <v>19.241800000000001</v>
      </c>
      <c r="S377" s="17">
        <f>CHOOSE(CONTROL!$C$42, 17.3206, 17.3206) * CHOOSE(CONTROL!$C$21, $C$9, 100%, $E$9)</f>
        <v>17.320599999999999</v>
      </c>
      <c r="T37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77" s="56">
        <f>(1000*CHOOSE(CONTROL!$C$42, 695, 695)*CHOOSE(CONTROL!$C$42, 0.5599, 0.5599)*CHOOSE(CONTROL!$C$42, 31, 31))/1000000</f>
        <v>12.063045499999998</v>
      </c>
      <c r="V377" s="56">
        <f>(1000*CHOOSE(CONTROL!$C$42, 500, 500)*CHOOSE(CONTROL!$C$42, 0.275, 0.275)*CHOOSE(CONTROL!$C$42, 31, 31))/1000000</f>
        <v>4.2625000000000002</v>
      </c>
      <c r="W377" s="56">
        <f>(1000*CHOOSE(CONTROL!$C$42, 0.1146, 0.1146)*CHOOSE(CONTROL!$C$42, 121.5, 121.5)*CHOOSE(CONTROL!$C$42, 31, 31))/1000000</f>
        <v>0.43164089999999994</v>
      </c>
      <c r="X377" s="56">
        <f>(31*0.1790888*145000/1000000)+(31*0.2374*100000/1000000)</f>
        <v>1.5409441560000001</v>
      </c>
      <c r="Y377" s="56"/>
      <c r="Z377" s="17"/>
      <c r="AA377" s="55"/>
      <c r="AB377" s="48">
        <f>(B377*194.205+C377*267.466+D377*133.845+E377*153.484+F377*40+G377*85+H377*0+I377*100+J377*300)/(194.205+267.466+133.845+153.484+0+40+85+100+300)</f>
        <v>18.116391102825744</v>
      </c>
      <c r="AC377" s="45">
        <f>(M377*'RAP TEMPLATE-GAS AVAILABILITY'!O376+N377*'RAP TEMPLATE-GAS AVAILABILITY'!P376+O377*'RAP TEMPLATE-GAS AVAILABILITY'!Q376+P377*'RAP TEMPLATE-GAS AVAILABILITY'!R376)/('RAP TEMPLATE-GAS AVAILABILITY'!O376+'RAP TEMPLATE-GAS AVAILABILITY'!P376+'RAP TEMPLATE-GAS AVAILABILITY'!Q376+'RAP TEMPLATE-GAS AVAILABILITY'!R376)</f>
        <v>17.822878417266185</v>
      </c>
    </row>
    <row r="378" spans="1:29" ht="15.75" x14ac:dyDescent="0.25">
      <c r="A378" s="14">
        <v>52412</v>
      </c>
      <c r="B378" s="17">
        <f>CHOOSE(CONTROL!$C$42, 18.5478, 18.5478) * CHOOSE(CONTROL!$C$21, $C$9, 100%, $E$9)</f>
        <v>18.547799999999999</v>
      </c>
      <c r="C378" s="17">
        <f>CHOOSE(CONTROL!$C$42, 18.5558, 18.5558) * CHOOSE(CONTROL!$C$21, $C$9, 100%, $E$9)</f>
        <v>18.555800000000001</v>
      </c>
      <c r="D378" s="17">
        <f>CHOOSE(CONTROL!$C$42, 18.8268, 18.8268) * CHOOSE(CONTROL!$C$21, $C$9, 100%, $E$9)</f>
        <v>18.826799999999999</v>
      </c>
      <c r="E378" s="17">
        <f>CHOOSE(CONTROL!$C$42, 18.8583, 18.8583) * CHOOSE(CONTROL!$C$21, $C$9, 100%, $E$9)</f>
        <v>18.8583</v>
      </c>
      <c r="F378" s="17">
        <f>CHOOSE(CONTROL!$C$42, 18.5662, 18.5662)*CHOOSE(CONTROL!$C$21, $C$9, 100%, $E$9)</f>
        <v>18.566199999999998</v>
      </c>
      <c r="G378" s="17">
        <f>CHOOSE(CONTROL!$C$42, 18.5829, 18.5829)*CHOOSE(CONTROL!$C$21, $C$9, 100%, $E$9)</f>
        <v>18.582899999999999</v>
      </c>
      <c r="H378" s="17">
        <f>CHOOSE(CONTROL!$C$42, 18.8469, 18.8469) * CHOOSE(CONTROL!$C$21, $C$9, 100%, $E$9)</f>
        <v>18.846900000000002</v>
      </c>
      <c r="I378" s="17">
        <f>CHOOSE(CONTROL!$C$42, 18.6257, 18.6257)* CHOOSE(CONTROL!$C$21, $C$9, 100%, $E$9)</f>
        <v>18.625699999999998</v>
      </c>
      <c r="J378" s="17">
        <f>CHOOSE(CONTROL!$C$42, 18.5592, 18.5592)* CHOOSE(CONTROL!$C$21, $C$9, 100%, $E$9)</f>
        <v>18.559200000000001</v>
      </c>
      <c r="K378" s="52">
        <f>CHOOSE(CONTROL!$C$42, 18.6215, 18.6215) * CHOOSE(CONTROL!$C$21, $C$9, 100%, $E$9)</f>
        <v>18.621500000000001</v>
      </c>
      <c r="L378" s="17">
        <f>CHOOSE(CONTROL!$C$42, 19.4339, 19.4339) * CHOOSE(CONTROL!$C$21, $C$9, 100%, $E$9)</f>
        <v>19.433900000000001</v>
      </c>
      <c r="M378" s="17">
        <f>CHOOSE(CONTROL!$C$42, 18.2331, 18.2331) * CHOOSE(CONTROL!$C$21, $C$9, 100%, $E$9)</f>
        <v>18.2331</v>
      </c>
      <c r="N378" s="17">
        <f>CHOOSE(CONTROL!$C$42, 18.2495, 18.2495) * CHOOSE(CONTROL!$C$21, $C$9, 100%, $E$9)</f>
        <v>18.249500000000001</v>
      </c>
      <c r="O378" s="17">
        <f>CHOOSE(CONTROL!$C$42, 18.5156, 18.5156) * CHOOSE(CONTROL!$C$21, $C$9, 100%, $E$9)</f>
        <v>18.515599999999999</v>
      </c>
      <c r="P378" s="17">
        <f>CHOOSE(CONTROL!$C$42, 18.2974, 18.2974) * CHOOSE(CONTROL!$C$21, $C$9, 100%, $E$9)</f>
        <v>18.2974</v>
      </c>
      <c r="Q378" s="17">
        <f>CHOOSE(CONTROL!$C$42, 19.1103, 19.1103) * CHOOSE(CONTROL!$C$21, $C$9, 100%, $E$9)</f>
        <v>19.110299999999999</v>
      </c>
      <c r="R378" s="17">
        <f>CHOOSE(CONTROL!$C$42, 19.7451, 19.7451) * CHOOSE(CONTROL!$C$21, $C$9, 100%, $E$9)</f>
        <v>19.745100000000001</v>
      </c>
      <c r="S378" s="17">
        <f>CHOOSE(CONTROL!$C$42, 17.8119, 17.8119) * CHOOSE(CONTROL!$C$21, $C$9, 100%, $E$9)</f>
        <v>17.811900000000001</v>
      </c>
      <c r="T37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78" s="56">
        <f>(1000*CHOOSE(CONTROL!$C$42, 695, 695)*CHOOSE(CONTROL!$C$42, 0.5599, 0.5599)*CHOOSE(CONTROL!$C$42, 30, 30))/1000000</f>
        <v>11.673914999999997</v>
      </c>
      <c r="V378" s="56">
        <f>(1000*CHOOSE(CONTROL!$C$42, 500, 500)*CHOOSE(CONTROL!$C$42, 0.275, 0.275)*CHOOSE(CONTROL!$C$42, 30, 30))/1000000</f>
        <v>4.125</v>
      </c>
      <c r="W378" s="56">
        <f>(1000*CHOOSE(CONTROL!$C$42, 0.1146, 0.1146)*CHOOSE(CONTROL!$C$42, 121.5, 121.5)*CHOOSE(CONTROL!$C$42, 30, 30))/1000000</f>
        <v>0.417717</v>
      </c>
      <c r="X378" s="56">
        <f>(30*0.1790888*145000/1000000)+(30*0.2374*100000/1000000)</f>
        <v>1.4912362799999999</v>
      </c>
      <c r="Y378" s="56"/>
      <c r="Z378" s="17"/>
      <c r="AA378" s="55"/>
      <c r="AB378" s="48">
        <f>(B378*194.205+C378*267.466+D378*133.845+E378*153.484+F378*40+G378*85+H378*0+I378*100+J378*300)/(194.205+267.466+133.845+153.484+0+40+85+100+300)</f>
        <v>18.627916770015702</v>
      </c>
      <c r="AC378" s="45">
        <f>(M378*'RAP TEMPLATE-GAS AVAILABILITY'!O377+N378*'RAP TEMPLATE-GAS AVAILABILITY'!P377+O378*'RAP TEMPLATE-GAS AVAILABILITY'!Q377+P378*'RAP TEMPLATE-GAS AVAILABILITY'!R377)/('RAP TEMPLATE-GAS AVAILABILITY'!O377+'RAP TEMPLATE-GAS AVAILABILITY'!P377+'RAP TEMPLATE-GAS AVAILABILITY'!Q377+'RAP TEMPLATE-GAS AVAILABILITY'!R377)</f>
        <v>18.325389928057554</v>
      </c>
    </row>
    <row r="379" spans="1:29" ht="15.75" x14ac:dyDescent="0.25">
      <c r="A379" s="14">
        <v>52443</v>
      </c>
      <c r="B379" s="17">
        <f>CHOOSE(CONTROL!$C$42, 18.1922, 18.1922) * CHOOSE(CONTROL!$C$21, $C$9, 100%, $E$9)</f>
        <v>18.1922</v>
      </c>
      <c r="C379" s="17">
        <f>CHOOSE(CONTROL!$C$42, 18.2002, 18.2002) * CHOOSE(CONTROL!$C$21, $C$9, 100%, $E$9)</f>
        <v>18.200199999999999</v>
      </c>
      <c r="D379" s="17">
        <f>CHOOSE(CONTROL!$C$42, 18.4712, 18.4712) * CHOOSE(CONTROL!$C$21, $C$9, 100%, $E$9)</f>
        <v>18.4712</v>
      </c>
      <c r="E379" s="17">
        <f>CHOOSE(CONTROL!$C$42, 18.5027, 18.5027) * CHOOSE(CONTROL!$C$21, $C$9, 100%, $E$9)</f>
        <v>18.502700000000001</v>
      </c>
      <c r="F379" s="17">
        <f>CHOOSE(CONTROL!$C$42, 18.211, 18.211)*CHOOSE(CONTROL!$C$21, $C$9, 100%, $E$9)</f>
        <v>18.210999999999999</v>
      </c>
      <c r="G379" s="17">
        <f>CHOOSE(CONTROL!$C$42, 18.2278, 18.2278)*CHOOSE(CONTROL!$C$21, $C$9, 100%, $E$9)</f>
        <v>18.227799999999998</v>
      </c>
      <c r="H379" s="17">
        <f>CHOOSE(CONTROL!$C$42, 18.4913, 18.4913) * CHOOSE(CONTROL!$C$21, $C$9, 100%, $E$9)</f>
        <v>18.491299999999999</v>
      </c>
      <c r="I379" s="17">
        <f>CHOOSE(CONTROL!$C$42, 18.269, 18.269)* CHOOSE(CONTROL!$C$21, $C$9, 100%, $E$9)</f>
        <v>18.268999999999998</v>
      </c>
      <c r="J379" s="17">
        <f>CHOOSE(CONTROL!$C$42, 18.204, 18.204)* CHOOSE(CONTROL!$C$21, $C$9, 100%, $E$9)</f>
        <v>18.204000000000001</v>
      </c>
      <c r="K379" s="52">
        <f>CHOOSE(CONTROL!$C$42, 18.2648, 18.2648) * CHOOSE(CONTROL!$C$21, $C$9, 100%, $E$9)</f>
        <v>18.264800000000001</v>
      </c>
      <c r="L379" s="17">
        <f>CHOOSE(CONTROL!$C$42, 19.0783, 19.0783) * CHOOSE(CONTROL!$C$21, $C$9, 100%, $E$9)</f>
        <v>19.078299999999999</v>
      </c>
      <c r="M379" s="17">
        <f>CHOOSE(CONTROL!$C$42, 17.8843, 17.8843) * CHOOSE(CONTROL!$C$21, $C$9, 100%, $E$9)</f>
        <v>17.8843</v>
      </c>
      <c r="N379" s="17">
        <f>CHOOSE(CONTROL!$C$42, 17.9008, 17.9008) * CHOOSE(CONTROL!$C$21, $C$9, 100%, $E$9)</f>
        <v>17.9008</v>
      </c>
      <c r="O379" s="17">
        <f>CHOOSE(CONTROL!$C$42, 18.1664, 18.1664) * CHOOSE(CONTROL!$C$21, $C$9, 100%, $E$9)</f>
        <v>18.166399999999999</v>
      </c>
      <c r="P379" s="17">
        <f>CHOOSE(CONTROL!$C$42, 17.9471, 17.9471) * CHOOSE(CONTROL!$C$21, $C$9, 100%, $E$9)</f>
        <v>17.947099999999999</v>
      </c>
      <c r="Q379" s="17">
        <f>CHOOSE(CONTROL!$C$42, 18.7611, 18.7611) * CHOOSE(CONTROL!$C$21, $C$9, 100%, $E$9)</f>
        <v>18.761099999999999</v>
      </c>
      <c r="R379" s="17">
        <f>CHOOSE(CONTROL!$C$42, 19.395, 19.395) * CHOOSE(CONTROL!$C$21, $C$9, 100%, $E$9)</f>
        <v>19.395</v>
      </c>
      <c r="S379" s="17">
        <f>CHOOSE(CONTROL!$C$42, 17.4702, 17.4702) * CHOOSE(CONTROL!$C$21, $C$9, 100%, $E$9)</f>
        <v>17.470199999999998</v>
      </c>
      <c r="T37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79" s="56">
        <f>(1000*CHOOSE(CONTROL!$C$42, 695, 695)*CHOOSE(CONTROL!$C$42, 0.5599, 0.5599)*CHOOSE(CONTROL!$C$42, 31, 31))/1000000</f>
        <v>12.063045499999998</v>
      </c>
      <c r="V379" s="56">
        <f>(1000*CHOOSE(CONTROL!$C$42, 500, 500)*CHOOSE(CONTROL!$C$42, 0.275, 0.275)*CHOOSE(CONTROL!$C$42, 31, 31))/1000000</f>
        <v>4.2625000000000002</v>
      </c>
      <c r="W379" s="56">
        <f>(1000*CHOOSE(CONTROL!$C$42, 0.1146, 0.1146)*CHOOSE(CONTROL!$C$42, 121.5, 121.5)*CHOOSE(CONTROL!$C$42, 31, 31))/1000000</f>
        <v>0.43164089999999994</v>
      </c>
      <c r="X379" s="56">
        <f>(31*0.1790888*145000/1000000)+(31*0.2374*100000/1000000)</f>
        <v>1.5409441560000001</v>
      </c>
      <c r="Y379" s="56"/>
      <c r="Z379" s="17"/>
      <c r="AA379" s="55"/>
      <c r="AB379" s="48">
        <f>(B379*194.205+C379*267.466+D379*133.845+E379*153.484+F379*40+G379*85+H379*0+I379*100+J379*300)/(194.205+267.466+133.845+153.484+0+40+85+100+300)</f>
        <v>18.272370537676608</v>
      </c>
      <c r="AC379" s="45">
        <f>(M379*'RAP TEMPLATE-GAS AVAILABILITY'!O378+N379*'RAP TEMPLATE-GAS AVAILABILITY'!P378+O379*'RAP TEMPLATE-GAS AVAILABILITY'!Q378+P379*'RAP TEMPLATE-GAS AVAILABILITY'!R378)/('RAP TEMPLATE-GAS AVAILABILITY'!O378+'RAP TEMPLATE-GAS AVAILABILITY'!P378+'RAP TEMPLATE-GAS AVAILABILITY'!Q378+'RAP TEMPLATE-GAS AVAILABILITY'!R378)</f>
        <v>17.97628489208633</v>
      </c>
    </row>
    <row r="380" spans="1:29" ht="15.75" x14ac:dyDescent="0.25">
      <c r="A380" s="14">
        <v>52474</v>
      </c>
      <c r="B380" s="17">
        <f>CHOOSE(CONTROL!$C$42, 17.2941, 17.2941) * CHOOSE(CONTROL!$C$21, $C$9, 100%, $E$9)</f>
        <v>17.2941</v>
      </c>
      <c r="C380" s="17">
        <f>CHOOSE(CONTROL!$C$42, 17.3022, 17.3022) * CHOOSE(CONTROL!$C$21, $C$9, 100%, $E$9)</f>
        <v>17.302199999999999</v>
      </c>
      <c r="D380" s="17">
        <f>CHOOSE(CONTROL!$C$42, 17.5732, 17.5732) * CHOOSE(CONTROL!$C$21, $C$9, 100%, $E$9)</f>
        <v>17.5732</v>
      </c>
      <c r="E380" s="17">
        <f>CHOOSE(CONTROL!$C$42, 17.6047, 17.6047) * CHOOSE(CONTROL!$C$21, $C$9, 100%, $E$9)</f>
        <v>17.604700000000001</v>
      </c>
      <c r="F380" s="17">
        <f>CHOOSE(CONTROL!$C$42, 17.3133, 17.3133)*CHOOSE(CONTROL!$C$21, $C$9, 100%, $E$9)</f>
        <v>17.313300000000002</v>
      </c>
      <c r="G380" s="17">
        <f>CHOOSE(CONTROL!$C$42, 17.3301, 17.3301)*CHOOSE(CONTROL!$C$21, $C$9, 100%, $E$9)</f>
        <v>17.330100000000002</v>
      </c>
      <c r="H380" s="17">
        <f>CHOOSE(CONTROL!$C$42, 17.5933, 17.5933) * CHOOSE(CONTROL!$C$21, $C$9, 100%, $E$9)</f>
        <v>17.593299999999999</v>
      </c>
      <c r="I380" s="17">
        <f>CHOOSE(CONTROL!$C$42, 17.3682, 17.3682)* CHOOSE(CONTROL!$C$21, $C$9, 100%, $E$9)</f>
        <v>17.368200000000002</v>
      </c>
      <c r="J380" s="17">
        <f>CHOOSE(CONTROL!$C$42, 17.3063, 17.3063)* CHOOSE(CONTROL!$C$21, $C$9, 100%, $E$9)</f>
        <v>17.3063</v>
      </c>
      <c r="K380" s="52">
        <f>CHOOSE(CONTROL!$C$42, 17.3639, 17.3639) * CHOOSE(CONTROL!$C$21, $C$9, 100%, $E$9)</f>
        <v>17.363900000000001</v>
      </c>
      <c r="L380" s="17">
        <f>CHOOSE(CONTROL!$C$42, 18.1803, 18.1803) * CHOOSE(CONTROL!$C$21, $C$9, 100%, $E$9)</f>
        <v>18.180299999999999</v>
      </c>
      <c r="M380" s="17">
        <f>CHOOSE(CONTROL!$C$42, 17.0027, 17.0027) * CHOOSE(CONTROL!$C$21, $C$9, 100%, $E$9)</f>
        <v>17.002700000000001</v>
      </c>
      <c r="N380" s="17">
        <f>CHOOSE(CONTROL!$C$42, 17.0192, 17.0192) * CHOOSE(CONTROL!$C$21, $C$9, 100%, $E$9)</f>
        <v>17.019200000000001</v>
      </c>
      <c r="O380" s="17">
        <f>CHOOSE(CONTROL!$C$42, 17.2846, 17.2846) * CHOOSE(CONTROL!$C$21, $C$9, 100%, $E$9)</f>
        <v>17.284600000000001</v>
      </c>
      <c r="P380" s="17">
        <f>CHOOSE(CONTROL!$C$42, 17.0626, 17.0626) * CHOOSE(CONTROL!$C$21, $C$9, 100%, $E$9)</f>
        <v>17.0626</v>
      </c>
      <c r="Q380" s="17">
        <f>CHOOSE(CONTROL!$C$42, 17.8793, 17.8793) * CHOOSE(CONTROL!$C$21, $C$9, 100%, $E$9)</f>
        <v>17.879300000000001</v>
      </c>
      <c r="R380" s="17">
        <f>CHOOSE(CONTROL!$C$42, 18.511, 18.511) * CHOOSE(CONTROL!$C$21, $C$9, 100%, $E$9)</f>
        <v>18.510999999999999</v>
      </c>
      <c r="S380" s="17">
        <f>CHOOSE(CONTROL!$C$42, 16.6073, 16.6073) * CHOOSE(CONTROL!$C$21, $C$9, 100%, $E$9)</f>
        <v>16.607299999999999</v>
      </c>
      <c r="T38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80" s="56">
        <f>(1000*CHOOSE(CONTROL!$C$42, 695, 695)*CHOOSE(CONTROL!$C$42, 0.5599, 0.5599)*CHOOSE(CONTROL!$C$42, 31, 31))/1000000</f>
        <v>12.063045499999998</v>
      </c>
      <c r="V380" s="56">
        <f>(1000*CHOOSE(CONTROL!$C$42, 500, 500)*CHOOSE(CONTROL!$C$42, 0.275, 0.275)*CHOOSE(CONTROL!$C$42, 31, 31))/1000000</f>
        <v>4.2625000000000002</v>
      </c>
      <c r="W380" s="56">
        <f>(1000*CHOOSE(CONTROL!$C$42, 0.1146, 0.1146)*CHOOSE(CONTROL!$C$42, 121.5, 121.5)*CHOOSE(CONTROL!$C$42, 31, 31))/1000000</f>
        <v>0.43164089999999994</v>
      </c>
      <c r="X380" s="56">
        <f>(31*0.1790888*145000/1000000)+(31*0.2374*100000/1000000)</f>
        <v>1.5409441560000001</v>
      </c>
      <c r="Y380" s="56"/>
      <c r="Z380" s="17"/>
      <c r="AA380" s="55"/>
      <c r="AB380" s="48">
        <f>(B380*194.205+C380*267.466+D380*133.845+E380*153.484+F380*40+G380*85+H380*0+I380*100+J380*300)/(194.205+267.466+133.845+153.484+0+40+85+100+300)</f>
        <v>17.374235592229198</v>
      </c>
      <c r="AC380" s="45">
        <f>(M380*'RAP TEMPLATE-GAS AVAILABILITY'!O379+N380*'RAP TEMPLATE-GAS AVAILABILITY'!P379+O380*'RAP TEMPLATE-GAS AVAILABILITY'!Q379+P380*'RAP TEMPLATE-GAS AVAILABILITY'!R379)/('RAP TEMPLATE-GAS AVAILABILITY'!O379+'RAP TEMPLATE-GAS AVAILABILITY'!P379+'RAP TEMPLATE-GAS AVAILABILITY'!Q379+'RAP TEMPLATE-GAS AVAILABILITY'!R379)</f>
        <v>17.094211510791368</v>
      </c>
    </row>
    <row r="381" spans="1:29" ht="15.75" x14ac:dyDescent="0.25">
      <c r="A381" s="14">
        <v>52504</v>
      </c>
      <c r="B381" s="17">
        <f>CHOOSE(CONTROL!$C$42, 16.1967, 16.1967) * CHOOSE(CONTROL!$C$21, $C$9, 100%, $E$9)</f>
        <v>16.1967</v>
      </c>
      <c r="C381" s="17">
        <f>CHOOSE(CONTROL!$C$42, 16.2047, 16.2047) * CHOOSE(CONTROL!$C$21, $C$9, 100%, $E$9)</f>
        <v>16.204699999999999</v>
      </c>
      <c r="D381" s="17">
        <f>CHOOSE(CONTROL!$C$42, 16.4758, 16.4758) * CHOOSE(CONTROL!$C$21, $C$9, 100%, $E$9)</f>
        <v>16.4758</v>
      </c>
      <c r="E381" s="17">
        <f>CHOOSE(CONTROL!$C$42, 16.5072, 16.5072) * CHOOSE(CONTROL!$C$21, $C$9, 100%, $E$9)</f>
        <v>16.507200000000001</v>
      </c>
      <c r="F381" s="17">
        <f>CHOOSE(CONTROL!$C$42, 16.2159, 16.2159)*CHOOSE(CONTROL!$C$21, $C$9, 100%, $E$9)</f>
        <v>16.215900000000001</v>
      </c>
      <c r="G381" s="17">
        <f>CHOOSE(CONTROL!$C$42, 16.2328, 16.2328)*CHOOSE(CONTROL!$C$21, $C$9, 100%, $E$9)</f>
        <v>16.232800000000001</v>
      </c>
      <c r="H381" s="17">
        <f>CHOOSE(CONTROL!$C$42, 16.4959, 16.4959) * CHOOSE(CONTROL!$C$21, $C$9, 100%, $E$9)</f>
        <v>16.495899999999999</v>
      </c>
      <c r="I381" s="17">
        <f>CHOOSE(CONTROL!$C$42, 16.2673, 16.2673)* CHOOSE(CONTROL!$C$21, $C$9, 100%, $E$9)</f>
        <v>16.267299999999999</v>
      </c>
      <c r="J381" s="17">
        <f>CHOOSE(CONTROL!$C$42, 16.2089, 16.2089)* CHOOSE(CONTROL!$C$21, $C$9, 100%, $E$9)</f>
        <v>16.2089</v>
      </c>
      <c r="K381" s="52">
        <f>CHOOSE(CONTROL!$C$42, 16.2631, 16.2631) * CHOOSE(CONTROL!$C$21, $C$9, 100%, $E$9)</f>
        <v>16.263100000000001</v>
      </c>
      <c r="L381" s="17">
        <f>CHOOSE(CONTROL!$C$42, 17.0829, 17.0829) * CHOOSE(CONTROL!$C$21, $C$9, 100%, $E$9)</f>
        <v>17.082899999999999</v>
      </c>
      <c r="M381" s="17">
        <f>CHOOSE(CONTROL!$C$42, 15.925, 15.925) * CHOOSE(CONTROL!$C$21, $C$9, 100%, $E$9)</f>
        <v>15.925000000000001</v>
      </c>
      <c r="N381" s="17">
        <f>CHOOSE(CONTROL!$C$42, 15.9416, 15.9416) * CHOOSE(CONTROL!$C$21, $C$9, 100%, $E$9)</f>
        <v>15.941599999999999</v>
      </c>
      <c r="O381" s="17">
        <f>CHOOSE(CONTROL!$C$42, 16.2069, 16.2069) * CHOOSE(CONTROL!$C$21, $C$9, 100%, $E$9)</f>
        <v>16.206900000000001</v>
      </c>
      <c r="P381" s="17">
        <f>CHOOSE(CONTROL!$C$42, 15.9816, 15.9816) * CHOOSE(CONTROL!$C$21, $C$9, 100%, $E$9)</f>
        <v>15.9816</v>
      </c>
      <c r="Q381" s="17">
        <f>CHOOSE(CONTROL!$C$42, 16.8016, 16.8016) * CHOOSE(CONTROL!$C$21, $C$9, 100%, $E$9)</f>
        <v>16.801600000000001</v>
      </c>
      <c r="R381" s="17">
        <f>CHOOSE(CONTROL!$C$42, 17.4306, 17.4306) * CHOOSE(CONTROL!$C$21, $C$9, 100%, $E$9)</f>
        <v>17.430599999999998</v>
      </c>
      <c r="S381" s="17">
        <f>CHOOSE(CONTROL!$C$42, 15.5528, 15.5528) * CHOOSE(CONTROL!$C$21, $C$9, 100%, $E$9)</f>
        <v>15.5528</v>
      </c>
      <c r="T38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81" s="56">
        <f>(1000*CHOOSE(CONTROL!$C$42, 695, 695)*CHOOSE(CONTROL!$C$42, 0.5599, 0.5599)*CHOOSE(CONTROL!$C$42, 30, 30))/1000000</f>
        <v>11.673914999999997</v>
      </c>
      <c r="V381" s="56">
        <f>(1000*CHOOSE(CONTROL!$C$42, 500, 500)*CHOOSE(CONTROL!$C$42, 0.275, 0.275)*CHOOSE(CONTROL!$C$42, 30, 30))/1000000</f>
        <v>4.125</v>
      </c>
      <c r="W381" s="56">
        <f>(1000*CHOOSE(CONTROL!$C$42, 0.1146, 0.1146)*CHOOSE(CONTROL!$C$42, 121.5, 121.5)*CHOOSE(CONTROL!$C$42, 30, 30))/1000000</f>
        <v>0.417717</v>
      </c>
      <c r="X381" s="56">
        <f>(30*0.1790888*145000/1000000)+(30*0.2374*100000/1000000)</f>
        <v>1.4912362799999999</v>
      </c>
      <c r="Y381" s="56"/>
      <c r="Z381" s="17"/>
      <c r="AA381" s="55"/>
      <c r="AB381" s="48">
        <f>(B381*194.205+C381*267.466+D381*133.845+E381*153.484+F381*40+G381*85+H381*0+I381*100+J381*300)/(194.205+267.466+133.845+153.484+0+40+85+100+300)</f>
        <v>16.276534497252747</v>
      </c>
      <c r="AC381" s="45">
        <f>(M381*'RAP TEMPLATE-GAS AVAILABILITY'!O380+N381*'RAP TEMPLATE-GAS AVAILABILITY'!P380+O381*'RAP TEMPLATE-GAS AVAILABILITY'!Q380+P381*'RAP TEMPLATE-GAS AVAILABILITY'!R380)/('RAP TEMPLATE-GAS AVAILABILITY'!O380+'RAP TEMPLATE-GAS AVAILABILITY'!P380+'RAP TEMPLATE-GAS AVAILABILITY'!Q380+'RAP TEMPLATE-GAS AVAILABILITY'!R380)</f>
        <v>16.016059712230216</v>
      </c>
    </row>
    <row r="382" spans="1:29" ht="15.75" x14ac:dyDescent="0.25">
      <c r="A382" s="14">
        <v>52535</v>
      </c>
      <c r="B382" s="17">
        <f>CHOOSE(CONTROL!$C$42, 15.8663, 15.8663) * CHOOSE(CONTROL!$C$21, $C$9, 100%, $E$9)</f>
        <v>15.866300000000001</v>
      </c>
      <c r="C382" s="17">
        <f>CHOOSE(CONTROL!$C$42, 15.8716, 15.8716) * CHOOSE(CONTROL!$C$21, $C$9, 100%, $E$9)</f>
        <v>15.871600000000001</v>
      </c>
      <c r="D382" s="17">
        <f>CHOOSE(CONTROL!$C$42, 16.1477, 16.1477) * CHOOSE(CONTROL!$C$21, $C$9, 100%, $E$9)</f>
        <v>16.1477</v>
      </c>
      <c r="E382" s="17">
        <f>CHOOSE(CONTROL!$C$42, 16.1768, 16.1768) * CHOOSE(CONTROL!$C$21, $C$9, 100%, $E$9)</f>
        <v>16.1768</v>
      </c>
      <c r="F382" s="17">
        <f>CHOOSE(CONTROL!$C$42, 15.8877, 15.8877)*CHOOSE(CONTROL!$C$21, $C$9, 100%, $E$9)</f>
        <v>15.887700000000001</v>
      </c>
      <c r="G382" s="17">
        <f>CHOOSE(CONTROL!$C$42, 15.9045, 15.9045)*CHOOSE(CONTROL!$C$21, $C$9, 100%, $E$9)</f>
        <v>15.904500000000001</v>
      </c>
      <c r="H382" s="17">
        <f>CHOOSE(CONTROL!$C$42, 16.1673, 16.1673) * CHOOSE(CONTROL!$C$21, $C$9, 100%, $E$9)</f>
        <v>16.167300000000001</v>
      </c>
      <c r="I382" s="17">
        <f>CHOOSE(CONTROL!$C$42, 15.9376, 15.9376)* CHOOSE(CONTROL!$C$21, $C$9, 100%, $E$9)</f>
        <v>15.9376</v>
      </c>
      <c r="J382" s="17">
        <f>CHOOSE(CONTROL!$C$42, 15.8807, 15.8807)* CHOOSE(CONTROL!$C$21, $C$9, 100%, $E$9)</f>
        <v>15.880699999999999</v>
      </c>
      <c r="K382" s="52">
        <f>CHOOSE(CONTROL!$C$42, 15.9334, 15.9334) * CHOOSE(CONTROL!$C$21, $C$9, 100%, $E$9)</f>
        <v>15.933400000000001</v>
      </c>
      <c r="L382" s="17">
        <f>CHOOSE(CONTROL!$C$42, 16.7543, 16.7543) * CHOOSE(CONTROL!$C$21, $C$9, 100%, $E$9)</f>
        <v>16.754300000000001</v>
      </c>
      <c r="M382" s="17">
        <f>CHOOSE(CONTROL!$C$42, 15.6028, 15.6028) * CHOOSE(CONTROL!$C$21, $C$9, 100%, $E$9)</f>
        <v>15.6028</v>
      </c>
      <c r="N382" s="17">
        <f>CHOOSE(CONTROL!$C$42, 15.6193, 15.6193) * CHOOSE(CONTROL!$C$21, $C$9, 100%, $E$9)</f>
        <v>15.619300000000001</v>
      </c>
      <c r="O382" s="17">
        <f>CHOOSE(CONTROL!$C$42, 15.8842, 15.8842) * CHOOSE(CONTROL!$C$21, $C$9, 100%, $E$9)</f>
        <v>15.8842</v>
      </c>
      <c r="P382" s="17">
        <f>CHOOSE(CONTROL!$C$42, 15.6579, 15.6579) * CHOOSE(CONTROL!$C$21, $C$9, 100%, $E$9)</f>
        <v>15.6579</v>
      </c>
      <c r="Q382" s="17">
        <f>CHOOSE(CONTROL!$C$42, 16.4789, 16.4789) * CHOOSE(CONTROL!$C$21, $C$9, 100%, $E$9)</f>
        <v>16.478899999999999</v>
      </c>
      <c r="R382" s="17">
        <f>CHOOSE(CONTROL!$C$42, 17.1071, 17.1071) * CHOOSE(CONTROL!$C$21, $C$9, 100%, $E$9)</f>
        <v>17.107099999999999</v>
      </c>
      <c r="S382" s="17">
        <f>CHOOSE(CONTROL!$C$42, 15.237, 15.237) * CHOOSE(CONTROL!$C$21, $C$9, 100%, $E$9)</f>
        <v>15.237</v>
      </c>
      <c r="T38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82" s="56">
        <f>(1000*CHOOSE(CONTROL!$C$42, 695, 695)*CHOOSE(CONTROL!$C$42, 0.5599, 0.5599)*CHOOSE(CONTROL!$C$42, 31, 31))/1000000</f>
        <v>12.063045499999998</v>
      </c>
      <c r="V382" s="56">
        <f>(1000*CHOOSE(CONTROL!$C$42, 500, 500)*CHOOSE(CONTROL!$C$42, 0.275, 0.275)*CHOOSE(CONTROL!$C$42, 31, 31))/1000000</f>
        <v>4.2625000000000002</v>
      </c>
      <c r="W382" s="56">
        <f>(1000*CHOOSE(CONTROL!$C$42, 0.1146, 0.1146)*CHOOSE(CONTROL!$C$42, 121.5, 121.5)*CHOOSE(CONTROL!$C$42, 31, 31))/1000000</f>
        <v>0.43164089999999994</v>
      </c>
      <c r="X382" s="56">
        <f>(31*0.1790888*145000/1000000)+(31*0.2374*100000/1000000)</f>
        <v>1.5409441560000001</v>
      </c>
      <c r="Y382" s="56"/>
      <c r="Z382" s="17"/>
      <c r="AA382" s="55"/>
      <c r="AB382" s="48">
        <f>(B382*131.881+C382*277.167+D382*79.08+E382*225.872+F382*40+G382*85+H382*0+I382*100+J382*300)/(131.881+277.167+79.08+225.872+0+40+85+100+300)</f>
        <v>15.954603755528654</v>
      </c>
      <c r="AC382" s="45">
        <f>(M382*'RAP TEMPLATE-GAS AVAILABILITY'!O381+N382*'RAP TEMPLATE-GAS AVAILABILITY'!P381+O382*'RAP TEMPLATE-GAS AVAILABILITY'!Q381+P382*'RAP TEMPLATE-GAS AVAILABILITY'!R381)/('RAP TEMPLATE-GAS AVAILABILITY'!O381+'RAP TEMPLATE-GAS AVAILABILITY'!P381+'RAP TEMPLATE-GAS AVAILABILITY'!Q381+'RAP TEMPLATE-GAS AVAILABILITY'!R381)</f>
        <v>15.693480575539569</v>
      </c>
    </row>
    <row r="383" spans="1:29" ht="15.75" x14ac:dyDescent="0.25">
      <c r="A383" s="14">
        <v>52565</v>
      </c>
      <c r="B383" s="17">
        <f>CHOOSE(CONTROL!$C$42, 16.2836, 16.2836) * CHOOSE(CONTROL!$C$21, $C$9, 100%, $E$9)</f>
        <v>16.2836</v>
      </c>
      <c r="C383" s="17">
        <f>CHOOSE(CONTROL!$C$42, 16.2887, 16.2887) * CHOOSE(CONTROL!$C$21, $C$9, 100%, $E$9)</f>
        <v>16.288699999999999</v>
      </c>
      <c r="D383" s="17">
        <f>CHOOSE(CONTROL!$C$42, 16.3837, 16.3837) * CHOOSE(CONTROL!$C$21, $C$9, 100%, $E$9)</f>
        <v>16.383700000000001</v>
      </c>
      <c r="E383" s="17">
        <f>CHOOSE(CONTROL!$C$42, 16.4178, 16.4178) * CHOOSE(CONTROL!$C$21, $C$9, 100%, $E$9)</f>
        <v>16.4178</v>
      </c>
      <c r="F383" s="17">
        <f>CHOOSE(CONTROL!$C$42, 16.3075, 16.3075)*CHOOSE(CONTROL!$C$21, $C$9, 100%, $E$9)</f>
        <v>16.307500000000001</v>
      </c>
      <c r="G383" s="17">
        <f>CHOOSE(CONTROL!$C$42, 16.3246, 16.3246)*CHOOSE(CONTROL!$C$21, $C$9, 100%, $E$9)</f>
        <v>16.3246</v>
      </c>
      <c r="H383" s="17">
        <f>CHOOSE(CONTROL!$C$42, 16.407, 16.407) * CHOOSE(CONTROL!$C$21, $C$9, 100%, $E$9)</f>
        <v>16.407</v>
      </c>
      <c r="I383" s="17">
        <f>CHOOSE(CONTROL!$C$42, 16.3546, 16.3546)* CHOOSE(CONTROL!$C$21, $C$9, 100%, $E$9)</f>
        <v>16.354600000000001</v>
      </c>
      <c r="J383" s="17">
        <f>CHOOSE(CONTROL!$C$42, 16.3005, 16.3005)* CHOOSE(CONTROL!$C$21, $C$9, 100%, $E$9)</f>
        <v>16.3005</v>
      </c>
      <c r="K383" s="52">
        <f>CHOOSE(CONTROL!$C$42, 16.3504, 16.3504) * CHOOSE(CONTROL!$C$21, $C$9, 100%, $E$9)</f>
        <v>16.3504</v>
      </c>
      <c r="L383" s="17">
        <f>CHOOSE(CONTROL!$C$42, 16.994, 16.994) * CHOOSE(CONTROL!$C$21, $C$9, 100%, $E$9)</f>
        <v>16.994</v>
      </c>
      <c r="M383" s="17">
        <f>CHOOSE(CONTROL!$C$42, 16.015, 16.015) * CHOOSE(CONTROL!$C$21, $C$9, 100%, $E$9)</f>
        <v>16.015000000000001</v>
      </c>
      <c r="N383" s="17">
        <f>CHOOSE(CONTROL!$C$42, 16.0318, 16.0318) * CHOOSE(CONTROL!$C$21, $C$9, 100%, $E$9)</f>
        <v>16.0318</v>
      </c>
      <c r="O383" s="17">
        <f>CHOOSE(CONTROL!$C$42, 16.1196, 16.1196) * CHOOSE(CONTROL!$C$21, $C$9, 100%, $E$9)</f>
        <v>16.119599999999998</v>
      </c>
      <c r="P383" s="17">
        <f>CHOOSE(CONTROL!$C$42, 16.0673, 16.0673) * CHOOSE(CONTROL!$C$21, $C$9, 100%, $E$9)</f>
        <v>16.067299999999999</v>
      </c>
      <c r="Q383" s="17">
        <f>CHOOSE(CONTROL!$C$42, 16.7143, 16.7143) * CHOOSE(CONTROL!$C$21, $C$9, 100%, $E$9)</f>
        <v>16.714300000000001</v>
      </c>
      <c r="R383" s="17">
        <f>CHOOSE(CONTROL!$C$42, 17.3431, 17.3431) * CHOOSE(CONTROL!$C$21, $C$9, 100%, $E$9)</f>
        <v>17.3431</v>
      </c>
      <c r="S383" s="17">
        <f>CHOOSE(CONTROL!$C$42, 15.6384, 15.6384) * CHOOSE(CONTROL!$C$21, $C$9, 100%, $E$9)</f>
        <v>15.638400000000001</v>
      </c>
      <c r="T38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83" s="56">
        <f>(1000*CHOOSE(CONTROL!$C$42, 695, 695)*CHOOSE(CONTROL!$C$42, 0.5599, 0.5599)*CHOOSE(CONTROL!$C$42, 30, 30))/1000000</f>
        <v>11.673914999999997</v>
      </c>
      <c r="V383" s="56">
        <f>(1000*CHOOSE(CONTROL!$C$42, 500, 500)*CHOOSE(CONTROL!$C$42, 0.275, 0.275)*CHOOSE(CONTROL!$C$42, 30, 30))/1000000</f>
        <v>4.125</v>
      </c>
      <c r="W383" s="56">
        <f>(1000*CHOOSE(CONTROL!$C$42, 0.1146, 0.1146)*CHOOSE(CONTROL!$C$42, 121.5, 121.5)*CHOOSE(CONTROL!$C$42, 30, 30))/1000000</f>
        <v>0.417717</v>
      </c>
      <c r="X383" s="56">
        <f>(30*0.2374*100000/1000000)</f>
        <v>0.71220000000000006</v>
      </c>
      <c r="Y383" s="56"/>
      <c r="Z383" s="17"/>
      <c r="AA383" s="55"/>
      <c r="AB383" s="48">
        <f>(B383*122.58+C383*297.941+D383*89.177+E383*140.302+F383*40+G383*60+H383*0+I383*100+J383*300)/(122.58+297.941+89.177+140.302+0+40+60+100+300)</f>
        <v>16.322609256695653</v>
      </c>
      <c r="AC383" s="45">
        <f>(M383*'RAP TEMPLATE-GAS AVAILABILITY'!O382+N383*'RAP TEMPLATE-GAS AVAILABILITY'!P382+O383*'RAP TEMPLATE-GAS AVAILABILITY'!Q382+P383*'RAP TEMPLATE-GAS AVAILABILITY'!R382)/('RAP TEMPLATE-GAS AVAILABILITY'!O382+'RAP TEMPLATE-GAS AVAILABILITY'!P382+'RAP TEMPLATE-GAS AVAILABILITY'!Q382+'RAP TEMPLATE-GAS AVAILABILITY'!R382)</f>
        <v>16.070900719424458</v>
      </c>
    </row>
    <row r="384" spans="1:29" ht="15.75" x14ac:dyDescent="0.25">
      <c r="A384" s="14">
        <v>52596</v>
      </c>
      <c r="B384" s="17">
        <f>CHOOSE(CONTROL!$C$42, 17.3932, 17.3932) * CHOOSE(CONTROL!$C$21, $C$9, 100%, $E$9)</f>
        <v>17.3932</v>
      </c>
      <c r="C384" s="17">
        <f>CHOOSE(CONTROL!$C$42, 17.3983, 17.3983) * CHOOSE(CONTROL!$C$21, $C$9, 100%, $E$9)</f>
        <v>17.398299999999999</v>
      </c>
      <c r="D384" s="17">
        <f>CHOOSE(CONTROL!$C$42, 17.4933, 17.4933) * CHOOSE(CONTROL!$C$21, $C$9, 100%, $E$9)</f>
        <v>17.493300000000001</v>
      </c>
      <c r="E384" s="17">
        <f>CHOOSE(CONTROL!$C$42, 17.5274, 17.5274) * CHOOSE(CONTROL!$C$21, $C$9, 100%, $E$9)</f>
        <v>17.5274</v>
      </c>
      <c r="F384" s="17">
        <f>CHOOSE(CONTROL!$C$42, 17.4194, 17.4194)*CHOOSE(CONTROL!$C$21, $C$9, 100%, $E$9)</f>
        <v>17.4194</v>
      </c>
      <c r="G384" s="17">
        <f>CHOOSE(CONTROL!$C$42, 17.4371, 17.4371)*CHOOSE(CONTROL!$C$21, $C$9, 100%, $E$9)</f>
        <v>17.437100000000001</v>
      </c>
      <c r="H384" s="17">
        <f>CHOOSE(CONTROL!$C$42, 17.5166, 17.5166) * CHOOSE(CONTROL!$C$21, $C$9, 100%, $E$9)</f>
        <v>17.5166</v>
      </c>
      <c r="I384" s="17">
        <f>CHOOSE(CONTROL!$C$42, 17.4676, 17.4676)* CHOOSE(CONTROL!$C$21, $C$9, 100%, $E$9)</f>
        <v>17.467600000000001</v>
      </c>
      <c r="J384" s="17">
        <f>CHOOSE(CONTROL!$C$42, 17.4124, 17.4124)* CHOOSE(CONTROL!$C$21, $C$9, 100%, $E$9)</f>
        <v>17.412400000000002</v>
      </c>
      <c r="K384" s="52">
        <f>CHOOSE(CONTROL!$C$42, 17.4634, 17.4634) * CHOOSE(CONTROL!$C$21, $C$9, 100%, $E$9)</f>
        <v>17.4634</v>
      </c>
      <c r="L384" s="17">
        <f>CHOOSE(CONTROL!$C$42, 18.1036, 18.1036) * CHOOSE(CONTROL!$C$21, $C$9, 100%, $E$9)</f>
        <v>18.1036</v>
      </c>
      <c r="M384" s="17">
        <f>CHOOSE(CONTROL!$C$42, 17.1069, 17.1069) * CHOOSE(CONTROL!$C$21, $C$9, 100%, $E$9)</f>
        <v>17.1069</v>
      </c>
      <c r="N384" s="17">
        <f>CHOOSE(CONTROL!$C$42, 17.1243, 17.1243) * CHOOSE(CONTROL!$C$21, $C$9, 100%, $E$9)</f>
        <v>17.124300000000002</v>
      </c>
      <c r="O384" s="17">
        <f>CHOOSE(CONTROL!$C$42, 17.2092, 17.2092) * CHOOSE(CONTROL!$C$21, $C$9, 100%, $E$9)</f>
        <v>17.209199999999999</v>
      </c>
      <c r="P384" s="17">
        <f>CHOOSE(CONTROL!$C$42, 17.1602, 17.1602) * CHOOSE(CONTROL!$C$21, $C$9, 100%, $E$9)</f>
        <v>17.1602</v>
      </c>
      <c r="Q384" s="17">
        <f>CHOOSE(CONTROL!$C$42, 17.8039, 17.8039) * CHOOSE(CONTROL!$C$21, $C$9, 100%, $E$9)</f>
        <v>17.803899999999999</v>
      </c>
      <c r="R384" s="17">
        <f>CHOOSE(CONTROL!$C$42, 18.4354, 18.4354) * CHOOSE(CONTROL!$C$21, $C$9, 100%, $E$9)</f>
        <v>18.435400000000001</v>
      </c>
      <c r="S384" s="17">
        <f>CHOOSE(CONTROL!$C$42, 16.7046, 16.7046) * CHOOSE(CONTROL!$C$21, $C$9, 100%, $E$9)</f>
        <v>16.704599999999999</v>
      </c>
      <c r="T38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84" s="56">
        <f>(1000*CHOOSE(CONTROL!$C$42, 695, 695)*CHOOSE(CONTROL!$C$42, 0.5599, 0.5599)*CHOOSE(CONTROL!$C$42, 31, 31))/1000000</f>
        <v>12.063045499999998</v>
      </c>
      <c r="V384" s="56">
        <f>(1000*CHOOSE(CONTROL!$C$42, 500, 500)*CHOOSE(CONTROL!$C$42, 0.275, 0.275)*CHOOSE(CONTROL!$C$42, 31, 31))/1000000</f>
        <v>4.2625000000000002</v>
      </c>
      <c r="W384" s="56">
        <f>(1000*CHOOSE(CONTROL!$C$42, 0.1146, 0.1146)*CHOOSE(CONTROL!$C$42, 121.5, 121.5)*CHOOSE(CONTROL!$C$42, 31, 31))/1000000</f>
        <v>0.43164089999999994</v>
      </c>
      <c r="X384" s="56">
        <f>(31*0.2374*100000/1000000)</f>
        <v>0.73594000000000004</v>
      </c>
      <c r="Y384" s="56"/>
      <c r="Z384" s="17"/>
      <c r="AA384" s="55"/>
      <c r="AB384" s="48">
        <f>(B384*122.58+C384*297.941+D384*89.177+E384*140.302+F384*40+G384*60+H384*0+I384*100+J384*300)/(122.58+297.941+89.177+140.302+0+40+60+100+300)</f>
        <v>17.433336213217391</v>
      </c>
      <c r="AC384" s="45">
        <f>(M384*'RAP TEMPLATE-GAS AVAILABILITY'!O383+N384*'RAP TEMPLATE-GAS AVAILABILITY'!P383+O384*'RAP TEMPLATE-GAS AVAILABILITY'!Q383+P384*'RAP TEMPLATE-GAS AVAILABILITY'!R383)/('RAP TEMPLATE-GAS AVAILABILITY'!O383+'RAP TEMPLATE-GAS AVAILABILITY'!P383+'RAP TEMPLATE-GAS AVAILABILITY'!Q383+'RAP TEMPLATE-GAS AVAILABILITY'!R383)</f>
        <v>17.161936690647483</v>
      </c>
    </row>
    <row r="385" spans="1:29" ht="15.75" x14ac:dyDescent="0.25">
      <c r="A385" s="14">
        <v>52627</v>
      </c>
      <c r="B385" s="17">
        <f>CHOOSE(CONTROL!$C$42, 18.8343, 18.8343) * CHOOSE(CONTROL!$C$21, $C$9, 100%, $E$9)</f>
        <v>18.834299999999999</v>
      </c>
      <c r="C385" s="17">
        <f>CHOOSE(CONTROL!$C$42, 18.8394, 18.8394) * CHOOSE(CONTROL!$C$21, $C$9, 100%, $E$9)</f>
        <v>18.839400000000001</v>
      </c>
      <c r="D385" s="17">
        <f>CHOOSE(CONTROL!$C$42, 18.9578, 18.9578) * CHOOSE(CONTROL!$C$21, $C$9, 100%, $E$9)</f>
        <v>18.957799999999999</v>
      </c>
      <c r="E385" s="17">
        <f>CHOOSE(CONTROL!$C$42, 18.9919, 18.9919) * CHOOSE(CONTROL!$C$21, $C$9, 100%, $E$9)</f>
        <v>18.991900000000001</v>
      </c>
      <c r="F385" s="17">
        <f>CHOOSE(CONTROL!$C$42, 18.8547, 18.8547)*CHOOSE(CONTROL!$C$21, $C$9, 100%, $E$9)</f>
        <v>18.854700000000001</v>
      </c>
      <c r="G385" s="17">
        <f>CHOOSE(CONTROL!$C$42, 18.8715, 18.8715)*CHOOSE(CONTROL!$C$21, $C$9, 100%, $E$9)</f>
        <v>18.871500000000001</v>
      </c>
      <c r="H385" s="17">
        <f>CHOOSE(CONTROL!$C$42, 18.9811, 18.9811) * CHOOSE(CONTROL!$C$21, $C$9, 100%, $E$9)</f>
        <v>18.981100000000001</v>
      </c>
      <c r="I385" s="17">
        <f>CHOOSE(CONTROL!$C$42, 18.9169, 18.9169)* CHOOSE(CONTROL!$C$21, $C$9, 100%, $E$9)</f>
        <v>18.916899999999998</v>
      </c>
      <c r="J385" s="17">
        <f>CHOOSE(CONTROL!$C$42, 18.8477, 18.8477)* CHOOSE(CONTROL!$C$21, $C$9, 100%, $E$9)</f>
        <v>18.8477</v>
      </c>
      <c r="K385" s="52">
        <f>CHOOSE(CONTROL!$C$42, 18.9127, 18.9127) * CHOOSE(CONTROL!$C$21, $C$9, 100%, $E$9)</f>
        <v>18.912700000000001</v>
      </c>
      <c r="L385" s="17">
        <f>CHOOSE(CONTROL!$C$42, 19.5681, 19.5681) * CHOOSE(CONTROL!$C$21, $C$9, 100%, $E$9)</f>
        <v>19.568100000000001</v>
      </c>
      <c r="M385" s="17">
        <f>CHOOSE(CONTROL!$C$42, 18.5164, 18.5164) * CHOOSE(CONTROL!$C$21, $C$9, 100%, $E$9)</f>
        <v>18.516400000000001</v>
      </c>
      <c r="N385" s="17">
        <f>CHOOSE(CONTROL!$C$42, 18.5329, 18.5329) * CHOOSE(CONTROL!$C$21, $C$9, 100%, $E$9)</f>
        <v>18.532900000000001</v>
      </c>
      <c r="O385" s="17">
        <f>CHOOSE(CONTROL!$C$42, 18.6474, 18.6474) * CHOOSE(CONTROL!$C$21, $C$9, 100%, $E$9)</f>
        <v>18.647400000000001</v>
      </c>
      <c r="P385" s="17">
        <f>CHOOSE(CONTROL!$C$42, 18.5834, 18.5834) * CHOOSE(CONTROL!$C$21, $C$9, 100%, $E$9)</f>
        <v>18.583400000000001</v>
      </c>
      <c r="Q385" s="17">
        <f>CHOOSE(CONTROL!$C$42, 19.2421, 19.2421) * CHOOSE(CONTROL!$C$21, $C$9, 100%, $E$9)</f>
        <v>19.242100000000001</v>
      </c>
      <c r="R385" s="17">
        <f>CHOOSE(CONTROL!$C$42, 19.8772, 19.8772) * CHOOSE(CONTROL!$C$21, $C$9, 100%, $E$9)</f>
        <v>19.877199999999998</v>
      </c>
      <c r="S385" s="17">
        <f>CHOOSE(CONTROL!$C$42, 18.0893, 18.0893) * CHOOSE(CONTROL!$C$21, $C$9, 100%, $E$9)</f>
        <v>18.089300000000001</v>
      </c>
      <c r="T38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85" s="56">
        <f>(1000*CHOOSE(CONTROL!$C$42, 695, 695)*CHOOSE(CONTROL!$C$42, 0.5599, 0.5599)*CHOOSE(CONTROL!$C$42, 31, 31))/1000000</f>
        <v>12.063045499999998</v>
      </c>
      <c r="V385" s="56">
        <f>(1000*CHOOSE(CONTROL!$C$42, 500, 500)*CHOOSE(CONTROL!$C$42, 0.275, 0.275)*CHOOSE(CONTROL!$C$42, 31, 31))/1000000</f>
        <v>4.2625000000000002</v>
      </c>
      <c r="W385" s="56">
        <f>(1000*CHOOSE(CONTROL!$C$42, 0.1146, 0.1146)*CHOOSE(CONTROL!$C$42, 121.5, 121.5)*CHOOSE(CONTROL!$C$42, 31, 31))/1000000</f>
        <v>0.43164089999999994</v>
      </c>
      <c r="X385" s="56">
        <f>(31*0.2374*100000/1000000)</f>
        <v>0.73594000000000004</v>
      </c>
      <c r="Y385" s="56"/>
      <c r="Z385" s="17"/>
      <c r="AA385" s="55"/>
      <c r="AB385" s="48">
        <f>(B385*122.58+C385*297.941+D385*89.177+E385*140.302+F385*40+G385*60+H385*0+I385*100+J385*300)/(122.58+297.941+89.177+140.302+0+40+60+100+300)</f>
        <v>18.877754307652172</v>
      </c>
      <c r="AC385" s="45">
        <f>(M385*'RAP TEMPLATE-GAS AVAILABILITY'!O384+N385*'RAP TEMPLATE-GAS AVAILABILITY'!P384+O385*'RAP TEMPLATE-GAS AVAILABILITY'!Q384+P385*'RAP TEMPLATE-GAS AVAILABILITY'!R384)/('RAP TEMPLATE-GAS AVAILABILITY'!O384+'RAP TEMPLATE-GAS AVAILABILITY'!P384+'RAP TEMPLATE-GAS AVAILABILITY'!Q384+'RAP TEMPLATE-GAS AVAILABILITY'!R384)</f>
        <v>18.58636402877698</v>
      </c>
    </row>
    <row r="386" spans="1:29" ht="15.75" x14ac:dyDescent="0.25">
      <c r="A386" s="14">
        <v>52655</v>
      </c>
      <c r="B386" s="17">
        <f>CHOOSE(CONTROL!$C$42, 19.1694, 19.1694) * CHOOSE(CONTROL!$C$21, $C$9, 100%, $E$9)</f>
        <v>19.1694</v>
      </c>
      <c r="C386" s="17">
        <f>CHOOSE(CONTROL!$C$42, 19.1745, 19.1745) * CHOOSE(CONTROL!$C$21, $C$9, 100%, $E$9)</f>
        <v>19.174499999999998</v>
      </c>
      <c r="D386" s="17">
        <f>CHOOSE(CONTROL!$C$42, 19.2929, 19.2929) * CHOOSE(CONTROL!$C$21, $C$9, 100%, $E$9)</f>
        <v>19.292899999999999</v>
      </c>
      <c r="E386" s="17">
        <f>CHOOSE(CONTROL!$C$42, 19.327, 19.327) * CHOOSE(CONTROL!$C$21, $C$9, 100%, $E$9)</f>
        <v>19.327000000000002</v>
      </c>
      <c r="F386" s="17">
        <f>CHOOSE(CONTROL!$C$42, 19.1898, 19.1898)*CHOOSE(CONTROL!$C$21, $C$9, 100%, $E$9)</f>
        <v>19.189800000000002</v>
      </c>
      <c r="G386" s="17">
        <f>CHOOSE(CONTROL!$C$42, 19.2066, 19.2066)*CHOOSE(CONTROL!$C$21, $C$9, 100%, $E$9)</f>
        <v>19.206600000000002</v>
      </c>
      <c r="H386" s="17">
        <f>CHOOSE(CONTROL!$C$42, 19.3162, 19.3162) * CHOOSE(CONTROL!$C$21, $C$9, 100%, $E$9)</f>
        <v>19.316199999999998</v>
      </c>
      <c r="I386" s="17">
        <f>CHOOSE(CONTROL!$C$42, 19.2531, 19.2531)* CHOOSE(CONTROL!$C$21, $C$9, 100%, $E$9)</f>
        <v>19.2531</v>
      </c>
      <c r="J386" s="17">
        <f>CHOOSE(CONTROL!$C$42, 19.1828, 19.1828)* CHOOSE(CONTROL!$C$21, $C$9, 100%, $E$9)</f>
        <v>19.1828</v>
      </c>
      <c r="K386" s="52">
        <f>CHOOSE(CONTROL!$C$42, 19.2488, 19.2488) * CHOOSE(CONTROL!$C$21, $C$9, 100%, $E$9)</f>
        <v>19.248799999999999</v>
      </c>
      <c r="L386" s="17">
        <f>CHOOSE(CONTROL!$C$42, 19.9032, 19.9032) * CHOOSE(CONTROL!$C$21, $C$9, 100%, $E$9)</f>
        <v>19.903199999999998</v>
      </c>
      <c r="M386" s="17">
        <f>CHOOSE(CONTROL!$C$42, 18.8454, 18.8454) * CHOOSE(CONTROL!$C$21, $C$9, 100%, $E$9)</f>
        <v>18.845400000000001</v>
      </c>
      <c r="N386" s="17">
        <f>CHOOSE(CONTROL!$C$42, 18.862, 18.862) * CHOOSE(CONTROL!$C$21, $C$9, 100%, $E$9)</f>
        <v>18.861999999999998</v>
      </c>
      <c r="O386" s="17">
        <f>CHOOSE(CONTROL!$C$42, 18.9765, 18.9765) * CHOOSE(CONTROL!$C$21, $C$9, 100%, $E$9)</f>
        <v>18.976500000000001</v>
      </c>
      <c r="P386" s="17">
        <f>CHOOSE(CONTROL!$C$42, 18.9135, 18.9135) * CHOOSE(CONTROL!$C$21, $C$9, 100%, $E$9)</f>
        <v>18.913499999999999</v>
      </c>
      <c r="Q386" s="17">
        <f>CHOOSE(CONTROL!$C$42, 19.5712, 19.5712) * CHOOSE(CONTROL!$C$21, $C$9, 100%, $E$9)</f>
        <v>19.571200000000001</v>
      </c>
      <c r="R386" s="17">
        <f>CHOOSE(CONTROL!$C$42, 20.2071, 20.2071) * CHOOSE(CONTROL!$C$21, $C$9, 100%, $E$9)</f>
        <v>20.207100000000001</v>
      </c>
      <c r="S386" s="17">
        <f>CHOOSE(CONTROL!$C$42, 18.4113, 18.4113) * CHOOSE(CONTROL!$C$21, $C$9, 100%, $E$9)</f>
        <v>18.411300000000001</v>
      </c>
      <c r="T386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86" s="56">
        <f>(1000*CHOOSE(CONTROL!$C$42, 695, 695)*CHOOSE(CONTROL!$C$42, 0.5599, 0.5599)*CHOOSE(CONTROL!$C$42, 29, 29))/1000000</f>
        <v>11.284784499999999</v>
      </c>
      <c r="V386" s="56">
        <f>(1000*CHOOSE(CONTROL!$C$42, 500, 500)*CHOOSE(CONTROL!$C$42, 0.275, 0.275)*CHOOSE(CONTROL!$C$42, 29, 29))/1000000</f>
        <v>3.9874999999999998</v>
      </c>
      <c r="W386" s="56">
        <f>(1000*CHOOSE(CONTROL!$C$42, 0.1146, 0.1146)*CHOOSE(CONTROL!$C$42, 121.5, 121.5)*CHOOSE(CONTROL!$C$42, 29, 29))/1000000</f>
        <v>0.40379309999999996</v>
      </c>
      <c r="X386" s="56">
        <f>(29*0.2374*100000/1000000)</f>
        <v>0.68845999999999996</v>
      </c>
      <c r="Y386" s="56"/>
      <c r="Z386" s="17"/>
      <c r="AA386" s="55"/>
      <c r="AB386" s="48">
        <f>(B386*122.58+C386*297.941+D386*89.177+E386*140.302+F386*40+G386*60+H386*0+I386*100+J386*300)/(122.58+297.941+89.177+140.302+0+40+60+100+300)</f>
        <v>19.212949959826087</v>
      </c>
      <c r="AC386" s="45">
        <f>(M386*'RAP TEMPLATE-GAS AVAILABILITY'!O385+N386*'RAP TEMPLATE-GAS AVAILABILITY'!P385+O386*'RAP TEMPLATE-GAS AVAILABILITY'!Q385+P386*'RAP TEMPLATE-GAS AVAILABILITY'!R385)/('RAP TEMPLATE-GAS AVAILABILITY'!O385+'RAP TEMPLATE-GAS AVAILABILITY'!P385+'RAP TEMPLATE-GAS AVAILABILITY'!Q385+'RAP TEMPLATE-GAS AVAILABILITY'!R385)</f>
        <v>18.915573381294966</v>
      </c>
    </row>
    <row r="387" spans="1:29" ht="15.75" x14ac:dyDescent="0.25">
      <c r="A387" s="14">
        <v>52687</v>
      </c>
      <c r="B387" s="17">
        <f>CHOOSE(CONTROL!$C$42, 18.6254, 18.6254) * CHOOSE(CONTROL!$C$21, $C$9, 100%, $E$9)</f>
        <v>18.625399999999999</v>
      </c>
      <c r="C387" s="17">
        <f>CHOOSE(CONTROL!$C$42, 18.6305, 18.6305) * CHOOSE(CONTROL!$C$21, $C$9, 100%, $E$9)</f>
        <v>18.630500000000001</v>
      </c>
      <c r="D387" s="17">
        <f>CHOOSE(CONTROL!$C$42, 18.749, 18.749) * CHOOSE(CONTROL!$C$21, $C$9, 100%, $E$9)</f>
        <v>18.748999999999999</v>
      </c>
      <c r="E387" s="17">
        <f>CHOOSE(CONTROL!$C$42, 18.7831, 18.7831) * CHOOSE(CONTROL!$C$21, $C$9, 100%, $E$9)</f>
        <v>18.783100000000001</v>
      </c>
      <c r="F387" s="17">
        <f>CHOOSE(CONTROL!$C$42, 18.6452, 18.6452)*CHOOSE(CONTROL!$C$21, $C$9, 100%, $E$9)</f>
        <v>18.645199999999999</v>
      </c>
      <c r="G387" s="17">
        <f>CHOOSE(CONTROL!$C$42, 18.6618, 18.6618)*CHOOSE(CONTROL!$C$21, $C$9, 100%, $E$9)</f>
        <v>18.661799999999999</v>
      </c>
      <c r="H387" s="17">
        <f>CHOOSE(CONTROL!$C$42, 18.7723, 18.7723) * CHOOSE(CONTROL!$C$21, $C$9, 100%, $E$9)</f>
        <v>18.772300000000001</v>
      </c>
      <c r="I387" s="17">
        <f>CHOOSE(CONTROL!$C$42, 18.7074, 18.7074)* CHOOSE(CONTROL!$C$21, $C$9, 100%, $E$9)</f>
        <v>18.7074</v>
      </c>
      <c r="J387" s="17">
        <f>CHOOSE(CONTROL!$C$42, 18.6382, 18.6382)* CHOOSE(CONTROL!$C$21, $C$9, 100%, $E$9)</f>
        <v>18.638200000000001</v>
      </c>
      <c r="K387" s="52">
        <f>CHOOSE(CONTROL!$C$42, 18.7032, 18.7032) * CHOOSE(CONTROL!$C$21, $C$9, 100%, $E$9)</f>
        <v>18.703199999999999</v>
      </c>
      <c r="L387" s="17">
        <f>CHOOSE(CONTROL!$C$42, 19.3593, 19.3593) * CHOOSE(CONTROL!$C$21, $C$9, 100%, $E$9)</f>
        <v>19.359300000000001</v>
      </c>
      <c r="M387" s="17">
        <f>CHOOSE(CONTROL!$C$42, 18.3106, 18.3106) * CHOOSE(CONTROL!$C$21, $C$9, 100%, $E$9)</f>
        <v>18.310600000000001</v>
      </c>
      <c r="N387" s="17">
        <f>CHOOSE(CONTROL!$C$42, 18.327, 18.327) * CHOOSE(CONTROL!$C$21, $C$9, 100%, $E$9)</f>
        <v>18.327000000000002</v>
      </c>
      <c r="O387" s="17">
        <f>CHOOSE(CONTROL!$C$42, 18.4423, 18.4423) * CHOOSE(CONTROL!$C$21, $C$9, 100%, $E$9)</f>
        <v>18.442299999999999</v>
      </c>
      <c r="P387" s="17">
        <f>CHOOSE(CONTROL!$C$42, 18.3776, 18.3776) * CHOOSE(CONTROL!$C$21, $C$9, 100%, $E$9)</f>
        <v>18.377600000000001</v>
      </c>
      <c r="Q387" s="17">
        <f>CHOOSE(CONTROL!$C$42, 19.037, 19.037) * CHOOSE(CONTROL!$C$21, $C$9, 100%, $E$9)</f>
        <v>19.036999999999999</v>
      </c>
      <c r="R387" s="17">
        <f>CHOOSE(CONTROL!$C$42, 19.6716, 19.6716) * CHOOSE(CONTROL!$C$21, $C$9, 100%, $E$9)</f>
        <v>19.671600000000002</v>
      </c>
      <c r="S387" s="17">
        <f>CHOOSE(CONTROL!$C$42, 17.8887, 17.8887) * CHOOSE(CONTROL!$C$21, $C$9, 100%, $E$9)</f>
        <v>17.8887</v>
      </c>
      <c r="T38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87" s="56">
        <f>(1000*CHOOSE(CONTROL!$C$42, 695, 695)*CHOOSE(CONTROL!$C$42, 0.5599, 0.5599)*CHOOSE(CONTROL!$C$42, 31, 31))/1000000</f>
        <v>12.063045499999998</v>
      </c>
      <c r="V387" s="56">
        <f>(1000*CHOOSE(CONTROL!$C$42, 500, 500)*CHOOSE(CONTROL!$C$42, 0.275, 0.275)*CHOOSE(CONTROL!$C$42, 31, 31))/1000000</f>
        <v>4.2625000000000002</v>
      </c>
      <c r="W387" s="56">
        <f>(1000*CHOOSE(CONTROL!$C$42, 0.1146, 0.1146)*CHOOSE(CONTROL!$C$42, 121.5, 121.5)*CHOOSE(CONTROL!$C$42, 31, 31))/1000000</f>
        <v>0.43164089999999994</v>
      </c>
      <c r="X387" s="56">
        <f>(31*0.2374*100000/1000000)</f>
        <v>0.73594000000000004</v>
      </c>
      <c r="Y387" s="56"/>
      <c r="Z387" s="17"/>
      <c r="AA387" s="55"/>
      <c r="AB387" s="48">
        <f>(B387*122.58+C387*297.941+D387*89.177+E387*140.302+F387*40+G387*60+H387*0+I387*100+J387*300)/(122.58+297.941+89.177+140.302+0+40+60+100+300)</f>
        <v>18.668602958000001</v>
      </c>
      <c r="AC387" s="45">
        <f>(M387*'RAP TEMPLATE-GAS AVAILABILITY'!O386+N387*'RAP TEMPLATE-GAS AVAILABILITY'!P386+O387*'RAP TEMPLATE-GAS AVAILABILITY'!Q386+P387*'RAP TEMPLATE-GAS AVAILABILITY'!R386)/('RAP TEMPLATE-GAS AVAILABILITY'!O386+'RAP TEMPLATE-GAS AVAILABILITY'!P386+'RAP TEMPLATE-GAS AVAILABILITY'!Q386+'RAP TEMPLATE-GAS AVAILABILITY'!R386)</f>
        <v>18.380875539568343</v>
      </c>
    </row>
    <row r="388" spans="1:29" ht="15.75" x14ac:dyDescent="0.25">
      <c r="A388" s="14">
        <v>52717</v>
      </c>
      <c r="B388" s="17">
        <f>CHOOSE(CONTROL!$C$42, 18.5707, 18.5707) * CHOOSE(CONTROL!$C$21, $C$9, 100%, $E$9)</f>
        <v>18.570699999999999</v>
      </c>
      <c r="C388" s="17">
        <f>CHOOSE(CONTROL!$C$42, 18.5752, 18.5752) * CHOOSE(CONTROL!$C$21, $C$9, 100%, $E$9)</f>
        <v>18.575199999999999</v>
      </c>
      <c r="D388" s="17">
        <f>CHOOSE(CONTROL!$C$42, 18.8494, 18.8494) * CHOOSE(CONTROL!$C$21, $C$9, 100%, $E$9)</f>
        <v>18.849399999999999</v>
      </c>
      <c r="E388" s="17">
        <f>CHOOSE(CONTROL!$C$42, 18.8815, 18.8815) * CHOOSE(CONTROL!$C$21, $C$9, 100%, $E$9)</f>
        <v>18.881499999999999</v>
      </c>
      <c r="F388" s="17">
        <f>CHOOSE(CONTROL!$C$42, 18.59, 18.59)*CHOOSE(CONTROL!$C$21, $C$9, 100%, $E$9)</f>
        <v>18.59</v>
      </c>
      <c r="G388" s="17">
        <f>CHOOSE(CONTROL!$C$42, 18.6064, 18.6064)*CHOOSE(CONTROL!$C$21, $C$9, 100%, $E$9)</f>
        <v>18.606400000000001</v>
      </c>
      <c r="H388" s="17">
        <f>CHOOSE(CONTROL!$C$42, 18.8713, 18.8713) * CHOOSE(CONTROL!$C$21, $C$9, 100%, $E$9)</f>
        <v>18.871300000000002</v>
      </c>
      <c r="I388" s="17">
        <f>CHOOSE(CONTROL!$C$42, 18.6501, 18.6501)* CHOOSE(CONTROL!$C$21, $C$9, 100%, $E$9)</f>
        <v>18.650099999999998</v>
      </c>
      <c r="J388" s="17">
        <f>CHOOSE(CONTROL!$C$42, 18.583, 18.583)* CHOOSE(CONTROL!$C$21, $C$9, 100%, $E$9)</f>
        <v>18.582999999999998</v>
      </c>
      <c r="K388" s="52">
        <f>CHOOSE(CONTROL!$C$42, 18.6459, 18.6459) * CHOOSE(CONTROL!$C$21, $C$9, 100%, $E$9)</f>
        <v>18.645900000000001</v>
      </c>
      <c r="L388" s="17">
        <f>CHOOSE(CONTROL!$C$42, 19.4583, 19.4583) * CHOOSE(CONTROL!$C$21, $C$9, 100%, $E$9)</f>
        <v>19.458300000000001</v>
      </c>
      <c r="M388" s="17">
        <f>CHOOSE(CONTROL!$C$42, 18.2565, 18.2565) * CHOOSE(CONTROL!$C$21, $C$9, 100%, $E$9)</f>
        <v>18.256499999999999</v>
      </c>
      <c r="N388" s="17">
        <f>CHOOSE(CONTROL!$C$42, 18.2725, 18.2725) * CHOOSE(CONTROL!$C$21, $C$9, 100%, $E$9)</f>
        <v>18.272500000000001</v>
      </c>
      <c r="O388" s="17">
        <f>CHOOSE(CONTROL!$C$42, 18.5396, 18.5396) * CHOOSE(CONTROL!$C$21, $C$9, 100%, $E$9)</f>
        <v>18.5396</v>
      </c>
      <c r="P388" s="17">
        <f>CHOOSE(CONTROL!$C$42, 18.3214, 18.3214) * CHOOSE(CONTROL!$C$21, $C$9, 100%, $E$9)</f>
        <v>18.321400000000001</v>
      </c>
      <c r="Q388" s="17">
        <f>CHOOSE(CONTROL!$C$42, 19.1343, 19.1343) * CHOOSE(CONTROL!$C$21, $C$9, 100%, $E$9)</f>
        <v>19.1343</v>
      </c>
      <c r="R388" s="17">
        <f>CHOOSE(CONTROL!$C$42, 19.7691, 19.7691) * CHOOSE(CONTROL!$C$21, $C$9, 100%, $E$9)</f>
        <v>19.769100000000002</v>
      </c>
      <c r="S388" s="17">
        <f>CHOOSE(CONTROL!$C$42, 17.8353, 17.8353) * CHOOSE(CONTROL!$C$21, $C$9, 100%, $E$9)</f>
        <v>17.8353</v>
      </c>
      <c r="T38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88" s="56">
        <f>(1000*CHOOSE(CONTROL!$C$42, 695, 695)*CHOOSE(CONTROL!$C$42, 0.5599, 0.5599)*CHOOSE(CONTROL!$C$42, 30, 30))/1000000</f>
        <v>11.673914999999997</v>
      </c>
      <c r="V388" s="56">
        <f>(1000*CHOOSE(CONTROL!$C$42, 500, 500)*CHOOSE(CONTROL!$C$42, 0.275, 0.275)*CHOOSE(CONTROL!$C$42, 30, 30))/1000000</f>
        <v>4.125</v>
      </c>
      <c r="W388" s="56">
        <f>(1000*CHOOSE(CONTROL!$C$42, 0.1146, 0.1146)*CHOOSE(CONTROL!$C$42, 121.5, 121.5)*CHOOSE(CONTROL!$C$42, 30, 30))/1000000</f>
        <v>0.417717</v>
      </c>
      <c r="X388" s="56">
        <f>(30*0.1790888*145000/1000000)+(30*0.2374*100000/1000000)</f>
        <v>1.4912362799999999</v>
      </c>
      <c r="Y388" s="56"/>
      <c r="Z388" s="17"/>
      <c r="AA388" s="55"/>
      <c r="AB388" s="48">
        <f>(B388*141.293+C388*267.993+D388*115.016+E388*189.698+F388*40+G388*85+H388*0+I388*100+J388*300)/(141.293+267.993+115.016+189.698+0+40+85+100+300)</f>
        <v>18.657589076755446</v>
      </c>
      <c r="AC388" s="45">
        <f>(M388*'RAP TEMPLATE-GAS AVAILABILITY'!O387+N388*'RAP TEMPLATE-GAS AVAILABILITY'!P387+O388*'RAP TEMPLATE-GAS AVAILABILITY'!Q387+P388*'RAP TEMPLATE-GAS AVAILABILITY'!R387)/('RAP TEMPLATE-GAS AVAILABILITY'!O387+'RAP TEMPLATE-GAS AVAILABILITY'!P387+'RAP TEMPLATE-GAS AVAILABILITY'!Q387+'RAP TEMPLATE-GAS AVAILABILITY'!R387)</f>
        <v>18.348952517985609</v>
      </c>
    </row>
    <row r="389" spans="1:29" ht="15.75" x14ac:dyDescent="0.25">
      <c r="A389" s="14">
        <v>52748</v>
      </c>
      <c r="B389" s="17">
        <f>CHOOSE(CONTROL!$C$42, 18.7359, 18.7359) * CHOOSE(CONTROL!$C$21, $C$9, 100%, $E$9)</f>
        <v>18.735900000000001</v>
      </c>
      <c r="C389" s="17">
        <f>CHOOSE(CONTROL!$C$42, 18.744, 18.744) * CHOOSE(CONTROL!$C$21, $C$9, 100%, $E$9)</f>
        <v>18.744</v>
      </c>
      <c r="D389" s="17">
        <f>CHOOSE(CONTROL!$C$42, 19.015, 19.015) * CHOOSE(CONTROL!$C$21, $C$9, 100%, $E$9)</f>
        <v>19.015000000000001</v>
      </c>
      <c r="E389" s="17">
        <f>CHOOSE(CONTROL!$C$42, 19.0465, 19.0465) * CHOOSE(CONTROL!$C$21, $C$9, 100%, $E$9)</f>
        <v>19.046500000000002</v>
      </c>
      <c r="F389" s="17">
        <f>CHOOSE(CONTROL!$C$42, 18.7541, 18.7541)*CHOOSE(CONTROL!$C$21, $C$9, 100%, $E$9)</f>
        <v>18.754100000000001</v>
      </c>
      <c r="G389" s="17">
        <f>CHOOSE(CONTROL!$C$42, 18.7707, 18.7707)*CHOOSE(CONTROL!$C$21, $C$9, 100%, $E$9)</f>
        <v>18.770700000000001</v>
      </c>
      <c r="H389" s="17">
        <f>CHOOSE(CONTROL!$C$42, 19.0351, 19.0351) * CHOOSE(CONTROL!$C$21, $C$9, 100%, $E$9)</f>
        <v>19.0351</v>
      </c>
      <c r="I389" s="17">
        <f>CHOOSE(CONTROL!$C$42, 18.8145, 18.8145)* CHOOSE(CONTROL!$C$21, $C$9, 100%, $E$9)</f>
        <v>18.814499999999999</v>
      </c>
      <c r="J389" s="17">
        <f>CHOOSE(CONTROL!$C$42, 18.7471, 18.7471)* CHOOSE(CONTROL!$C$21, $C$9, 100%, $E$9)</f>
        <v>18.7471</v>
      </c>
      <c r="K389" s="52">
        <f>CHOOSE(CONTROL!$C$42, 18.8103, 18.8103) * CHOOSE(CONTROL!$C$21, $C$9, 100%, $E$9)</f>
        <v>18.810300000000002</v>
      </c>
      <c r="L389" s="17">
        <f>CHOOSE(CONTROL!$C$42, 19.6221, 19.6221) * CHOOSE(CONTROL!$C$21, $C$9, 100%, $E$9)</f>
        <v>19.6221</v>
      </c>
      <c r="M389" s="17">
        <f>CHOOSE(CONTROL!$C$42, 18.4176, 18.4176) * CHOOSE(CONTROL!$C$21, $C$9, 100%, $E$9)</f>
        <v>18.4176</v>
      </c>
      <c r="N389" s="17">
        <f>CHOOSE(CONTROL!$C$42, 18.4339, 18.4339) * CHOOSE(CONTROL!$C$21, $C$9, 100%, $E$9)</f>
        <v>18.433900000000001</v>
      </c>
      <c r="O389" s="17">
        <f>CHOOSE(CONTROL!$C$42, 18.7004, 18.7004) * CHOOSE(CONTROL!$C$21, $C$9, 100%, $E$9)</f>
        <v>18.700399999999998</v>
      </c>
      <c r="P389" s="17">
        <f>CHOOSE(CONTROL!$C$42, 18.4828, 18.4828) * CHOOSE(CONTROL!$C$21, $C$9, 100%, $E$9)</f>
        <v>18.482800000000001</v>
      </c>
      <c r="Q389" s="17">
        <f>CHOOSE(CONTROL!$C$42, 19.2951, 19.2951) * CHOOSE(CONTROL!$C$21, $C$9, 100%, $E$9)</f>
        <v>19.295100000000001</v>
      </c>
      <c r="R389" s="17">
        <f>CHOOSE(CONTROL!$C$42, 19.9304, 19.9304) * CHOOSE(CONTROL!$C$21, $C$9, 100%, $E$9)</f>
        <v>19.930399999999999</v>
      </c>
      <c r="S389" s="17">
        <f>CHOOSE(CONTROL!$C$42, 17.9927, 17.9927) * CHOOSE(CONTROL!$C$21, $C$9, 100%, $E$9)</f>
        <v>17.992699999999999</v>
      </c>
      <c r="T38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89" s="56">
        <f>(1000*CHOOSE(CONTROL!$C$42, 695, 695)*CHOOSE(CONTROL!$C$42, 0.5599, 0.5599)*CHOOSE(CONTROL!$C$42, 31, 31))/1000000</f>
        <v>12.063045499999998</v>
      </c>
      <c r="V389" s="56">
        <f>(1000*CHOOSE(CONTROL!$C$42, 500, 500)*CHOOSE(CONTROL!$C$42, 0.275, 0.275)*CHOOSE(CONTROL!$C$42, 31, 31))/1000000</f>
        <v>4.2625000000000002</v>
      </c>
      <c r="W389" s="56">
        <f>(1000*CHOOSE(CONTROL!$C$42, 0.1146, 0.1146)*CHOOSE(CONTROL!$C$42, 121.5, 121.5)*CHOOSE(CONTROL!$C$42, 31, 31))/1000000</f>
        <v>0.43164089999999994</v>
      </c>
      <c r="X389" s="56">
        <f>(31*0.1790888*145000/1000000)+(31*0.2374*100000/1000000)</f>
        <v>1.5409441560000001</v>
      </c>
      <c r="Y389" s="56"/>
      <c r="Z389" s="17"/>
      <c r="AA389" s="55"/>
      <c r="AB389" s="48">
        <f>(B389*194.205+C389*267.466+D389*133.845+E389*153.484+F389*40+G389*85+H389*0+I389*100+J389*300)/(194.205+267.466+133.845+153.484+0+40+85+100+300)</f>
        <v>18.816041871664051</v>
      </c>
      <c r="AC389" s="45">
        <f>(M389*'RAP TEMPLATE-GAS AVAILABILITY'!O388+N389*'RAP TEMPLATE-GAS AVAILABILITY'!P388+O389*'RAP TEMPLATE-GAS AVAILABILITY'!Q388+P389*'RAP TEMPLATE-GAS AVAILABILITY'!R388)/('RAP TEMPLATE-GAS AVAILABILITY'!O388+'RAP TEMPLATE-GAS AVAILABILITY'!P388+'RAP TEMPLATE-GAS AVAILABILITY'!Q388+'RAP TEMPLATE-GAS AVAILABILITY'!R388)</f>
        <v>18.510080575539568</v>
      </c>
    </row>
    <row r="390" spans="1:29" ht="15.75" x14ac:dyDescent="0.25">
      <c r="A390" s="14">
        <v>52778</v>
      </c>
      <c r="B390" s="17">
        <f>CHOOSE(CONTROL!$C$42, 19.2671, 19.2671) * CHOOSE(CONTROL!$C$21, $C$9, 100%, $E$9)</f>
        <v>19.267099999999999</v>
      </c>
      <c r="C390" s="17">
        <f>CHOOSE(CONTROL!$C$42, 19.2751, 19.2751) * CHOOSE(CONTROL!$C$21, $C$9, 100%, $E$9)</f>
        <v>19.275099999999998</v>
      </c>
      <c r="D390" s="17">
        <f>CHOOSE(CONTROL!$C$42, 19.5461, 19.5461) * CHOOSE(CONTROL!$C$21, $C$9, 100%, $E$9)</f>
        <v>19.546099999999999</v>
      </c>
      <c r="E390" s="17">
        <f>CHOOSE(CONTROL!$C$42, 19.5776, 19.5776) * CHOOSE(CONTROL!$C$21, $C$9, 100%, $E$9)</f>
        <v>19.5776</v>
      </c>
      <c r="F390" s="17">
        <f>CHOOSE(CONTROL!$C$42, 19.2855, 19.2855)*CHOOSE(CONTROL!$C$21, $C$9, 100%, $E$9)</f>
        <v>19.285499999999999</v>
      </c>
      <c r="G390" s="17">
        <f>CHOOSE(CONTROL!$C$42, 19.3022, 19.3022)*CHOOSE(CONTROL!$C$21, $C$9, 100%, $E$9)</f>
        <v>19.302199999999999</v>
      </c>
      <c r="H390" s="17">
        <f>CHOOSE(CONTROL!$C$42, 19.5662, 19.5662) * CHOOSE(CONTROL!$C$21, $C$9, 100%, $E$9)</f>
        <v>19.566199999999998</v>
      </c>
      <c r="I390" s="17">
        <f>CHOOSE(CONTROL!$C$42, 19.3473, 19.3473)* CHOOSE(CONTROL!$C$21, $C$9, 100%, $E$9)</f>
        <v>19.347300000000001</v>
      </c>
      <c r="J390" s="17">
        <f>CHOOSE(CONTROL!$C$42, 19.2785, 19.2785)* CHOOSE(CONTROL!$C$21, $C$9, 100%, $E$9)</f>
        <v>19.278500000000001</v>
      </c>
      <c r="K390" s="52">
        <f>CHOOSE(CONTROL!$C$42, 19.343, 19.343) * CHOOSE(CONTROL!$C$21, $C$9, 100%, $E$9)</f>
        <v>19.343</v>
      </c>
      <c r="L390" s="17">
        <f>CHOOSE(CONTROL!$C$42, 20.1532, 20.1532) * CHOOSE(CONTROL!$C$21, $C$9, 100%, $E$9)</f>
        <v>20.153199999999998</v>
      </c>
      <c r="M390" s="17">
        <f>CHOOSE(CONTROL!$C$42, 18.9395, 18.9395) * CHOOSE(CONTROL!$C$21, $C$9, 100%, $E$9)</f>
        <v>18.939499999999999</v>
      </c>
      <c r="N390" s="17">
        <f>CHOOSE(CONTROL!$C$42, 18.9559, 18.9559) * CHOOSE(CONTROL!$C$21, $C$9, 100%, $E$9)</f>
        <v>18.9559</v>
      </c>
      <c r="O390" s="17">
        <f>CHOOSE(CONTROL!$C$42, 19.222, 19.222) * CHOOSE(CONTROL!$C$21, $C$9, 100%, $E$9)</f>
        <v>19.222000000000001</v>
      </c>
      <c r="P390" s="17">
        <f>CHOOSE(CONTROL!$C$42, 19.006, 19.006) * CHOOSE(CONTROL!$C$21, $C$9, 100%, $E$9)</f>
        <v>19.006</v>
      </c>
      <c r="Q390" s="17">
        <f>CHOOSE(CONTROL!$C$42, 19.8167, 19.8167) * CHOOSE(CONTROL!$C$21, $C$9, 100%, $E$9)</f>
        <v>19.816700000000001</v>
      </c>
      <c r="R390" s="17">
        <f>CHOOSE(CONTROL!$C$42, 20.4532, 20.4532) * CHOOSE(CONTROL!$C$21, $C$9, 100%, $E$9)</f>
        <v>20.453199999999999</v>
      </c>
      <c r="S390" s="17">
        <f>CHOOSE(CONTROL!$C$42, 18.5031, 18.5031) * CHOOSE(CONTROL!$C$21, $C$9, 100%, $E$9)</f>
        <v>18.5031</v>
      </c>
      <c r="T39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90" s="56">
        <f>(1000*CHOOSE(CONTROL!$C$42, 695, 695)*CHOOSE(CONTROL!$C$42, 0.5599, 0.5599)*CHOOSE(CONTROL!$C$42, 30, 30))/1000000</f>
        <v>11.673914999999997</v>
      </c>
      <c r="V390" s="56">
        <f>(1000*CHOOSE(CONTROL!$C$42, 500, 500)*CHOOSE(CONTROL!$C$42, 0.275, 0.275)*CHOOSE(CONTROL!$C$42, 30, 30))/1000000</f>
        <v>4.125</v>
      </c>
      <c r="W390" s="56">
        <f>(1000*CHOOSE(CONTROL!$C$42, 0.1146, 0.1146)*CHOOSE(CONTROL!$C$42, 121.5, 121.5)*CHOOSE(CONTROL!$C$42, 30, 30))/1000000</f>
        <v>0.417717</v>
      </c>
      <c r="X390" s="56">
        <f>(30*0.1790888*145000/1000000)+(30*0.2374*100000/1000000)</f>
        <v>1.4912362799999999</v>
      </c>
      <c r="Y390" s="56"/>
      <c r="Z390" s="17"/>
      <c r="AA390" s="55"/>
      <c r="AB390" s="48">
        <f>(B390*194.205+C390*267.466+D390*133.845+E390*153.484+F390*40+G390*85+H390*0+I390*100+J390*300)/(194.205+267.466+133.845+153.484+0+40+85+100+300)</f>
        <v>19.347397303767661</v>
      </c>
      <c r="AC390" s="45">
        <f>(M390*'RAP TEMPLATE-GAS AVAILABILITY'!O389+N390*'RAP TEMPLATE-GAS AVAILABILITY'!P389+O390*'RAP TEMPLATE-GAS AVAILABILITY'!Q389+P390*'RAP TEMPLATE-GAS AVAILABILITY'!R389)/('RAP TEMPLATE-GAS AVAILABILITY'!O389+'RAP TEMPLATE-GAS AVAILABILITY'!P389+'RAP TEMPLATE-GAS AVAILABILITY'!Q389+'RAP TEMPLATE-GAS AVAILABILITY'!R389)</f>
        <v>19.032106474820143</v>
      </c>
    </row>
    <row r="391" spans="1:29" ht="15.75" x14ac:dyDescent="0.25">
      <c r="A391" s="14">
        <v>52809</v>
      </c>
      <c r="B391" s="17">
        <f>CHOOSE(CONTROL!$C$42, 18.8977, 18.8977) * CHOOSE(CONTROL!$C$21, $C$9, 100%, $E$9)</f>
        <v>18.8977</v>
      </c>
      <c r="C391" s="17">
        <f>CHOOSE(CONTROL!$C$42, 18.9057, 18.9057) * CHOOSE(CONTROL!$C$21, $C$9, 100%, $E$9)</f>
        <v>18.9057</v>
      </c>
      <c r="D391" s="17">
        <f>CHOOSE(CONTROL!$C$42, 19.1767, 19.1767) * CHOOSE(CONTROL!$C$21, $C$9, 100%, $E$9)</f>
        <v>19.1767</v>
      </c>
      <c r="E391" s="17">
        <f>CHOOSE(CONTROL!$C$42, 19.2082, 19.2082) * CHOOSE(CONTROL!$C$21, $C$9, 100%, $E$9)</f>
        <v>19.208200000000001</v>
      </c>
      <c r="F391" s="17">
        <f>CHOOSE(CONTROL!$C$42, 18.9165, 18.9165)*CHOOSE(CONTROL!$C$21, $C$9, 100%, $E$9)</f>
        <v>18.916499999999999</v>
      </c>
      <c r="G391" s="17">
        <f>CHOOSE(CONTROL!$C$42, 18.9333, 18.9333)*CHOOSE(CONTROL!$C$21, $C$9, 100%, $E$9)</f>
        <v>18.933299999999999</v>
      </c>
      <c r="H391" s="17">
        <f>CHOOSE(CONTROL!$C$42, 19.1968, 19.1968) * CHOOSE(CONTROL!$C$21, $C$9, 100%, $E$9)</f>
        <v>19.1968</v>
      </c>
      <c r="I391" s="17">
        <f>CHOOSE(CONTROL!$C$42, 18.9767, 18.9767)* CHOOSE(CONTROL!$C$21, $C$9, 100%, $E$9)</f>
        <v>18.976700000000001</v>
      </c>
      <c r="J391" s="17">
        <f>CHOOSE(CONTROL!$C$42, 18.9095, 18.9095)* CHOOSE(CONTROL!$C$21, $C$9, 100%, $E$9)</f>
        <v>18.909500000000001</v>
      </c>
      <c r="K391" s="52">
        <f>CHOOSE(CONTROL!$C$42, 18.9725, 18.9725) * CHOOSE(CONTROL!$C$21, $C$9, 100%, $E$9)</f>
        <v>18.9725</v>
      </c>
      <c r="L391" s="17">
        <f>CHOOSE(CONTROL!$C$42, 19.7838, 19.7838) * CHOOSE(CONTROL!$C$21, $C$9, 100%, $E$9)</f>
        <v>19.783799999999999</v>
      </c>
      <c r="M391" s="17">
        <f>CHOOSE(CONTROL!$C$42, 18.5771, 18.5771) * CHOOSE(CONTROL!$C$21, $C$9, 100%, $E$9)</f>
        <v>18.577100000000002</v>
      </c>
      <c r="N391" s="17">
        <f>CHOOSE(CONTROL!$C$42, 18.5936, 18.5936) * CHOOSE(CONTROL!$C$21, $C$9, 100%, $E$9)</f>
        <v>18.593599999999999</v>
      </c>
      <c r="O391" s="17">
        <f>CHOOSE(CONTROL!$C$42, 18.8592, 18.8592) * CHOOSE(CONTROL!$C$21, $C$9, 100%, $E$9)</f>
        <v>18.859200000000001</v>
      </c>
      <c r="P391" s="17">
        <f>CHOOSE(CONTROL!$C$42, 18.6421, 18.6421) * CHOOSE(CONTROL!$C$21, $C$9, 100%, $E$9)</f>
        <v>18.642099999999999</v>
      </c>
      <c r="Q391" s="17">
        <f>CHOOSE(CONTROL!$C$42, 19.4539, 19.4539) * CHOOSE(CONTROL!$C$21, $C$9, 100%, $E$9)</f>
        <v>19.453900000000001</v>
      </c>
      <c r="R391" s="17">
        <f>CHOOSE(CONTROL!$C$42, 20.0896, 20.0896) * CHOOSE(CONTROL!$C$21, $C$9, 100%, $E$9)</f>
        <v>20.089600000000001</v>
      </c>
      <c r="S391" s="17">
        <f>CHOOSE(CONTROL!$C$42, 18.1481, 18.1481) * CHOOSE(CONTROL!$C$21, $C$9, 100%, $E$9)</f>
        <v>18.148099999999999</v>
      </c>
      <c r="T39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91" s="56">
        <f>(1000*CHOOSE(CONTROL!$C$42, 695, 695)*CHOOSE(CONTROL!$C$42, 0.5599, 0.5599)*CHOOSE(CONTROL!$C$42, 31, 31))/1000000</f>
        <v>12.063045499999998</v>
      </c>
      <c r="V391" s="56">
        <f>(1000*CHOOSE(CONTROL!$C$42, 500, 500)*CHOOSE(CONTROL!$C$42, 0.275, 0.275)*CHOOSE(CONTROL!$C$42, 31, 31))/1000000</f>
        <v>4.2625000000000002</v>
      </c>
      <c r="W391" s="56">
        <f>(1000*CHOOSE(CONTROL!$C$42, 0.1146, 0.1146)*CHOOSE(CONTROL!$C$42, 121.5, 121.5)*CHOOSE(CONTROL!$C$42, 31, 31))/1000000</f>
        <v>0.43164089999999994</v>
      </c>
      <c r="X391" s="56">
        <f>(31*0.1790888*145000/1000000)+(31*0.2374*100000/1000000)</f>
        <v>1.5409441560000001</v>
      </c>
      <c r="Y391" s="56"/>
      <c r="Z391" s="17"/>
      <c r="AA391" s="55"/>
      <c r="AB391" s="48">
        <f>(B391*194.205+C391*267.466+D391*133.845+E391*153.484+F391*40+G391*85+H391*0+I391*100+J391*300)/(194.205+267.466+133.845+153.484+0+40+85+100+300)</f>
        <v>18.97804322213501</v>
      </c>
      <c r="AC391" s="45">
        <f>(M391*'RAP TEMPLATE-GAS AVAILABILITY'!O390+N391*'RAP TEMPLATE-GAS AVAILABILITY'!P390+O391*'RAP TEMPLATE-GAS AVAILABILITY'!Q390+P391*'RAP TEMPLATE-GAS AVAILABILITY'!R390)/('RAP TEMPLATE-GAS AVAILABILITY'!O390+'RAP TEMPLATE-GAS AVAILABILITY'!P390+'RAP TEMPLATE-GAS AVAILABILITY'!Q390+'RAP TEMPLATE-GAS AVAILABILITY'!R390)</f>
        <v>18.669401438848922</v>
      </c>
    </row>
    <row r="392" spans="1:29" ht="15.75" x14ac:dyDescent="0.25">
      <c r="A392" s="14">
        <v>52840</v>
      </c>
      <c r="B392" s="17">
        <f>CHOOSE(CONTROL!$C$42, 17.9648, 17.9648) * CHOOSE(CONTROL!$C$21, $C$9, 100%, $E$9)</f>
        <v>17.9648</v>
      </c>
      <c r="C392" s="17">
        <f>CHOOSE(CONTROL!$C$42, 17.9728, 17.9728) * CHOOSE(CONTROL!$C$21, $C$9, 100%, $E$9)</f>
        <v>17.972799999999999</v>
      </c>
      <c r="D392" s="17">
        <f>CHOOSE(CONTROL!$C$42, 18.2439, 18.2439) * CHOOSE(CONTROL!$C$21, $C$9, 100%, $E$9)</f>
        <v>18.2439</v>
      </c>
      <c r="E392" s="17">
        <f>CHOOSE(CONTROL!$C$42, 18.2753, 18.2753) * CHOOSE(CONTROL!$C$21, $C$9, 100%, $E$9)</f>
        <v>18.275300000000001</v>
      </c>
      <c r="F392" s="17">
        <f>CHOOSE(CONTROL!$C$42, 17.9839, 17.9839)*CHOOSE(CONTROL!$C$21, $C$9, 100%, $E$9)</f>
        <v>17.983899999999998</v>
      </c>
      <c r="G392" s="17">
        <f>CHOOSE(CONTROL!$C$42, 18.0008, 18.0008)*CHOOSE(CONTROL!$C$21, $C$9, 100%, $E$9)</f>
        <v>18.000800000000002</v>
      </c>
      <c r="H392" s="17">
        <f>CHOOSE(CONTROL!$C$42, 18.264, 18.264) * CHOOSE(CONTROL!$C$21, $C$9, 100%, $E$9)</f>
        <v>18.263999999999999</v>
      </c>
      <c r="I392" s="17">
        <f>CHOOSE(CONTROL!$C$42, 18.0409, 18.0409)* CHOOSE(CONTROL!$C$21, $C$9, 100%, $E$9)</f>
        <v>18.040900000000001</v>
      </c>
      <c r="J392" s="17">
        <f>CHOOSE(CONTROL!$C$42, 17.9769, 17.9769)* CHOOSE(CONTROL!$C$21, $C$9, 100%, $E$9)</f>
        <v>17.976900000000001</v>
      </c>
      <c r="K392" s="52">
        <f>CHOOSE(CONTROL!$C$42, 18.0367, 18.0367) * CHOOSE(CONTROL!$C$21, $C$9, 100%, $E$9)</f>
        <v>18.0367</v>
      </c>
      <c r="L392" s="17">
        <f>CHOOSE(CONTROL!$C$42, 18.851, 18.851) * CHOOSE(CONTROL!$C$21, $C$9, 100%, $E$9)</f>
        <v>18.850999999999999</v>
      </c>
      <c r="M392" s="17">
        <f>CHOOSE(CONTROL!$C$42, 17.6613, 17.6613) * CHOOSE(CONTROL!$C$21, $C$9, 100%, $E$9)</f>
        <v>17.661300000000001</v>
      </c>
      <c r="N392" s="17">
        <f>CHOOSE(CONTROL!$C$42, 17.6778, 17.6778) * CHOOSE(CONTROL!$C$21, $C$9, 100%, $E$9)</f>
        <v>17.677800000000001</v>
      </c>
      <c r="O392" s="17">
        <f>CHOOSE(CONTROL!$C$42, 17.9432, 17.9432) * CHOOSE(CONTROL!$C$21, $C$9, 100%, $E$9)</f>
        <v>17.943200000000001</v>
      </c>
      <c r="P392" s="17">
        <f>CHOOSE(CONTROL!$C$42, 17.7232, 17.7232) * CHOOSE(CONTROL!$C$21, $C$9, 100%, $E$9)</f>
        <v>17.723199999999999</v>
      </c>
      <c r="Q392" s="17">
        <f>CHOOSE(CONTROL!$C$42, 18.5379, 18.5379) * CHOOSE(CONTROL!$C$21, $C$9, 100%, $E$9)</f>
        <v>18.5379</v>
      </c>
      <c r="R392" s="17">
        <f>CHOOSE(CONTROL!$C$42, 19.1712, 19.1712) * CHOOSE(CONTROL!$C$21, $C$9, 100%, $E$9)</f>
        <v>19.171199999999999</v>
      </c>
      <c r="S392" s="17">
        <f>CHOOSE(CONTROL!$C$42, 17.2517, 17.2517) * CHOOSE(CONTROL!$C$21, $C$9, 100%, $E$9)</f>
        <v>17.2517</v>
      </c>
      <c r="T39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92" s="56">
        <f>(1000*CHOOSE(CONTROL!$C$42, 695, 695)*CHOOSE(CONTROL!$C$42, 0.5599, 0.5599)*CHOOSE(CONTROL!$C$42, 31, 31))/1000000</f>
        <v>12.063045499999998</v>
      </c>
      <c r="V392" s="56">
        <f>(1000*CHOOSE(CONTROL!$C$42, 500, 500)*CHOOSE(CONTROL!$C$42, 0.275, 0.275)*CHOOSE(CONTROL!$C$42, 31, 31))/1000000</f>
        <v>4.2625000000000002</v>
      </c>
      <c r="W392" s="56">
        <f>(1000*CHOOSE(CONTROL!$C$42, 0.1146, 0.1146)*CHOOSE(CONTROL!$C$42, 121.5, 121.5)*CHOOSE(CONTROL!$C$42, 31, 31))/1000000</f>
        <v>0.43164089999999994</v>
      </c>
      <c r="X392" s="56">
        <f>(31*0.1790888*145000/1000000)+(31*0.2374*100000/1000000)</f>
        <v>1.5409441560000001</v>
      </c>
      <c r="Y392" s="56"/>
      <c r="Z392" s="17"/>
      <c r="AA392" s="55"/>
      <c r="AB392" s="48">
        <f>(B392*194.205+C392*267.466+D392*133.845+E392*153.484+F392*40+G392*85+H392*0+I392*100+J392*300)/(194.205+267.466+133.845+153.484+0+40+85+100+300)</f>
        <v>18.045032848901098</v>
      </c>
      <c r="AC392" s="45">
        <f>(M392*'RAP TEMPLATE-GAS AVAILABILITY'!O391+N392*'RAP TEMPLATE-GAS AVAILABILITY'!P391+O392*'RAP TEMPLATE-GAS AVAILABILITY'!Q391+P392*'RAP TEMPLATE-GAS AVAILABILITY'!R391)/('RAP TEMPLATE-GAS AVAILABILITY'!O391+'RAP TEMPLATE-GAS AVAILABILITY'!P391+'RAP TEMPLATE-GAS AVAILABILITY'!Q391+'RAP TEMPLATE-GAS AVAILABILITY'!R391)</f>
        <v>17.75309928057554</v>
      </c>
    </row>
    <row r="393" spans="1:29" ht="15.75" x14ac:dyDescent="0.25">
      <c r="A393" s="14">
        <v>52870</v>
      </c>
      <c r="B393" s="17">
        <f>CHOOSE(CONTROL!$C$42, 16.8248, 16.8248) * CHOOSE(CONTROL!$C$21, $C$9, 100%, $E$9)</f>
        <v>16.8248</v>
      </c>
      <c r="C393" s="17">
        <f>CHOOSE(CONTROL!$C$42, 16.8328, 16.8328) * CHOOSE(CONTROL!$C$21, $C$9, 100%, $E$9)</f>
        <v>16.832799999999999</v>
      </c>
      <c r="D393" s="17">
        <f>CHOOSE(CONTROL!$C$42, 17.1039, 17.1039) * CHOOSE(CONTROL!$C$21, $C$9, 100%, $E$9)</f>
        <v>17.103899999999999</v>
      </c>
      <c r="E393" s="17">
        <f>CHOOSE(CONTROL!$C$42, 17.1353, 17.1353) * CHOOSE(CONTROL!$C$21, $C$9, 100%, $E$9)</f>
        <v>17.135300000000001</v>
      </c>
      <c r="F393" s="17">
        <f>CHOOSE(CONTROL!$C$42, 16.844, 16.844)*CHOOSE(CONTROL!$C$21, $C$9, 100%, $E$9)</f>
        <v>16.844000000000001</v>
      </c>
      <c r="G393" s="17">
        <f>CHOOSE(CONTROL!$C$42, 16.8609, 16.8609)*CHOOSE(CONTROL!$C$21, $C$9, 100%, $E$9)</f>
        <v>16.860900000000001</v>
      </c>
      <c r="H393" s="17">
        <f>CHOOSE(CONTROL!$C$42, 17.124, 17.124) * CHOOSE(CONTROL!$C$21, $C$9, 100%, $E$9)</f>
        <v>17.123999999999999</v>
      </c>
      <c r="I393" s="17">
        <f>CHOOSE(CONTROL!$C$42, 16.8973, 16.8973)* CHOOSE(CONTROL!$C$21, $C$9, 100%, $E$9)</f>
        <v>16.897300000000001</v>
      </c>
      <c r="J393" s="17">
        <f>CHOOSE(CONTROL!$C$42, 16.837, 16.837)* CHOOSE(CONTROL!$C$21, $C$9, 100%, $E$9)</f>
        <v>16.837</v>
      </c>
      <c r="K393" s="52">
        <f>CHOOSE(CONTROL!$C$42, 16.8931, 16.8931) * CHOOSE(CONTROL!$C$21, $C$9, 100%, $E$9)</f>
        <v>16.8931</v>
      </c>
      <c r="L393" s="17">
        <f>CHOOSE(CONTROL!$C$42, 17.711, 17.711) * CHOOSE(CONTROL!$C$21, $C$9, 100%, $E$9)</f>
        <v>17.710999999999999</v>
      </c>
      <c r="M393" s="17">
        <f>CHOOSE(CONTROL!$C$42, 16.5418, 16.5418) * CHOOSE(CONTROL!$C$21, $C$9, 100%, $E$9)</f>
        <v>16.541799999999999</v>
      </c>
      <c r="N393" s="17">
        <f>CHOOSE(CONTROL!$C$42, 16.5584, 16.5584) * CHOOSE(CONTROL!$C$21, $C$9, 100%, $E$9)</f>
        <v>16.558399999999999</v>
      </c>
      <c r="O393" s="17">
        <f>CHOOSE(CONTROL!$C$42, 16.8236, 16.8236) * CHOOSE(CONTROL!$C$21, $C$9, 100%, $E$9)</f>
        <v>16.823599999999999</v>
      </c>
      <c r="P393" s="17">
        <f>CHOOSE(CONTROL!$C$42, 16.6002, 16.6002) * CHOOSE(CONTROL!$C$21, $C$9, 100%, $E$9)</f>
        <v>16.600200000000001</v>
      </c>
      <c r="Q393" s="17">
        <f>CHOOSE(CONTROL!$C$42, 17.4183, 17.4183) * CHOOSE(CONTROL!$C$21, $C$9, 100%, $E$9)</f>
        <v>17.418299999999999</v>
      </c>
      <c r="R393" s="17">
        <f>CHOOSE(CONTROL!$C$42, 18.0489, 18.0489) * CHOOSE(CONTROL!$C$21, $C$9, 100%, $E$9)</f>
        <v>18.0489</v>
      </c>
      <c r="S393" s="17">
        <f>CHOOSE(CONTROL!$C$42, 16.1563, 16.1563) * CHOOSE(CONTROL!$C$21, $C$9, 100%, $E$9)</f>
        <v>16.156300000000002</v>
      </c>
      <c r="T39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93" s="56">
        <f>(1000*CHOOSE(CONTROL!$C$42, 695, 695)*CHOOSE(CONTROL!$C$42, 0.5599, 0.5599)*CHOOSE(CONTROL!$C$42, 30, 30))/1000000</f>
        <v>11.673914999999997</v>
      </c>
      <c r="V393" s="56">
        <f>(1000*CHOOSE(CONTROL!$C$42, 500, 500)*CHOOSE(CONTROL!$C$42, 0.275, 0.275)*CHOOSE(CONTROL!$C$42, 30, 30))/1000000</f>
        <v>4.125</v>
      </c>
      <c r="W393" s="56">
        <f>(1000*CHOOSE(CONTROL!$C$42, 0.1146, 0.1146)*CHOOSE(CONTROL!$C$42, 121.5, 121.5)*CHOOSE(CONTROL!$C$42, 30, 30))/1000000</f>
        <v>0.417717</v>
      </c>
      <c r="X393" s="56">
        <f>(30*0.1790888*145000/1000000)+(30*0.2374*100000/1000000)</f>
        <v>1.4912362799999999</v>
      </c>
      <c r="Y393" s="56"/>
      <c r="Z393" s="17"/>
      <c r="AA393" s="55"/>
      <c r="AB393" s="48">
        <f>(B393*194.205+C393*267.466+D393*133.845+E393*153.484+F393*40+G393*85+H393*0+I393*100+J393*300)/(194.205+267.466+133.845+153.484+0+40+85+100+300)</f>
        <v>16.904783633830455</v>
      </c>
      <c r="AC393" s="45">
        <f>(M393*'RAP TEMPLATE-GAS AVAILABILITY'!O392+N393*'RAP TEMPLATE-GAS AVAILABILITY'!P392+O393*'RAP TEMPLATE-GAS AVAILABILITY'!Q392+P393*'RAP TEMPLATE-GAS AVAILABILITY'!R392)/('RAP TEMPLATE-GAS AVAILABILITY'!O392+'RAP TEMPLATE-GAS AVAILABILITY'!P392+'RAP TEMPLATE-GAS AVAILABILITY'!Q392+'RAP TEMPLATE-GAS AVAILABILITY'!R392)</f>
        <v>16.633090647482014</v>
      </c>
    </row>
    <row r="394" spans="1:29" ht="15.75" x14ac:dyDescent="0.25">
      <c r="A394" s="14">
        <v>52901</v>
      </c>
      <c r="B394" s="17">
        <f>CHOOSE(CONTROL!$C$42, 16.4816, 16.4816) * CHOOSE(CONTROL!$C$21, $C$9, 100%, $E$9)</f>
        <v>16.4816</v>
      </c>
      <c r="C394" s="17">
        <f>CHOOSE(CONTROL!$C$42, 16.487, 16.487) * CHOOSE(CONTROL!$C$21, $C$9, 100%, $E$9)</f>
        <v>16.486999999999998</v>
      </c>
      <c r="D394" s="17">
        <f>CHOOSE(CONTROL!$C$42, 16.763, 16.763) * CHOOSE(CONTROL!$C$21, $C$9, 100%, $E$9)</f>
        <v>16.763000000000002</v>
      </c>
      <c r="E394" s="17">
        <f>CHOOSE(CONTROL!$C$42, 16.7921, 16.7921) * CHOOSE(CONTROL!$C$21, $C$9, 100%, $E$9)</f>
        <v>16.792100000000001</v>
      </c>
      <c r="F394" s="17">
        <f>CHOOSE(CONTROL!$C$42, 16.5031, 16.5031)*CHOOSE(CONTROL!$C$21, $C$9, 100%, $E$9)</f>
        <v>16.5031</v>
      </c>
      <c r="G394" s="17">
        <f>CHOOSE(CONTROL!$C$42, 16.5198, 16.5198)*CHOOSE(CONTROL!$C$21, $C$9, 100%, $E$9)</f>
        <v>16.5198</v>
      </c>
      <c r="H394" s="17">
        <f>CHOOSE(CONTROL!$C$42, 16.7826, 16.7826) * CHOOSE(CONTROL!$C$21, $C$9, 100%, $E$9)</f>
        <v>16.782599999999999</v>
      </c>
      <c r="I394" s="17">
        <f>CHOOSE(CONTROL!$C$42, 16.5549, 16.5549)* CHOOSE(CONTROL!$C$21, $C$9, 100%, $E$9)</f>
        <v>16.5549</v>
      </c>
      <c r="J394" s="17">
        <f>CHOOSE(CONTROL!$C$42, 16.4961, 16.4961)* CHOOSE(CONTROL!$C$21, $C$9, 100%, $E$9)</f>
        <v>16.496099999999998</v>
      </c>
      <c r="K394" s="52">
        <f>CHOOSE(CONTROL!$C$42, 16.5507, 16.5507) * CHOOSE(CONTROL!$C$21, $C$9, 100%, $E$9)</f>
        <v>16.550699999999999</v>
      </c>
      <c r="L394" s="17">
        <f>CHOOSE(CONTROL!$C$42, 17.3696, 17.3696) * CHOOSE(CONTROL!$C$21, $C$9, 100%, $E$9)</f>
        <v>17.369599999999998</v>
      </c>
      <c r="M394" s="17">
        <f>CHOOSE(CONTROL!$C$42, 16.207, 16.207) * CHOOSE(CONTROL!$C$21, $C$9, 100%, $E$9)</f>
        <v>16.207000000000001</v>
      </c>
      <c r="N394" s="17">
        <f>CHOOSE(CONTROL!$C$42, 16.2235, 16.2235) * CHOOSE(CONTROL!$C$21, $C$9, 100%, $E$9)</f>
        <v>16.223500000000001</v>
      </c>
      <c r="O394" s="17">
        <f>CHOOSE(CONTROL!$C$42, 16.4884, 16.4884) * CHOOSE(CONTROL!$C$21, $C$9, 100%, $E$9)</f>
        <v>16.488399999999999</v>
      </c>
      <c r="P394" s="17">
        <f>CHOOSE(CONTROL!$C$42, 16.264, 16.264) * CHOOSE(CONTROL!$C$21, $C$9, 100%, $E$9)</f>
        <v>16.263999999999999</v>
      </c>
      <c r="Q394" s="17">
        <f>CHOOSE(CONTROL!$C$42, 17.0831, 17.0831) * CHOOSE(CONTROL!$C$21, $C$9, 100%, $E$9)</f>
        <v>17.083100000000002</v>
      </c>
      <c r="R394" s="17">
        <f>CHOOSE(CONTROL!$C$42, 17.7128, 17.7128) * CHOOSE(CONTROL!$C$21, $C$9, 100%, $E$9)</f>
        <v>17.712800000000001</v>
      </c>
      <c r="S394" s="17">
        <f>CHOOSE(CONTROL!$C$42, 15.8283, 15.8283) * CHOOSE(CONTROL!$C$21, $C$9, 100%, $E$9)</f>
        <v>15.8283</v>
      </c>
      <c r="T39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94" s="56">
        <f>(1000*CHOOSE(CONTROL!$C$42, 695, 695)*CHOOSE(CONTROL!$C$42, 0.5599, 0.5599)*CHOOSE(CONTROL!$C$42, 31, 31))/1000000</f>
        <v>12.063045499999998</v>
      </c>
      <c r="V394" s="56">
        <f>(1000*CHOOSE(CONTROL!$C$42, 500, 500)*CHOOSE(CONTROL!$C$42, 0.275, 0.275)*CHOOSE(CONTROL!$C$42, 31, 31))/1000000</f>
        <v>4.2625000000000002</v>
      </c>
      <c r="W394" s="56">
        <f>(1000*CHOOSE(CONTROL!$C$42, 0.1146, 0.1146)*CHOOSE(CONTROL!$C$42, 121.5, 121.5)*CHOOSE(CONTROL!$C$42, 31, 31))/1000000</f>
        <v>0.43164089999999994</v>
      </c>
      <c r="X394" s="56">
        <f>(31*0.1790888*145000/1000000)+(31*0.2374*100000/1000000)</f>
        <v>1.5409441560000001</v>
      </c>
      <c r="Y394" s="56"/>
      <c r="Z394" s="17"/>
      <c r="AA394" s="55"/>
      <c r="AB394" s="48">
        <f>(B394*131.881+C394*277.167+D394*79.08+E394*225.872+F394*40+G394*85+H394*0+I394*100+J394*300)/(131.881+277.167+79.08+225.872+0+40+85+100+300)</f>
        <v>16.570114987732044</v>
      </c>
      <c r="AC394" s="45">
        <f>(M394*'RAP TEMPLATE-GAS AVAILABILITY'!O393+N394*'RAP TEMPLATE-GAS AVAILABILITY'!P393+O394*'RAP TEMPLATE-GAS AVAILABILITY'!Q393+P394*'RAP TEMPLATE-GAS AVAILABILITY'!R393)/('RAP TEMPLATE-GAS AVAILABILITY'!O393+'RAP TEMPLATE-GAS AVAILABILITY'!P393+'RAP TEMPLATE-GAS AVAILABILITY'!Q393+'RAP TEMPLATE-GAS AVAILABILITY'!R393)</f>
        <v>16.297953956834533</v>
      </c>
    </row>
    <row r="395" spans="1:29" ht="15.75" x14ac:dyDescent="0.25">
      <c r="A395" s="14">
        <v>52931</v>
      </c>
      <c r="B395" s="17">
        <f>CHOOSE(CONTROL!$C$42, 16.9152, 16.9152) * CHOOSE(CONTROL!$C$21, $C$9, 100%, $E$9)</f>
        <v>16.915199999999999</v>
      </c>
      <c r="C395" s="17">
        <f>CHOOSE(CONTROL!$C$42, 16.9202, 16.9202) * CHOOSE(CONTROL!$C$21, $C$9, 100%, $E$9)</f>
        <v>16.920200000000001</v>
      </c>
      <c r="D395" s="17">
        <f>CHOOSE(CONTROL!$C$42, 17.0153, 17.0153) * CHOOSE(CONTROL!$C$21, $C$9, 100%, $E$9)</f>
        <v>17.0153</v>
      </c>
      <c r="E395" s="17">
        <f>CHOOSE(CONTROL!$C$42, 17.0494, 17.0494) * CHOOSE(CONTROL!$C$21, $C$9, 100%, $E$9)</f>
        <v>17.049399999999999</v>
      </c>
      <c r="F395" s="17">
        <f>CHOOSE(CONTROL!$C$42, 16.9391, 16.9391)*CHOOSE(CONTROL!$C$21, $C$9, 100%, $E$9)</f>
        <v>16.9391</v>
      </c>
      <c r="G395" s="17">
        <f>CHOOSE(CONTROL!$C$42, 16.9561, 16.9561)*CHOOSE(CONTROL!$C$21, $C$9, 100%, $E$9)</f>
        <v>16.956099999999999</v>
      </c>
      <c r="H395" s="17">
        <f>CHOOSE(CONTROL!$C$42, 17.0386, 17.0386) * CHOOSE(CONTROL!$C$21, $C$9, 100%, $E$9)</f>
        <v>17.038599999999999</v>
      </c>
      <c r="I395" s="17">
        <f>CHOOSE(CONTROL!$C$42, 16.9881, 16.9881)* CHOOSE(CONTROL!$C$21, $C$9, 100%, $E$9)</f>
        <v>16.988099999999999</v>
      </c>
      <c r="J395" s="17">
        <f>CHOOSE(CONTROL!$C$42, 16.9321, 16.9321)* CHOOSE(CONTROL!$C$21, $C$9, 100%, $E$9)</f>
        <v>16.932099999999998</v>
      </c>
      <c r="K395" s="52">
        <f>CHOOSE(CONTROL!$C$42, 16.9839, 16.9839) * CHOOSE(CONTROL!$C$21, $C$9, 100%, $E$9)</f>
        <v>16.983899999999998</v>
      </c>
      <c r="L395" s="17">
        <f>CHOOSE(CONTROL!$C$42, 17.6256, 17.6256) * CHOOSE(CONTROL!$C$21, $C$9, 100%, $E$9)</f>
        <v>17.625599999999999</v>
      </c>
      <c r="M395" s="17">
        <f>CHOOSE(CONTROL!$C$42, 16.6352, 16.6352) * CHOOSE(CONTROL!$C$21, $C$9, 100%, $E$9)</f>
        <v>16.635200000000001</v>
      </c>
      <c r="N395" s="17">
        <f>CHOOSE(CONTROL!$C$42, 16.652, 16.652) * CHOOSE(CONTROL!$C$21, $C$9, 100%, $E$9)</f>
        <v>16.652000000000001</v>
      </c>
      <c r="O395" s="17">
        <f>CHOOSE(CONTROL!$C$42, 16.7398, 16.7398) * CHOOSE(CONTROL!$C$21, $C$9, 100%, $E$9)</f>
        <v>16.739799999999999</v>
      </c>
      <c r="P395" s="17">
        <f>CHOOSE(CONTROL!$C$42, 16.6894, 16.6894) * CHOOSE(CONTROL!$C$21, $C$9, 100%, $E$9)</f>
        <v>16.689399999999999</v>
      </c>
      <c r="Q395" s="17">
        <f>CHOOSE(CONTROL!$C$42, 17.3345, 17.3345) * CHOOSE(CONTROL!$C$21, $C$9, 100%, $E$9)</f>
        <v>17.334499999999998</v>
      </c>
      <c r="R395" s="17">
        <f>CHOOSE(CONTROL!$C$42, 17.9648, 17.9648) * CHOOSE(CONTROL!$C$21, $C$9, 100%, $E$9)</f>
        <v>17.9648</v>
      </c>
      <c r="S395" s="17">
        <f>CHOOSE(CONTROL!$C$42, 16.2452, 16.2452) * CHOOSE(CONTROL!$C$21, $C$9, 100%, $E$9)</f>
        <v>16.245200000000001</v>
      </c>
      <c r="T39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95" s="56">
        <f>(1000*CHOOSE(CONTROL!$C$42, 695, 695)*CHOOSE(CONTROL!$C$42, 0.5599, 0.5599)*CHOOSE(CONTROL!$C$42, 30, 30))/1000000</f>
        <v>11.673914999999997</v>
      </c>
      <c r="V395" s="56">
        <f>(1000*CHOOSE(CONTROL!$C$42, 500, 500)*CHOOSE(CONTROL!$C$42, 0.275, 0.275)*CHOOSE(CONTROL!$C$42, 30, 30))/1000000</f>
        <v>4.125</v>
      </c>
      <c r="W395" s="56">
        <f>(1000*CHOOSE(CONTROL!$C$42, 0.1146, 0.1146)*CHOOSE(CONTROL!$C$42, 121.5, 121.5)*CHOOSE(CONTROL!$C$42, 30, 30))/1000000</f>
        <v>0.417717</v>
      </c>
      <c r="X395" s="56">
        <f>(30*0.2374*100000/1000000)</f>
        <v>0.71220000000000006</v>
      </c>
      <c r="Y395" s="56"/>
      <c r="Z395" s="17"/>
      <c r="AA395" s="55"/>
      <c r="AB395" s="48">
        <f>(B395*122.58+C395*297.941+D395*89.177+E395*140.302+F395*40+G395*60+H395*0+I395*100+J395*300)/(122.58+297.941+89.177+140.302+0+40+60+100+300)</f>
        <v>16.954343348782604</v>
      </c>
      <c r="AC395" s="45">
        <f>(M395*'RAP TEMPLATE-GAS AVAILABILITY'!O394+N395*'RAP TEMPLATE-GAS AVAILABILITY'!P394+O395*'RAP TEMPLATE-GAS AVAILABILITY'!Q394+P395*'RAP TEMPLATE-GAS AVAILABILITY'!R394)/('RAP TEMPLATE-GAS AVAILABILITY'!O394+'RAP TEMPLATE-GAS AVAILABILITY'!P394+'RAP TEMPLATE-GAS AVAILABILITY'!Q394+'RAP TEMPLATE-GAS AVAILABILITY'!R394)</f>
        <v>16.691374100719422</v>
      </c>
    </row>
    <row r="396" spans="1:29" ht="15.75" x14ac:dyDescent="0.25">
      <c r="A396" s="14">
        <v>52962</v>
      </c>
      <c r="B396" s="17">
        <f>CHOOSE(CONTROL!$C$42, 18.0678, 18.0678) * CHOOSE(CONTROL!$C$21, $C$9, 100%, $E$9)</f>
        <v>18.067799999999998</v>
      </c>
      <c r="C396" s="17">
        <f>CHOOSE(CONTROL!$C$42, 18.0729, 18.0729) * CHOOSE(CONTROL!$C$21, $C$9, 100%, $E$9)</f>
        <v>18.072900000000001</v>
      </c>
      <c r="D396" s="17">
        <f>CHOOSE(CONTROL!$C$42, 18.1679, 18.1679) * CHOOSE(CONTROL!$C$21, $C$9, 100%, $E$9)</f>
        <v>18.167899999999999</v>
      </c>
      <c r="E396" s="17">
        <f>CHOOSE(CONTROL!$C$42, 18.202, 18.202) * CHOOSE(CONTROL!$C$21, $C$9, 100%, $E$9)</f>
        <v>18.202000000000002</v>
      </c>
      <c r="F396" s="17">
        <f>CHOOSE(CONTROL!$C$42, 18.094, 18.094)*CHOOSE(CONTROL!$C$21, $C$9, 100%, $E$9)</f>
        <v>18.094000000000001</v>
      </c>
      <c r="G396" s="17">
        <f>CHOOSE(CONTROL!$C$42, 18.1117, 18.1117)*CHOOSE(CONTROL!$C$21, $C$9, 100%, $E$9)</f>
        <v>18.111699999999999</v>
      </c>
      <c r="H396" s="17">
        <f>CHOOSE(CONTROL!$C$42, 18.1912, 18.1912) * CHOOSE(CONTROL!$C$21, $C$9, 100%, $E$9)</f>
        <v>18.191199999999998</v>
      </c>
      <c r="I396" s="17">
        <f>CHOOSE(CONTROL!$C$42, 18.1443, 18.1443)* CHOOSE(CONTROL!$C$21, $C$9, 100%, $E$9)</f>
        <v>18.144300000000001</v>
      </c>
      <c r="J396" s="17">
        <f>CHOOSE(CONTROL!$C$42, 18.087, 18.087)* CHOOSE(CONTROL!$C$21, $C$9, 100%, $E$9)</f>
        <v>18.087</v>
      </c>
      <c r="K396" s="52">
        <f>CHOOSE(CONTROL!$C$42, 18.1401, 18.1401) * CHOOSE(CONTROL!$C$21, $C$9, 100%, $E$9)</f>
        <v>18.1401</v>
      </c>
      <c r="L396" s="17">
        <f>CHOOSE(CONTROL!$C$42, 18.7782, 18.7782) * CHOOSE(CONTROL!$C$21, $C$9, 100%, $E$9)</f>
        <v>18.778199999999998</v>
      </c>
      <c r="M396" s="17">
        <f>CHOOSE(CONTROL!$C$42, 17.7694, 17.7694) * CHOOSE(CONTROL!$C$21, $C$9, 100%, $E$9)</f>
        <v>17.769400000000001</v>
      </c>
      <c r="N396" s="17">
        <f>CHOOSE(CONTROL!$C$42, 17.7868, 17.7868) * CHOOSE(CONTROL!$C$21, $C$9, 100%, $E$9)</f>
        <v>17.786799999999999</v>
      </c>
      <c r="O396" s="17">
        <f>CHOOSE(CONTROL!$C$42, 17.8717, 17.8717) * CHOOSE(CONTROL!$C$21, $C$9, 100%, $E$9)</f>
        <v>17.871700000000001</v>
      </c>
      <c r="P396" s="17">
        <f>CHOOSE(CONTROL!$C$42, 17.8247, 17.8247) * CHOOSE(CONTROL!$C$21, $C$9, 100%, $E$9)</f>
        <v>17.8247</v>
      </c>
      <c r="Q396" s="17">
        <f>CHOOSE(CONTROL!$C$42, 18.4664, 18.4664) * CHOOSE(CONTROL!$C$21, $C$9, 100%, $E$9)</f>
        <v>18.4664</v>
      </c>
      <c r="R396" s="17">
        <f>CHOOSE(CONTROL!$C$42, 19.0995, 19.0995) * CHOOSE(CONTROL!$C$21, $C$9, 100%, $E$9)</f>
        <v>19.099499999999999</v>
      </c>
      <c r="S396" s="17">
        <f>CHOOSE(CONTROL!$C$42, 17.3528, 17.3528) * CHOOSE(CONTROL!$C$21, $C$9, 100%, $E$9)</f>
        <v>17.352799999999998</v>
      </c>
      <c r="T39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96" s="56">
        <f>(1000*CHOOSE(CONTROL!$C$42, 695, 695)*CHOOSE(CONTROL!$C$42, 0.5599, 0.5599)*CHOOSE(CONTROL!$C$42, 31, 31))/1000000</f>
        <v>12.063045499999998</v>
      </c>
      <c r="V396" s="56">
        <f>(1000*CHOOSE(CONTROL!$C$42, 500, 500)*CHOOSE(CONTROL!$C$42, 0.275, 0.275)*CHOOSE(CONTROL!$C$42, 31, 31))/1000000</f>
        <v>4.2625000000000002</v>
      </c>
      <c r="W396" s="56">
        <f>(1000*CHOOSE(CONTROL!$C$42, 0.1146, 0.1146)*CHOOSE(CONTROL!$C$42, 121.5, 121.5)*CHOOSE(CONTROL!$C$42, 31, 31))/1000000</f>
        <v>0.43164089999999994</v>
      </c>
      <c r="X396" s="56">
        <f>(31*0.2374*100000/1000000)</f>
        <v>0.73594000000000004</v>
      </c>
      <c r="Y396" s="56"/>
      <c r="Z396" s="17"/>
      <c r="AA396" s="55"/>
      <c r="AB396" s="48">
        <f>(B396*122.58+C396*297.941+D396*89.177+E396*140.302+F396*40+G396*60+H396*0+I396*100+J396*300)/(122.58+297.941+89.177+140.302+0+40+60+100+300)</f>
        <v>18.108118821913042</v>
      </c>
      <c r="AC396" s="45">
        <f>(M396*'RAP TEMPLATE-GAS AVAILABILITY'!O395+N396*'RAP TEMPLATE-GAS AVAILABILITY'!P395+O396*'RAP TEMPLATE-GAS AVAILABILITY'!Q395+P396*'RAP TEMPLATE-GAS AVAILABILITY'!R395)/('RAP TEMPLATE-GAS AVAILABILITY'!O395+'RAP TEMPLATE-GAS AVAILABILITY'!P395+'RAP TEMPLATE-GAS AVAILABILITY'!Q395+'RAP TEMPLATE-GAS AVAILABILITY'!R395)</f>
        <v>17.824724460431653</v>
      </c>
    </row>
    <row r="397" spans="1:29" ht="15.75" x14ac:dyDescent="0.25">
      <c r="A397" s="14">
        <v>52993</v>
      </c>
      <c r="B397" s="17">
        <f>CHOOSE(CONTROL!$C$42, 19.5648, 19.5648) * CHOOSE(CONTROL!$C$21, $C$9, 100%, $E$9)</f>
        <v>19.564800000000002</v>
      </c>
      <c r="C397" s="17">
        <f>CHOOSE(CONTROL!$C$42, 19.5699, 19.5699) * CHOOSE(CONTROL!$C$21, $C$9, 100%, $E$9)</f>
        <v>19.569900000000001</v>
      </c>
      <c r="D397" s="17">
        <f>CHOOSE(CONTROL!$C$42, 19.6883, 19.6883) * CHOOSE(CONTROL!$C$21, $C$9, 100%, $E$9)</f>
        <v>19.688300000000002</v>
      </c>
      <c r="E397" s="17">
        <f>CHOOSE(CONTROL!$C$42, 19.7224, 19.7224) * CHOOSE(CONTROL!$C$21, $C$9, 100%, $E$9)</f>
        <v>19.7224</v>
      </c>
      <c r="F397" s="17">
        <f>CHOOSE(CONTROL!$C$42, 19.5852, 19.5852)*CHOOSE(CONTROL!$C$21, $C$9, 100%, $E$9)</f>
        <v>19.5852</v>
      </c>
      <c r="G397" s="17">
        <f>CHOOSE(CONTROL!$C$42, 19.6021, 19.6021)*CHOOSE(CONTROL!$C$21, $C$9, 100%, $E$9)</f>
        <v>19.6021</v>
      </c>
      <c r="H397" s="17">
        <f>CHOOSE(CONTROL!$C$42, 19.7116, 19.7116) * CHOOSE(CONTROL!$C$21, $C$9, 100%, $E$9)</f>
        <v>19.711600000000001</v>
      </c>
      <c r="I397" s="17">
        <f>CHOOSE(CONTROL!$C$42, 19.6497, 19.6497)* CHOOSE(CONTROL!$C$21, $C$9, 100%, $E$9)</f>
        <v>19.649699999999999</v>
      </c>
      <c r="J397" s="17">
        <f>CHOOSE(CONTROL!$C$42, 19.5782, 19.5782)* CHOOSE(CONTROL!$C$21, $C$9, 100%, $E$9)</f>
        <v>19.578199999999999</v>
      </c>
      <c r="K397" s="52">
        <f>CHOOSE(CONTROL!$C$42, 19.6455, 19.6455) * CHOOSE(CONTROL!$C$21, $C$9, 100%, $E$9)</f>
        <v>19.645499999999998</v>
      </c>
      <c r="L397" s="17">
        <f>CHOOSE(CONTROL!$C$42, 20.2986, 20.2986) * CHOOSE(CONTROL!$C$21, $C$9, 100%, $E$9)</f>
        <v>20.2986</v>
      </c>
      <c r="M397" s="17">
        <f>CHOOSE(CONTROL!$C$42, 19.2338, 19.2338) * CHOOSE(CONTROL!$C$21, $C$9, 100%, $E$9)</f>
        <v>19.233799999999999</v>
      </c>
      <c r="N397" s="17">
        <f>CHOOSE(CONTROL!$C$42, 19.2503, 19.2503) * CHOOSE(CONTROL!$C$21, $C$9, 100%, $E$9)</f>
        <v>19.250299999999999</v>
      </c>
      <c r="O397" s="17">
        <f>CHOOSE(CONTROL!$C$42, 19.3648, 19.3648) * CHOOSE(CONTROL!$C$21, $C$9, 100%, $E$9)</f>
        <v>19.364799999999999</v>
      </c>
      <c r="P397" s="17">
        <f>CHOOSE(CONTROL!$C$42, 19.303, 19.303) * CHOOSE(CONTROL!$C$21, $C$9, 100%, $E$9)</f>
        <v>19.303000000000001</v>
      </c>
      <c r="Q397" s="17">
        <f>CHOOSE(CONTROL!$C$42, 19.9595, 19.9595) * CHOOSE(CONTROL!$C$21, $C$9, 100%, $E$9)</f>
        <v>19.959499999999998</v>
      </c>
      <c r="R397" s="17">
        <f>CHOOSE(CONTROL!$C$42, 20.5964, 20.5964) * CHOOSE(CONTROL!$C$21, $C$9, 100%, $E$9)</f>
        <v>20.596399999999999</v>
      </c>
      <c r="S397" s="17">
        <f>CHOOSE(CONTROL!$C$42, 18.7913, 18.7913) * CHOOSE(CONTROL!$C$21, $C$9, 100%, $E$9)</f>
        <v>18.7913</v>
      </c>
      <c r="T39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97" s="56">
        <f>(1000*CHOOSE(CONTROL!$C$42, 695, 695)*CHOOSE(CONTROL!$C$42, 0.5599, 0.5599)*CHOOSE(CONTROL!$C$42, 31, 31))/1000000</f>
        <v>12.063045499999998</v>
      </c>
      <c r="V397" s="56">
        <f>(1000*CHOOSE(CONTROL!$C$42, 500, 500)*CHOOSE(CONTROL!$C$42, 0.275, 0.275)*CHOOSE(CONTROL!$C$42, 31, 31))/1000000</f>
        <v>4.2625000000000002</v>
      </c>
      <c r="W397" s="56">
        <f>(1000*CHOOSE(CONTROL!$C$42, 0.1146, 0.1146)*CHOOSE(CONTROL!$C$42, 121.5, 121.5)*CHOOSE(CONTROL!$C$42, 31, 31))/1000000</f>
        <v>0.43164089999999994</v>
      </c>
      <c r="X397" s="56">
        <f>(31*0.2374*100000/1000000)</f>
        <v>0.73594000000000004</v>
      </c>
      <c r="Y397" s="56"/>
      <c r="Z397" s="17"/>
      <c r="AA397" s="55"/>
      <c r="AB397" s="48">
        <f>(B397*122.58+C397*297.941+D397*89.177+E397*140.302+F397*40+G397*60+H397*0+I397*100+J397*300)/(122.58+297.941+89.177+140.302+0+40+60+100+300)</f>
        <v>19.608459525043475</v>
      </c>
      <c r="AC397" s="45">
        <f>(M397*'RAP TEMPLATE-GAS AVAILABILITY'!O396+N397*'RAP TEMPLATE-GAS AVAILABILITY'!P396+O397*'RAP TEMPLATE-GAS AVAILABILITY'!Q396+P397*'RAP TEMPLATE-GAS AVAILABILITY'!R396)/('RAP TEMPLATE-GAS AVAILABILITY'!O396+'RAP TEMPLATE-GAS AVAILABILITY'!P396+'RAP TEMPLATE-GAS AVAILABILITY'!Q396+'RAP TEMPLATE-GAS AVAILABILITY'!R396)</f>
        <v>19.304080575539569</v>
      </c>
    </row>
    <row r="398" spans="1:29" ht="15.75" x14ac:dyDescent="0.25">
      <c r="A398" s="14">
        <v>53021</v>
      </c>
      <c r="B398" s="17">
        <f>CHOOSE(CONTROL!$C$42, 19.9129, 19.9129) * CHOOSE(CONTROL!$C$21, $C$9, 100%, $E$9)</f>
        <v>19.9129</v>
      </c>
      <c r="C398" s="17">
        <f>CHOOSE(CONTROL!$C$42, 19.918, 19.918) * CHOOSE(CONTROL!$C$21, $C$9, 100%, $E$9)</f>
        <v>19.917999999999999</v>
      </c>
      <c r="D398" s="17">
        <f>CHOOSE(CONTROL!$C$42, 20.0364, 20.0364) * CHOOSE(CONTROL!$C$21, $C$9, 100%, $E$9)</f>
        <v>20.0364</v>
      </c>
      <c r="E398" s="17">
        <f>CHOOSE(CONTROL!$C$42, 20.0706, 20.0706) * CHOOSE(CONTROL!$C$21, $C$9, 100%, $E$9)</f>
        <v>20.070599999999999</v>
      </c>
      <c r="F398" s="17">
        <f>CHOOSE(CONTROL!$C$42, 19.9333, 19.9333)*CHOOSE(CONTROL!$C$21, $C$9, 100%, $E$9)</f>
        <v>19.933299999999999</v>
      </c>
      <c r="G398" s="17">
        <f>CHOOSE(CONTROL!$C$42, 19.9501, 19.9501)*CHOOSE(CONTROL!$C$21, $C$9, 100%, $E$9)</f>
        <v>19.950099999999999</v>
      </c>
      <c r="H398" s="17">
        <f>CHOOSE(CONTROL!$C$42, 20.0597, 20.0597) * CHOOSE(CONTROL!$C$21, $C$9, 100%, $E$9)</f>
        <v>20.059699999999999</v>
      </c>
      <c r="I398" s="17">
        <f>CHOOSE(CONTROL!$C$42, 19.9989, 19.9989)* CHOOSE(CONTROL!$C$21, $C$9, 100%, $E$9)</f>
        <v>19.998899999999999</v>
      </c>
      <c r="J398" s="17">
        <f>CHOOSE(CONTROL!$C$42, 19.9263, 19.9263)* CHOOSE(CONTROL!$C$21, $C$9, 100%, $E$9)</f>
        <v>19.926300000000001</v>
      </c>
      <c r="K398" s="52">
        <f>CHOOSE(CONTROL!$C$42, 19.9947, 19.9947) * CHOOSE(CONTROL!$C$21, $C$9, 100%, $E$9)</f>
        <v>19.994700000000002</v>
      </c>
      <c r="L398" s="17">
        <f>CHOOSE(CONTROL!$C$42, 20.6467, 20.6467) * CHOOSE(CONTROL!$C$21, $C$9, 100%, $E$9)</f>
        <v>20.646699999999999</v>
      </c>
      <c r="M398" s="17">
        <f>CHOOSE(CONTROL!$C$42, 19.5756, 19.5756) * CHOOSE(CONTROL!$C$21, $C$9, 100%, $E$9)</f>
        <v>19.575600000000001</v>
      </c>
      <c r="N398" s="17">
        <f>CHOOSE(CONTROL!$C$42, 19.5921, 19.5921) * CHOOSE(CONTROL!$C$21, $C$9, 100%, $E$9)</f>
        <v>19.592099999999999</v>
      </c>
      <c r="O398" s="17">
        <f>CHOOSE(CONTROL!$C$42, 19.7066, 19.7066) * CHOOSE(CONTROL!$C$21, $C$9, 100%, $E$9)</f>
        <v>19.706600000000002</v>
      </c>
      <c r="P398" s="17">
        <f>CHOOSE(CONTROL!$C$42, 19.6459, 19.6459) * CHOOSE(CONTROL!$C$21, $C$9, 100%, $E$9)</f>
        <v>19.645900000000001</v>
      </c>
      <c r="Q398" s="17">
        <f>CHOOSE(CONTROL!$C$42, 20.3013, 20.3013) * CHOOSE(CONTROL!$C$21, $C$9, 100%, $E$9)</f>
        <v>20.301300000000001</v>
      </c>
      <c r="R398" s="17">
        <f>CHOOSE(CONTROL!$C$42, 20.9391, 20.9391) * CHOOSE(CONTROL!$C$21, $C$9, 100%, $E$9)</f>
        <v>20.9391</v>
      </c>
      <c r="S398" s="17">
        <f>CHOOSE(CONTROL!$C$42, 19.1258, 19.1258) * CHOOSE(CONTROL!$C$21, $C$9, 100%, $E$9)</f>
        <v>19.125800000000002</v>
      </c>
      <c r="T39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98" s="56">
        <f>(1000*CHOOSE(CONTROL!$C$42, 695, 695)*CHOOSE(CONTROL!$C$42, 0.5599, 0.5599)*CHOOSE(CONTROL!$C$42, 28, 28))/1000000</f>
        <v>10.895653999999999</v>
      </c>
      <c r="V398" s="56">
        <f>(1000*CHOOSE(CONTROL!$C$42, 500, 500)*CHOOSE(CONTROL!$C$42, 0.275, 0.275)*CHOOSE(CONTROL!$C$42, 28, 28))/1000000</f>
        <v>3.85</v>
      </c>
      <c r="W398" s="56">
        <f>(1000*CHOOSE(CONTROL!$C$42, 0.1146, 0.1146)*CHOOSE(CONTROL!$C$42, 121.5, 121.5)*CHOOSE(CONTROL!$C$42, 28, 28))/1000000</f>
        <v>0.38986920000000003</v>
      </c>
      <c r="X398" s="56">
        <f>(28*0.2374*100000/1000000)</f>
        <v>0.66471999999999998</v>
      </c>
      <c r="Y398" s="56"/>
      <c r="Z398" s="17"/>
      <c r="AA398" s="55"/>
      <c r="AB398" s="48">
        <f>(B398*122.58+C398*297.941+D398*89.177+E398*140.302+F398*40+G398*60+H398*0+I398*100+J398*300)/(122.58+297.941+89.177+140.302+0+40+60+100+300)</f>
        <v>19.956662159999997</v>
      </c>
      <c r="AC398" s="45">
        <f>(M398*'RAP TEMPLATE-GAS AVAILABILITY'!O397+N398*'RAP TEMPLATE-GAS AVAILABILITY'!P397+O398*'RAP TEMPLATE-GAS AVAILABILITY'!Q397+P398*'RAP TEMPLATE-GAS AVAILABILITY'!R397)/('RAP TEMPLATE-GAS AVAILABILITY'!O397+'RAP TEMPLATE-GAS AVAILABILITY'!P397+'RAP TEMPLATE-GAS AVAILABILITY'!Q397+'RAP TEMPLATE-GAS AVAILABILITY'!R397)</f>
        <v>19.646038848920863</v>
      </c>
    </row>
    <row r="399" spans="1:29" ht="15.75" x14ac:dyDescent="0.25">
      <c r="A399" s="14">
        <v>53052</v>
      </c>
      <c r="B399" s="17">
        <f>CHOOSE(CONTROL!$C$42, 19.3479, 19.3479) * CHOOSE(CONTROL!$C$21, $C$9, 100%, $E$9)</f>
        <v>19.347899999999999</v>
      </c>
      <c r="C399" s="17">
        <f>CHOOSE(CONTROL!$C$42, 19.3529, 19.3529) * CHOOSE(CONTROL!$C$21, $C$9, 100%, $E$9)</f>
        <v>19.352900000000002</v>
      </c>
      <c r="D399" s="17">
        <f>CHOOSE(CONTROL!$C$42, 19.4714, 19.4714) * CHOOSE(CONTROL!$C$21, $C$9, 100%, $E$9)</f>
        <v>19.471399999999999</v>
      </c>
      <c r="E399" s="17">
        <f>CHOOSE(CONTROL!$C$42, 19.5055, 19.5055) * CHOOSE(CONTROL!$C$21, $C$9, 100%, $E$9)</f>
        <v>19.505500000000001</v>
      </c>
      <c r="F399" s="17">
        <f>CHOOSE(CONTROL!$C$42, 19.3676, 19.3676)*CHOOSE(CONTROL!$C$21, $C$9, 100%, $E$9)</f>
        <v>19.367599999999999</v>
      </c>
      <c r="G399" s="17">
        <f>CHOOSE(CONTROL!$C$42, 19.3842, 19.3842)*CHOOSE(CONTROL!$C$21, $C$9, 100%, $E$9)</f>
        <v>19.3842</v>
      </c>
      <c r="H399" s="17">
        <f>CHOOSE(CONTROL!$C$42, 19.4947, 19.4947) * CHOOSE(CONTROL!$C$21, $C$9, 100%, $E$9)</f>
        <v>19.494700000000002</v>
      </c>
      <c r="I399" s="17">
        <f>CHOOSE(CONTROL!$C$42, 19.4321, 19.4321)* CHOOSE(CONTROL!$C$21, $C$9, 100%, $E$9)</f>
        <v>19.432099999999998</v>
      </c>
      <c r="J399" s="17">
        <f>CHOOSE(CONTROL!$C$42, 19.3606, 19.3606)* CHOOSE(CONTROL!$C$21, $C$9, 100%, $E$9)</f>
        <v>19.360600000000002</v>
      </c>
      <c r="K399" s="52">
        <f>CHOOSE(CONTROL!$C$42, 19.4279, 19.4279) * CHOOSE(CONTROL!$C$21, $C$9, 100%, $E$9)</f>
        <v>19.427900000000001</v>
      </c>
      <c r="L399" s="17">
        <f>CHOOSE(CONTROL!$C$42, 20.0817, 20.0817) * CHOOSE(CONTROL!$C$21, $C$9, 100%, $E$9)</f>
        <v>20.081700000000001</v>
      </c>
      <c r="M399" s="17">
        <f>CHOOSE(CONTROL!$C$42, 19.02, 19.02) * CHOOSE(CONTROL!$C$21, $C$9, 100%, $E$9)</f>
        <v>19.02</v>
      </c>
      <c r="N399" s="17">
        <f>CHOOSE(CONTROL!$C$42, 19.0364, 19.0364) * CHOOSE(CONTROL!$C$21, $C$9, 100%, $E$9)</f>
        <v>19.0364</v>
      </c>
      <c r="O399" s="17">
        <f>CHOOSE(CONTROL!$C$42, 19.1517, 19.1517) * CHOOSE(CONTROL!$C$21, $C$9, 100%, $E$9)</f>
        <v>19.151700000000002</v>
      </c>
      <c r="P399" s="17">
        <f>CHOOSE(CONTROL!$C$42, 19.0892, 19.0892) * CHOOSE(CONTROL!$C$21, $C$9, 100%, $E$9)</f>
        <v>19.089200000000002</v>
      </c>
      <c r="Q399" s="17">
        <f>CHOOSE(CONTROL!$C$42, 19.7464, 19.7464) * CHOOSE(CONTROL!$C$21, $C$9, 100%, $E$9)</f>
        <v>19.746400000000001</v>
      </c>
      <c r="R399" s="17">
        <f>CHOOSE(CONTROL!$C$42, 20.3828, 20.3828) * CHOOSE(CONTROL!$C$21, $C$9, 100%, $E$9)</f>
        <v>20.3828</v>
      </c>
      <c r="S399" s="17">
        <f>CHOOSE(CONTROL!$C$42, 18.5828, 18.5828) * CHOOSE(CONTROL!$C$21, $C$9, 100%, $E$9)</f>
        <v>18.582799999999999</v>
      </c>
      <c r="T39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99" s="56">
        <f>(1000*CHOOSE(CONTROL!$C$42, 695, 695)*CHOOSE(CONTROL!$C$42, 0.5599, 0.5599)*CHOOSE(CONTROL!$C$42, 31, 31))/1000000</f>
        <v>12.063045499999998</v>
      </c>
      <c r="V399" s="56">
        <f>(1000*CHOOSE(CONTROL!$C$42, 500, 500)*CHOOSE(CONTROL!$C$42, 0.275, 0.275)*CHOOSE(CONTROL!$C$42, 31, 31))/1000000</f>
        <v>4.2625000000000002</v>
      </c>
      <c r="W399" s="56">
        <f>(1000*CHOOSE(CONTROL!$C$42, 0.1146, 0.1146)*CHOOSE(CONTROL!$C$42, 121.5, 121.5)*CHOOSE(CONTROL!$C$42, 31, 31))/1000000</f>
        <v>0.43164089999999994</v>
      </c>
      <c r="X399" s="56">
        <f>(31*0.2374*100000/1000000)</f>
        <v>0.73594000000000004</v>
      </c>
      <c r="Y399" s="56"/>
      <c r="Z399" s="17"/>
      <c r="AA399" s="55"/>
      <c r="AB399" s="48">
        <f>(B399*122.58+C399*297.941+D399*89.177+E399*140.302+F399*40+G399*60+H399*0+I399*100+J399*300)/(122.58+297.941+89.177+140.302+0+40+60+100+300)</f>
        <v>19.391213617130436</v>
      </c>
      <c r="AC399" s="45">
        <f>(M399*'RAP TEMPLATE-GAS AVAILABILITY'!O398+N399*'RAP TEMPLATE-GAS AVAILABILITY'!P398+O399*'RAP TEMPLATE-GAS AVAILABILITY'!Q398+P399*'RAP TEMPLATE-GAS AVAILABILITY'!R398)/('RAP TEMPLATE-GAS AVAILABILITY'!O398+'RAP TEMPLATE-GAS AVAILABILITY'!P398+'RAP TEMPLATE-GAS AVAILABILITY'!Q398+'RAP TEMPLATE-GAS AVAILABILITY'!R398)</f>
        <v>19.090592086330936</v>
      </c>
    </row>
    <row r="400" spans="1:29" ht="15.75" x14ac:dyDescent="0.25">
      <c r="A400" s="14">
        <v>53082</v>
      </c>
      <c r="B400" s="17">
        <f>CHOOSE(CONTROL!$C$42, 19.291, 19.291) * CHOOSE(CONTROL!$C$21, $C$9, 100%, $E$9)</f>
        <v>19.291</v>
      </c>
      <c r="C400" s="17">
        <f>CHOOSE(CONTROL!$C$42, 19.2955, 19.2955) * CHOOSE(CONTROL!$C$21, $C$9, 100%, $E$9)</f>
        <v>19.295500000000001</v>
      </c>
      <c r="D400" s="17">
        <f>CHOOSE(CONTROL!$C$42, 19.5697, 19.5697) * CHOOSE(CONTROL!$C$21, $C$9, 100%, $E$9)</f>
        <v>19.569700000000001</v>
      </c>
      <c r="E400" s="17">
        <f>CHOOSE(CONTROL!$C$42, 19.6018, 19.6018) * CHOOSE(CONTROL!$C$21, $C$9, 100%, $E$9)</f>
        <v>19.601800000000001</v>
      </c>
      <c r="F400" s="17">
        <f>CHOOSE(CONTROL!$C$42, 19.3103, 19.3103)*CHOOSE(CONTROL!$C$21, $C$9, 100%, $E$9)</f>
        <v>19.310300000000002</v>
      </c>
      <c r="G400" s="17">
        <f>CHOOSE(CONTROL!$C$42, 19.3266, 19.3266)*CHOOSE(CONTROL!$C$21, $C$9, 100%, $E$9)</f>
        <v>19.326599999999999</v>
      </c>
      <c r="H400" s="17">
        <f>CHOOSE(CONTROL!$C$42, 19.5915, 19.5915) * CHOOSE(CONTROL!$C$21, $C$9, 100%, $E$9)</f>
        <v>19.5915</v>
      </c>
      <c r="I400" s="17">
        <f>CHOOSE(CONTROL!$C$42, 19.3727, 19.3727)* CHOOSE(CONTROL!$C$21, $C$9, 100%, $E$9)</f>
        <v>19.372699999999998</v>
      </c>
      <c r="J400" s="17">
        <f>CHOOSE(CONTROL!$C$42, 19.3033, 19.3033)* CHOOSE(CONTROL!$C$21, $C$9, 100%, $E$9)</f>
        <v>19.3033</v>
      </c>
      <c r="K400" s="52">
        <f>CHOOSE(CONTROL!$C$42, 19.3684, 19.3684) * CHOOSE(CONTROL!$C$21, $C$9, 100%, $E$9)</f>
        <v>19.368400000000001</v>
      </c>
      <c r="L400" s="17">
        <f>CHOOSE(CONTROL!$C$42, 20.1785, 20.1785) * CHOOSE(CONTROL!$C$21, $C$9, 100%, $E$9)</f>
        <v>20.1785</v>
      </c>
      <c r="M400" s="17">
        <f>CHOOSE(CONTROL!$C$42, 18.9638, 18.9638) * CHOOSE(CONTROL!$C$21, $C$9, 100%, $E$9)</f>
        <v>18.963799999999999</v>
      </c>
      <c r="N400" s="17">
        <f>CHOOSE(CONTROL!$C$42, 18.9798, 18.9798) * CHOOSE(CONTROL!$C$21, $C$9, 100%, $E$9)</f>
        <v>18.979800000000001</v>
      </c>
      <c r="O400" s="17">
        <f>CHOOSE(CONTROL!$C$42, 19.2469, 19.2469) * CHOOSE(CONTROL!$C$21, $C$9, 100%, $E$9)</f>
        <v>19.2469</v>
      </c>
      <c r="P400" s="17">
        <f>CHOOSE(CONTROL!$C$42, 19.0309, 19.0309) * CHOOSE(CONTROL!$C$21, $C$9, 100%, $E$9)</f>
        <v>19.030899999999999</v>
      </c>
      <c r="Q400" s="17">
        <f>CHOOSE(CONTROL!$C$42, 19.8416, 19.8416) * CHOOSE(CONTROL!$C$21, $C$9, 100%, $E$9)</f>
        <v>19.8416</v>
      </c>
      <c r="R400" s="17">
        <f>CHOOSE(CONTROL!$C$42, 20.4782, 20.4782) * CHOOSE(CONTROL!$C$21, $C$9, 100%, $E$9)</f>
        <v>20.478200000000001</v>
      </c>
      <c r="S400" s="17">
        <f>CHOOSE(CONTROL!$C$42, 18.5274, 18.5274) * CHOOSE(CONTROL!$C$21, $C$9, 100%, $E$9)</f>
        <v>18.5274</v>
      </c>
      <c r="T40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00" s="56">
        <f>(1000*CHOOSE(CONTROL!$C$42, 695, 695)*CHOOSE(CONTROL!$C$42, 0.5599, 0.5599)*CHOOSE(CONTROL!$C$42, 30, 30))/1000000</f>
        <v>11.673914999999997</v>
      </c>
      <c r="V400" s="56">
        <f>(1000*CHOOSE(CONTROL!$C$42, 500, 500)*CHOOSE(CONTROL!$C$42, 0.275, 0.275)*CHOOSE(CONTROL!$C$42, 30, 30))/1000000</f>
        <v>4.125</v>
      </c>
      <c r="W400" s="56">
        <f>(1000*CHOOSE(CONTROL!$C$42, 0.1146, 0.1146)*CHOOSE(CONTROL!$C$42, 121.5, 121.5)*CHOOSE(CONTROL!$C$42, 30, 30))/1000000</f>
        <v>0.417717</v>
      </c>
      <c r="X400" s="56">
        <f>(30*0.1790888*145000/1000000)+(30*0.2374*100000/1000000)</f>
        <v>1.4912362799999999</v>
      </c>
      <c r="Y400" s="56"/>
      <c r="Z400" s="17"/>
      <c r="AA400" s="55"/>
      <c r="AB400" s="48">
        <f>(B400*141.293+C400*267.993+D400*115.016+E400*189.698+F400*40+G400*85+H400*0+I400*100+J400*300)/(141.293+267.993+115.016+189.698+0+40+85+100+300)</f>
        <v>19.378067849959645</v>
      </c>
      <c r="AC400" s="45">
        <f>(M400*'RAP TEMPLATE-GAS AVAILABILITY'!O399+N400*'RAP TEMPLATE-GAS AVAILABILITY'!P399+O400*'RAP TEMPLATE-GAS AVAILABILITY'!Q399+P400*'RAP TEMPLATE-GAS AVAILABILITY'!R399)/('RAP TEMPLATE-GAS AVAILABILITY'!O399+'RAP TEMPLATE-GAS AVAILABILITY'!P399+'RAP TEMPLATE-GAS AVAILABILITY'!Q399+'RAP TEMPLATE-GAS AVAILABILITY'!R399)</f>
        <v>19.056569064748203</v>
      </c>
    </row>
    <row r="401" spans="1:29" ht="15.75" x14ac:dyDescent="0.25">
      <c r="A401" s="14">
        <v>53113</v>
      </c>
      <c r="B401" s="17">
        <f>CHOOSE(CONTROL!$C$42, 19.4625, 19.4625) * CHOOSE(CONTROL!$C$21, $C$9, 100%, $E$9)</f>
        <v>19.462499999999999</v>
      </c>
      <c r="C401" s="17">
        <f>CHOOSE(CONTROL!$C$42, 19.4706, 19.4706) * CHOOSE(CONTROL!$C$21, $C$9, 100%, $E$9)</f>
        <v>19.470600000000001</v>
      </c>
      <c r="D401" s="17">
        <f>CHOOSE(CONTROL!$C$42, 19.7416, 19.7416) * CHOOSE(CONTROL!$C$21, $C$9, 100%, $E$9)</f>
        <v>19.741599999999998</v>
      </c>
      <c r="E401" s="17">
        <f>CHOOSE(CONTROL!$C$42, 19.7731, 19.7731) * CHOOSE(CONTROL!$C$21, $C$9, 100%, $E$9)</f>
        <v>19.773099999999999</v>
      </c>
      <c r="F401" s="17">
        <f>CHOOSE(CONTROL!$C$42, 19.4807, 19.4807)*CHOOSE(CONTROL!$C$21, $C$9, 100%, $E$9)</f>
        <v>19.480699999999999</v>
      </c>
      <c r="G401" s="17">
        <f>CHOOSE(CONTROL!$C$42, 19.4973, 19.4973)*CHOOSE(CONTROL!$C$21, $C$9, 100%, $E$9)</f>
        <v>19.497299999999999</v>
      </c>
      <c r="H401" s="17">
        <f>CHOOSE(CONTROL!$C$42, 19.7617, 19.7617) * CHOOSE(CONTROL!$C$21, $C$9, 100%, $E$9)</f>
        <v>19.761700000000001</v>
      </c>
      <c r="I401" s="17">
        <f>CHOOSE(CONTROL!$C$42, 19.5434, 19.5434)* CHOOSE(CONTROL!$C$21, $C$9, 100%, $E$9)</f>
        <v>19.543399999999998</v>
      </c>
      <c r="J401" s="17">
        <f>CHOOSE(CONTROL!$C$42, 19.4737, 19.4737)* CHOOSE(CONTROL!$C$21, $C$9, 100%, $E$9)</f>
        <v>19.473700000000001</v>
      </c>
      <c r="K401" s="52">
        <f>CHOOSE(CONTROL!$C$42, 19.5391, 19.5391) * CHOOSE(CONTROL!$C$21, $C$9, 100%, $E$9)</f>
        <v>19.539100000000001</v>
      </c>
      <c r="L401" s="17">
        <f>CHOOSE(CONTROL!$C$42, 20.3487, 20.3487) * CHOOSE(CONTROL!$C$21, $C$9, 100%, $E$9)</f>
        <v>20.348700000000001</v>
      </c>
      <c r="M401" s="17">
        <f>CHOOSE(CONTROL!$C$42, 19.1311, 19.1311) * CHOOSE(CONTROL!$C$21, $C$9, 100%, $E$9)</f>
        <v>19.1311</v>
      </c>
      <c r="N401" s="17">
        <f>CHOOSE(CONTROL!$C$42, 19.1475, 19.1475) * CHOOSE(CONTROL!$C$21, $C$9, 100%, $E$9)</f>
        <v>19.147500000000001</v>
      </c>
      <c r="O401" s="17">
        <f>CHOOSE(CONTROL!$C$42, 19.414, 19.414) * CHOOSE(CONTROL!$C$21, $C$9, 100%, $E$9)</f>
        <v>19.414000000000001</v>
      </c>
      <c r="P401" s="17">
        <f>CHOOSE(CONTROL!$C$42, 19.1985, 19.1985) * CHOOSE(CONTROL!$C$21, $C$9, 100%, $E$9)</f>
        <v>19.198499999999999</v>
      </c>
      <c r="Q401" s="17">
        <f>CHOOSE(CONTROL!$C$42, 20.0087, 20.0087) * CHOOSE(CONTROL!$C$21, $C$9, 100%, $E$9)</f>
        <v>20.008700000000001</v>
      </c>
      <c r="R401" s="17">
        <f>CHOOSE(CONTROL!$C$42, 20.6457, 20.6457) * CHOOSE(CONTROL!$C$21, $C$9, 100%, $E$9)</f>
        <v>20.645700000000001</v>
      </c>
      <c r="S401" s="17">
        <f>CHOOSE(CONTROL!$C$42, 18.6909, 18.6909) * CHOOSE(CONTROL!$C$21, $C$9, 100%, $E$9)</f>
        <v>18.690899999999999</v>
      </c>
      <c r="T40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01" s="56">
        <f>(1000*CHOOSE(CONTROL!$C$42, 695, 695)*CHOOSE(CONTROL!$C$42, 0.5599, 0.5599)*CHOOSE(CONTROL!$C$42, 31, 31))/1000000</f>
        <v>12.063045499999998</v>
      </c>
      <c r="V401" s="56">
        <f>(1000*CHOOSE(CONTROL!$C$42, 500, 500)*CHOOSE(CONTROL!$C$42, 0.275, 0.275)*CHOOSE(CONTROL!$C$42, 31, 31))/1000000</f>
        <v>4.2625000000000002</v>
      </c>
      <c r="W401" s="56">
        <f>(1000*CHOOSE(CONTROL!$C$42, 0.1146, 0.1146)*CHOOSE(CONTROL!$C$42, 121.5, 121.5)*CHOOSE(CONTROL!$C$42, 31, 31))/1000000</f>
        <v>0.43164089999999994</v>
      </c>
      <c r="X401" s="56">
        <f>(31*0.1790888*145000/1000000)+(31*0.2374*100000/1000000)</f>
        <v>1.5409441560000001</v>
      </c>
      <c r="Y401" s="56"/>
      <c r="Z401" s="17"/>
      <c r="AA401" s="55"/>
      <c r="AB401" s="48">
        <f>(B401*194.205+C401*267.466+D401*133.845+E401*153.484+F401*40+G401*85+H401*0+I401*100+J401*300)/(194.205+267.466+133.845+153.484+0+40+85+100+300)</f>
        <v>19.542822405416015</v>
      </c>
      <c r="AC401" s="45">
        <f>(M401*'RAP TEMPLATE-GAS AVAILABILITY'!O400+N401*'RAP TEMPLATE-GAS AVAILABILITY'!P400+O401*'RAP TEMPLATE-GAS AVAILABILITY'!Q400+P401*'RAP TEMPLATE-GAS AVAILABILITY'!R400)/('RAP TEMPLATE-GAS AVAILABILITY'!O400+'RAP TEMPLATE-GAS AVAILABILITY'!P400+'RAP TEMPLATE-GAS AVAILABILITY'!Q400+'RAP TEMPLATE-GAS AVAILABILITY'!R400)</f>
        <v>19.223948201438851</v>
      </c>
    </row>
    <row r="402" spans="1:29" ht="15.75" x14ac:dyDescent="0.25">
      <c r="A402" s="14">
        <v>53143</v>
      </c>
      <c r="B402" s="17">
        <f>CHOOSE(CONTROL!$C$42, 20.0143, 20.0143) * CHOOSE(CONTROL!$C$21, $C$9, 100%, $E$9)</f>
        <v>20.014299999999999</v>
      </c>
      <c r="C402" s="17">
        <f>CHOOSE(CONTROL!$C$42, 20.0223, 20.0223) * CHOOSE(CONTROL!$C$21, $C$9, 100%, $E$9)</f>
        <v>20.022300000000001</v>
      </c>
      <c r="D402" s="17">
        <f>CHOOSE(CONTROL!$C$42, 20.2934, 20.2934) * CHOOSE(CONTROL!$C$21, $C$9, 100%, $E$9)</f>
        <v>20.293399999999998</v>
      </c>
      <c r="E402" s="17">
        <f>CHOOSE(CONTROL!$C$42, 20.3248, 20.3248) * CHOOSE(CONTROL!$C$21, $C$9, 100%, $E$9)</f>
        <v>20.3248</v>
      </c>
      <c r="F402" s="17">
        <f>CHOOSE(CONTROL!$C$42, 20.0327, 20.0327)*CHOOSE(CONTROL!$C$21, $C$9, 100%, $E$9)</f>
        <v>20.032699999999998</v>
      </c>
      <c r="G402" s="17">
        <f>CHOOSE(CONTROL!$C$42, 20.0494, 20.0494)*CHOOSE(CONTROL!$C$21, $C$9, 100%, $E$9)</f>
        <v>20.049399999999999</v>
      </c>
      <c r="H402" s="17">
        <f>CHOOSE(CONTROL!$C$42, 20.3135, 20.3135) * CHOOSE(CONTROL!$C$21, $C$9, 100%, $E$9)</f>
        <v>20.313500000000001</v>
      </c>
      <c r="I402" s="17">
        <f>CHOOSE(CONTROL!$C$42, 20.0968, 20.0968)* CHOOSE(CONTROL!$C$21, $C$9, 100%, $E$9)</f>
        <v>20.096800000000002</v>
      </c>
      <c r="J402" s="17">
        <f>CHOOSE(CONTROL!$C$42, 20.0257, 20.0257)* CHOOSE(CONTROL!$C$21, $C$9, 100%, $E$9)</f>
        <v>20.025700000000001</v>
      </c>
      <c r="K402" s="52">
        <f>CHOOSE(CONTROL!$C$42, 20.0926, 20.0926) * CHOOSE(CONTROL!$C$21, $C$9, 100%, $E$9)</f>
        <v>20.092600000000001</v>
      </c>
      <c r="L402" s="17">
        <f>CHOOSE(CONTROL!$C$42, 20.9005, 20.9005) * CHOOSE(CONTROL!$C$21, $C$9, 100%, $E$9)</f>
        <v>20.900500000000001</v>
      </c>
      <c r="M402" s="17">
        <f>CHOOSE(CONTROL!$C$42, 19.6732, 19.6732) * CHOOSE(CONTROL!$C$21, $C$9, 100%, $E$9)</f>
        <v>19.673200000000001</v>
      </c>
      <c r="N402" s="17">
        <f>CHOOSE(CONTROL!$C$42, 19.6896, 19.6896) * CHOOSE(CONTROL!$C$21, $C$9, 100%, $E$9)</f>
        <v>19.689599999999999</v>
      </c>
      <c r="O402" s="17">
        <f>CHOOSE(CONTROL!$C$42, 19.9558, 19.9558) * CHOOSE(CONTROL!$C$21, $C$9, 100%, $E$9)</f>
        <v>19.9558</v>
      </c>
      <c r="P402" s="17">
        <f>CHOOSE(CONTROL!$C$42, 19.742, 19.742) * CHOOSE(CONTROL!$C$21, $C$9, 100%, $E$9)</f>
        <v>19.742000000000001</v>
      </c>
      <c r="Q402" s="17">
        <f>CHOOSE(CONTROL!$C$42, 20.5505, 20.5505) * CHOOSE(CONTROL!$C$21, $C$9, 100%, $E$9)</f>
        <v>20.5505</v>
      </c>
      <c r="R402" s="17">
        <f>CHOOSE(CONTROL!$C$42, 21.1889, 21.1889) * CHOOSE(CONTROL!$C$21, $C$9, 100%, $E$9)</f>
        <v>21.1889</v>
      </c>
      <c r="S402" s="17">
        <f>CHOOSE(CONTROL!$C$42, 19.2211, 19.2211) * CHOOSE(CONTROL!$C$21, $C$9, 100%, $E$9)</f>
        <v>19.2211</v>
      </c>
      <c r="T40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02" s="56">
        <f>(1000*CHOOSE(CONTROL!$C$42, 695, 695)*CHOOSE(CONTROL!$C$42, 0.5599, 0.5599)*CHOOSE(CONTROL!$C$42, 30, 30))/1000000</f>
        <v>11.673914999999997</v>
      </c>
      <c r="V402" s="56">
        <f>(1000*CHOOSE(CONTROL!$C$42, 500, 500)*CHOOSE(CONTROL!$C$42, 0.275, 0.275)*CHOOSE(CONTROL!$C$42, 30, 30))/1000000</f>
        <v>4.125</v>
      </c>
      <c r="W402" s="56">
        <f>(1000*CHOOSE(CONTROL!$C$42, 0.1146, 0.1146)*CHOOSE(CONTROL!$C$42, 121.5, 121.5)*CHOOSE(CONTROL!$C$42, 30, 30))/1000000</f>
        <v>0.417717</v>
      </c>
      <c r="X402" s="56">
        <f>(30*0.1790888*145000/1000000)+(30*0.2374*100000/1000000)</f>
        <v>1.4912362799999999</v>
      </c>
      <c r="Y402" s="56"/>
      <c r="Z402" s="17"/>
      <c r="AA402" s="55"/>
      <c r="AB402" s="48">
        <f>(B402*194.205+C402*267.466+D402*133.845+E402*153.484+F402*40+G402*85+H402*0+I402*100+J402*300)/(194.205+267.466+133.845+153.484+0+40+85+100+300)</f>
        <v>20.094788343406595</v>
      </c>
      <c r="AC402" s="45">
        <f>(M402*'RAP TEMPLATE-GAS AVAILABILITY'!O401+N402*'RAP TEMPLATE-GAS AVAILABILITY'!P401+O402*'RAP TEMPLATE-GAS AVAILABILITY'!Q401+P402*'RAP TEMPLATE-GAS AVAILABILITY'!R401)/('RAP TEMPLATE-GAS AVAILABILITY'!O401+'RAP TEMPLATE-GAS AVAILABILITY'!P401+'RAP TEMPLATE-GAS AVAILABILITY'!Q401+'RAP TEMPLATE-GAS AVAILABILITY'!R401)</f>
        <v>19.7661654676259</v>
      </c>
    </row>
    <row r="403" spans="1:29" ht="15.75" x14ac:dyDescent="0.25">
      <c r="A403" s="14">
        <v>53174</v>
      </c>
      <c r="B403" s="17">
        <f>CHOOSE(CONTROL!$C$42, 19.6305, 19.6305) * CHOOSE(CONTROL!$C$21, $C$9, 100%, $E$9)</f>
        <v>19.630500000000001</v>
      </c>
      <c r="C403" s="17">
        <f>CHOOSE(CONTROL!$C$42, 19.6386, 19.6386) * CHOOSE(CONTROL!$C$21, $C$9, 100%, $E$9)</f>
        <v>19.6386</v>
      </c>
      <c r="D403" s="17">
        <f>CHOOSE(CONTROL!$C$42, 19.9096, 19.9096) * CHOOSE(CONTROL!$C$21, $C$9, 100%, $E$9)</f>
        <v>19.909600000000001</v>
      </c>
      <c r="E403" s="17">
        <f>CHOOSE(CONTROL!$C$42, 19.9411, 19.9411) * CHOOSE(CONTROL!$C$21, $C$9, 100%, $E$9)</f>
        <v>19.941099999999999</v>
      </c>
      <c r="F403" s="17">
        <f>CHOOSE(CONTROL!$C$42, 19.6494, 19.6494)*CHOOSE(CONTROL!$C$21, $C$9, 100%, $E$9)</f>
        <v>19.6494</v>
      </c>
      <c r="G403" s="17">
        <f>CHOOSE(CONTROL!$C$42, 19.6662, 19.6662)*CHOOSE(CONTROL!$C$21, $C$9, 100%, $E$9)</f>
        <v>19.6662</v>
      </c>
      <c r="H403" s="17">
        <f>CHOOSE(CONTROL!$C$42, 19.9297, 19.9297) * CHOOSE(CONTROL!$C$21, $C$9, 100%, $E$9)</f>
        <v>19.9297</v>
      </c>
      <c r="I403" s="17">
        <f>CHOOSE(CONTROL!$C$42, 19.7119, 19.7119)* CHOOSE(CONTROL!$C$21, $C$9, 100%, $E$9)</f>
        <v>19.7119</v>
      </c>
      <c r="J403" s="17">
        <f>CHOOSE(CONTROL!$C$42, 19.6424, 19.6424)* CHOOSE(CONTROL!$C$21, $C$9, 100%, $E$9)</f>
        <v>19.642399999999999</v>
      </c>
      <c r="K403" s="52">
        <f>CHOOSE(CONTROL!$C$42, 19.7077, 19.7077) * CHOOSE(CONTROL!$C$21, $C$9, 100%, $E$9)</f>
        <v>19.707699999999999</v>
      </c>
      <c r="L403" s="17">
        <f>CHOOSE(CONTROL!$C$42, 20.5167, 20.5167) * CHOOSE(CONTROL!$C$21, $C$9, 100%, $E$9)</f>
        <v>20.5167</v>
      </c>
      <c r="M403" s="17">
        <f>CHOOSE(CONTROL!$C$42, 19.2968, 19.2968) * CHOOSE(CONTROL!$C$21, $C$9, 100%, $E$9)</f>
        <v>19.296800000000001</v>
      </c>
      <c r="N403" s="17">
        <f>CHOOSE(CONTROL!$C$42, 19.3133, 19.3133) * CHOOSE(CONTROL!$C$21, $C$9, 100%, $E$9)</f>
        <v>19.313300000000002</v>
      </c>
      <c r="O403" s="17">
        <f>CHOOSE(CONTROL!$C$42, 19.5789, 19.5789) * CHOOSE(CONTROL!$C$21, $C$9, 100%, $E$9)</f>
        <v>19.578900000000001</v>
      </c>
      <c r="P403" s="17">
        <f>CHOOSE(CONTROL!$C$42, 19.364, 19.364) * CHOOSE(CONTROL!$C$21, $C$9, 100%, $E$9)</f>
        <v>19.364000000000001</v>
      </c>
      <c r="Q403" s="17">
        <f>CHOOSE(CONTROL!$C$42, 20.1736, 20.1736) * CHOOSE(CONTROL!$C$21, $C$9, 100%, $E$9)</f>
        <v>20.1736</v>
      </c>
      <c r="R403" s="17">
        <f>CHOOSE(CONTROL!$C$42, 20.8111, 20.8111) * CHOOSE(CONTROL!$C$21, $C$9, 100%, $E$9)</f>
        <v>20.8111</v>
      </c>
      <c r="S403" s="17">
        <f>CHOOSE(CONTROL!$C$42, 18.8524, 18.8524) * CHOOSE(CONTROL!$C$21, $C$9, 100%, $E$9)</f>
        <v>18.852399999999999</v>
      </c>
      <c r="T40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03" s="56">
        <f>(1000*CHOOSE(CONTROL!$C$42, 695, 695)*CHOOSE(CONTROL!$C$42, 0.5599, 0.5599)*CHOOSE(CONTROL!$C$42, 31, 31))/1000000</f>
        <v>12.063045499999998</v>
      </c>
      <c r="V403" s="56">
        <f>(1000*CHOOSE(CONTROL!$C$42, 500, 500)*CHOOSE(CONTROL!$C$42, 0.275, 0.275)*CHOOSE(CONTROL!$C$42, 31, 31))/1000000</f>
        <v>4.2625000000000002</v>
      </c>
      <c r="W403" s="56">
        <f>(1000*CHOOSE(CONTROL!$C$42, 0.1146, 0.1146)*CHOOSE(CONTROL!$C$42, 121.5, 121.5)*CHOOSE(CONTROL!$C$42, 31, 31))/1000000</f>
        <v>0.43164089999999994</v>
      </c>
      <c r="X403" s="56">
        <f>(31*0.1790888*145000/1000000)+(31*0.2374*100000/1000000)</f>
        <v>1.5409441560000001</v>
      </c>
      <c r="Y403" s="56"/>
      <c r="Z403" s="17"/>
      <c r="AA403" s="55"/>
      <c r="AB403" s="48">
        <f>(B403*194.205+C403*267.466+D403*133.845+E403*153.484+F403*40+G403*85+H403*0+I403*100+J403*300)/(194.205+267.466+133.845+153.484+0+40+85+100+300)</f>
        <v>19.711108512166401</v>
      </c>
      <c r="AC403" s="45">
        <f>(M403*'RAP TEMPLATE-GAS AVAILABILITY'!O402+N403*'RAP TEMPLATE-GAS AVAILABILITY'!P402+O403*'RAP TEMPLATE-GAS AVAILABILITY'!Q402+P403*'RAP TEMPLATE-GAS AVAILABILITY'!R402)/('RAP TEMPLATE-GAS AVAILABILITY'!O402+'RAP TEMPLATE-GAS AVAILABILITY'!P402+'RAP TEMPLATE-GAS AVAILABILITY'!Q402+'RAP TEMPLATE-GAS AVAILABILITY'!R402)</f>
        <v>19.389417985611512</v>
      </c>
    </row>
    <row r="404" spans="1:29" ht="15.75" x14ac:dyDescent="0.25">
      <c r="A404" s="14">
        <v>53205</v>
      </c>
      <c r="B404" s="17">
        <f>CHOOSE(CONTROL!$C$42, 18.6615, 18.6615) * CHOOSE(CONTROL!$C$21, $C$9, 100%, $E$9)</f>
        <v>18.6615</v>
      </c>
      <c r="C404" s="17">
        <f>CHOOSE(CONTROL!$C$42, 18.6695, 18.6695) * CHOOSE(CONTROL!$C$21, $C$9, 100%, $E$9)</f>
        <v>18.669499999999999</v>
      </c>
      <c r="D404" s="17">
        <f>CHOOSE(CONTROL!$C$42, 18.9406, 18.9406) * CHOOSE(CONTROL!$C$21, $C$9, 100%, $E$9)</f>
        <v>18.9406</v>
      </c>
      <c r="E404" s="17">
        <f>CHOOSE(CONTROL!$C$42, 18.972, 18.972) * CHOOSE(CONTROL!$C$21, $C$9, 100%, $E$9)</f>
        <v>18.972000000000001</v>
      </c>
      <c r="F404" s="17">
        <f>CHOOSE(CONTROL!$C$42, 18.6806, 18.6806)*CHOOSE(CONTROL!$C$21, $C$9, 100%, $E$9)</f>
        <v>18.680599999999998</v>
      </c>
      <c r="G404" s="17">
        <f>CHOOSE(CONTROL!$C$42, 18.6975, 18.6975)*CHOOSE(CONTROL!$C$21, $C$9, 100%, $E$9)</f>
        <v>18.697500000000002</v>
      </c>
      <c r="H404" s="17">
        <f>CHOOSE(CONTROL!$C$42, 18.9607, 18.9607) * CHOOSE(CONTROL!$C$21, $C$9, 100%, $E$9)</f>
        <v>18.960699999999999</v>
      </c>
      <c r="I404" s="17">
        <f>CHOOSE(CONTROL!$C$42, 18.7398, 18.7398)* CHOOSE(CONTROL!$C$21, $C$9, 100%, $E$9)</f>
        <v>18.739799999999999</v>
      </c>
      <c r="J404" s="17">
        <f>CHOOSE(CONTROL!$C$42, 18.6736, 18.6736)* CHOOSE(CONTROL!$C$21, $C$9, 100%, $E$9)</f>
        <v>18.6736</v>
      </c>
      <c r="K404" s="52">
        <f>CHOOSE(CONTROL!$C$42, 18.7356, 18.7356) * CHOOSE(CONTROL!$C$21, $C$9, 100%, $E$9)</f>
        <v>18.735600000000002</v>
      </c>
      <c r="L404" s="17">
        <f>CHOOSE(CONTROL!$C$42, 19.5477, 19.5477) * CHOOSE(CONTROL!$C$21, $C$9, 100%, $E$9)</f>
        <v>19.547699999999999</v>
      </c>
      <c r="M404" s="17">
        <f>CHOOSE(CONTROL!$C$42, 18.3454, 18.3454) * CHOOSE(CONTROL!$C$21, $C$9, 100%, $E$9)</f>
        <v>18.345400000000001</v>
      </c>
      <c r="N404" s="17">
        <f>CHOOSE(CONTROL!$C$42, 18.362, 18.362) * CHOOSE(CONTROL!$C$21, $C$9, 100%, $E$9)</f>
        <v>18.361999999999998</v>
      </c>
      <c r="O404" s="17">
        <f>CHOOSE(CONTROL!$C$42, 18.6273, 18.6273) * CHOOSE(CONTROL!$C$21, $C$9, 100%, $E$9)</f>
        <v>18.627300000000002</v>
      </c>
      <c r="P404" s="17">
        <f>CHOOSE(CONTROL!$C$42, 18.4095, 18.4095) * CHOOSE(CONTROL!$C$21, $C$9, 100%, $E$9)</f>
        <v>18.409500000000001</v>
      </c>
      <c r="Q404" s="17">
        <f>CHOOSE(CONTROL!$C$42, 19.222, 19.222) * CHOOSE(CONTROL!$C$21, $C$9, 100%, $E$9)</f>
        <v>19.222000000000001</v>
      </c>
      <c r="R404" s="17">
        <f>CHOOSE(CONTROL!$C$42, 19.8571, 19.8571) * CHOOSE(CONTROL!$C$21, $C$9, 100%, $E$9)</f>
        <v>19.857099999999999</v>
      </c>
      <c r="S404" s="17">
        <f>CHOOSE(CONTROL!$C$42, 17.9212, 17.9212) * CHOOSE(CONTROL!$C$21, $C$9, 100%, $E$9)</f>
        <v>17.921199999999999</v>
      </c>
      <c r="T40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04" s="56">
        <f>(1000*CHOOSE(CONTROL!$C$42, 695, 695)*CHOOSE(CONTROL!$C$42, 0.5599, 0.5599)*CHOOSE(CONTROL!$C$42, 31, 31))/1000000</f>
        <v>12.063045499999998</v>
      </c>
      <c r="V404" s="56">
        <f>(1000*CHOOSE(CONTROL!$C$42, 500, 500)*CHOOSE(CONTROL!$C$42, 0.275, 0.275)*CHOOSE(CONTROL!$C$42, 31, 31))/1000000</f>
        <v>4.2625000000000002</v>
      </c>
      <c r="W404" s="56">
        <f>(1000*CHOOSE(CONTROL!$C$42, 0.1146, 0.1146)*CHOOSE(CONTROL!$C$42, 121.5, 121.5)*CHOOSE(CONTROL!$C$42, 31, 31))/1000000</f>
        <v>0.43164089999999994</v>
      </c>
      <c r="X404" s="56">
        <f>(31*0.1790888*145000/1000000)+(31*0.2374*100000/1000000)</f>
        <v>1.5409441560000001</v>
      </c>
      <c r="Y404" s="56"/>
      <c r="Z404" s="17"/>
      <c r="AA404" s="55"/>
      <c r="AB404" s="48">
        <f>(B404*194.205+C404*267.466+D404*133.845+E404*153.484+F404*40+G404*85+H404*0+I404*100+J404*300)/(194.205+267.466+133.845+153.484+0+40+85+100+300)</f>
        <v>18.741905533359496</v>
      </c>
      <c r="AC404" s="45">
        <f>(M404*'RAP TEMPLATE-GAS AVAILABILITY'!O403+N404*'RAP TEMPLATE-GAS AVAILABILITY'!P403+O404*'RAP TEMPLATE-GAS AVAILABILITY'!Q403+P404*'RAP TEMPLATE-GAS AVAILABILITY'!R403)/('RAP TEMPLATE-GAS AVAILABILITY'!O403+'RAP TEMPLATE-GAS AVAILABILITY'!P403+'RAP TEMPLATE-GAS AVAILABILITY'!Q403+'RAP TEMPLATE-GAS AVAILABILITY'!R403)</f>
        <v>18.437538848920866</v>
      </c>
    </row>
    <row r="405" spans="1:29" ht="15.75" x14ac:dyDescent="0.25">
      <c r="A405" s="14">
        <v>53235</v>
      </c>
      <c r="B405" s="17">
        <f>CHOOSE(CONTROL!$C$42, 17.4772, 17.4772) * CHOOSE(CONTROL!$C$21, $C$9, 100%, $E$9)</f>
        <v>17.4772</v>
      </c>
      <c r="C405" s="17">
        <f>CHOOSE(CONTROL!$C$42, 17.4853, 17.4853) * CHOOSE(CONTROL!$C$21, $C$9, 100%, $E$9)</f>
        <v>17.485299999999999</v>
      </c>
      <c r="D405" s="17">
        <f>CHOOSE(CONTROL!$C$42, 17.7563, 17.7563) * CHOOSE(CONTROL!$C$21, $C$9, 100%, $E$9)</f>
        <v>17.7563</v>
      </c>
      <c r="E405" s="17">
        <f>CHOOSE(CONTROL!$C$42, 17.7878, 17.7878) * CHOOSE(CONTROL!$C$21, $C$9, 100%, $E$9)</f>
        <v>17.787800000000001</v>
      </c>
      <c r="F405" s="17">
        <f>CHOOSE(CONTROL!$C$42, 17.4964, 17.4964)*CHOOSE(CONTROL!$C$21, $C$9, 100%, $E$9)</f>
        <v>17.496400000000001</v>
      </c>
      <c r="G405" s="17">
        <f>CHOOSE(CONTROL!$C$42, 17.5133, 17.5133)*CHOOSE(CONTROL!$C$21, $C$9, 100%, $E$9)</f>
        <v>17.513300000000001</v>
      </c>
      <c r="H405" s="17">
        <f>CHOOSE(CONTROL!$C$42, 17.7764, 17.7764) * CHOOSE(CONTROL!$C$21, $C$9, 100%, $E$9)</f>
        <v>17.776399999999999</v>
      </c>
      <c r="I405" s="17">
        <f>CHOOSE(CONTROL!$C$42, 17.5518, 17.5518)* CHOOSE(CONTROL!$C$21, $C$9, 100%, $E$9)</f>
        <v>17.5518</v>
      </c>
      <c r="J405" s="17">
        <f>CHOOSE(CONTROL!$C$42, 17.4894, 17.4894)* CHOOSE(CONTROL!$C$21, $C$9, 100%, $E$9)</f>
        <v>17.4894</v>
      </c>
      <c r="K405" s="52">
        <f>CHOOSE(CONTROL!$C$42, 17.5476, 17.5476) * CHOOSE(CONTROL!$C$21, $C$9, 100%, $E$9)</f>
        <v>17.547599999999999</v>
      </c>
      <c r="L405" s="17">
        <f>CHOOSE(CONTROL!$C$42, 18.3634, 18.3634) * CHOOSE(CONTROL!$C$21, $C$9, 100%, $E$9)</f>
        <v>18.363399999999999</v>
      </c>
      <c r="M405" s="17">
        <f>CHOOSE(CONTROL!$C$42, 17.1825, 17.1825) * CHOOSE(CONTROL!$C$21, $C$9, 100%, $E$9)</f>
        <v>17.182500000000001</v>
      </c>
      <c r="N405" s="17">
        <f>CHOOSE(CONTROL!$C$42, 17.1991, 17.1991) * CHOOSE(CONTROL!$C$21, $C$9, 100%, $E$9)</f>
        <v>17.199100000000001</v>
      </c>
      <c r="O405" s="17">
        <f>CHOOSE(CONTROL!$C$42, 17.4644, 17.4644) * CHOOSE(CONTROL!$C$21, $C$9, 100%, $E$9)</f>
        <v>17.464400000000001</v>
      </c>
      <c r="P405" s="17">
        <f>CHOOSE(CONTROL!$C$42, 17.2429, 17.2429) * CHOOSE(CONTROL!$C$21, $C$9, 100%, $E$9)</f>
        <v>17.242899999999999</v>
      </c>
      <c r="Q405" s="17">
        <f>CHOOSE(CONTROL!$C$42, 18.0591, 18.0591) * CHOOSE(CONTROL!$C$21, $C$9, 100%, $E$9)</f>
        <v>18.059100000000001</v>
      </c>
      <c r="R405" s="17">
        <f>CHOOSE(CONTROL!$C$42, 18.6912, 18.6912) * CHOOSE(CONTROL!$C$21, $C$9, 100%, $E$9)</f>
        <v>18.691199999999998</v>
      </c>
      <c r="S405" s="17">
        <f>CHOOSE(CONTROL!$C$42, 16.7832, 16.7832) * CHOOSE(CONTROL!$C$21, $C$9, 100%, $E$9)</f>
        <v>16.783200000000001</v>
      </c>
      <c r="T40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05" s="56">
        <f>(1000*CHOOSE(CONTROL!$C$42, 695, 695)*CHOOSE(CONTROL!$C$42, 0.5599, 0.5599)*CHOOSE(CONTROL!$C$42, 30, 30))/1000000</f>
        <v>11.673914999999997</v>
      </c>
      <c r="V405" s="56">
        <f>(1000*CHOOSE(CONTROL!$C$42, 500, 500)*CHOOSE(CONTROL!$C$42, 0.275, 0.275)*CHOOSE(CONTROL!$C$42, 30, 30))/1000000</f>
        <v>4.125</v>
      </c>
      <c r="W405" s="56">
        <f>(1000*CHOOSE(CONTROL!$C$42, 0.1146, 0.1146)*CHOOSE(CONTROL!$C$42, 121.5, 121.5)*CHOOSE(CONTROL!$C$42, 30, 30))/1000000</f>
        <v>0.417717</v>
      </c>
      <c r="X405" s="56">
        <f>(30*0.1790888*145000/1000000)+(30*0.2374*100000/1000000)</f>
        <v>1.4912362799999999</v>
      </c>
      <c r="Y405" s="56"/>
      <c r="Z405" s="17"/>
      <c r="AA405" s="55"/>
      <c r="AB405" s="48">
        <f>(B405*194.205+C405*267.466+D405*133.845+E405*153.484+F405*40+G405*85+H405*0+I405*100+J405*300)/(194.205+267.466+133.845+153.484+0+40+85+100+300)</f>
        <v>17.557381510596546</v>
      </c>
      <c r="AC405" s="45">
        <f>(M405*'RAP TEMPLATE-GAS AVAILABILITY'!O404+N405*'RAP TEMPLATE-GAS AVAILABILITY'!P404+O405*'RAP TEMPLATE-GAS AVAILABILITY'!Q404+P405*'RAP TEMPLATE-GAS AVAILABILITY'!R404)/('RAP TEMPLATE-GAS AVAILABILITY'!O404+'RAP TEMPLATE-GAS AVAILABILITY'!P404+'RAP TEMPLATE-GAS AVAILABILITY'!Q404+'RAP TEMPLATE-GAS AVAILABILITY'!R404)</f>
        <v>17.274106474820144</v>
      </c>
    </row>
    <row r="406" spans="1:29" ht="15.75" x14ac:dyDescent="0.25">
      <c r="A406" s="14">
        <v>53266</v>
      </c>
      <c r="B406" s="17">
        <f>CHOOSE(CONTROL!$C$42, 17.1209, 17.1209) * CHOOSE(CONTROL!$C$21, $C$9, 100%, $E$9)</f>
        <v>17.120899999999999</v>
      </c>
      <c r="C406" s="17">
        <f>CHOOSE(CONTROL!$C$42, 17.1262, 17.1262) * CHOOSE(CONTROL!$C$21, $C$9, 100%, $E$9)</f>
        <v>17.126200000000001</v>
      </c>
      <c r="D406" s="17">
        <f>CHOOSE(CONTROL!$C$42, 17.4022, 17.4022) * CHOOSE(CONTROL!$C$21, $C$9, 100%, $E$9)</f>
        <v>17.402200000000001</v>
      </c>
      <c r="E406" s="17">
        <f>CHOOSE(CONTROL!$C$42, 17.4313, 17.4313) * CHOOSE(CONTROL!$C$21, $C$9, 100%, $E$9)</f>
        <v>17.4313</v>
      </c>
      <c r="F406" s="17">
        <f>CHOOSE(CONTROL!$C$42, 17.1423, 17.1423)*CHOOSE(CONTROL!$C$21, $C$9, 100%, $E$9)</f>
        <v>17.142299999999999</v>
      </c>
      <c r="G406" s="17">
        <f>CHOOSE(CONTROL!$C$42, 17.159, 17.159)*CHOOSE(CONTROL!$C$21, $C$9, 100%, $E$9)</f>
        <v>17.158999999999999</v>
      </c>
      <c r="H406" s="17">
        <f>CHOOSE(CONTROL!$C$42, 17.4218, 17.4218) * CHOOSE(CONTROL!$C$21, $C$9, 100%, $E$9)</f>
        <v>17.421800000000001</v>
      </c>
      <c r="I406" s="17">
        <f>CHOOSE(CONTROL!$C$42, 17.1961, 17.1961)* CHOOSE(CONTROL!$C$21, $C$9, 100%, $E$9)</f>
        <v>17.196100000000001</v>
      </c>
      <c r="J406" s="17">
        <f>CHOOSE(CONTROL!$C$42, 17.1353, 17.1353)* CHOOSE(CONTROL!$C$21, $C$9, 100%, $E$9)</f>
        <v>17.135300000000001</v>
      </c>
      <c r="K406" s="52">
        <f>CHOOSE(CONTROL!$C$42, 17.1919, 17.1919) * CHOOSE(CONTROL!$C$21, $C$9, 100%, $E$9)</f>
        <v>17.1919</v>
      </c>
      <c r="L406" s="17">
        <f>CHOOSE(CONTROL!$C$42, 18.0088, 18.0088) * CHOOSE(CONTROL!$C$21, $C$9, 100%, $E$9)</f>
        <v>18.008800000000001</v>
      </c>
      <c r="M406" s="17">
        <f>CHOOSE(CONTROL!$C$42, 16.8347, 16.8347) * CHOOSE(CONTROL!$C$21, $C$9, 100%, $E$9)</f>
        <v>16.834700000000002</v>
      </c>
      <c r="N406" s="17">
        <f>CHOOSE(CONTROL!$C$42, 16.8512, 16.8512) * CHOOSE(CONTROL!$C$21, $C$9, 100%, $E$9)</f>
        <v>16.851199999999999</v>
      </c>
      <c r="O406" s="17">
        <f>CHOOSE(CONTROL!$C$42, 17.1161, 17.1161) * CHOOSE(CONTROL!$C$21, $C$9, 100%, $E$9)</f>
        <v>17.116099999999999</v>
      </c>
      <c r="P406" s="17">
        <f>CHOOSE(CONTROL!$C$42, 16.8936, 16.8936) * CHOOSE(CONTROL!$C$21, $C$9, 100%, $E$9)</f>
        <v>16.893599999999999</v>
      </c>
      <c r="Q406" s="17">
        <f>CHOOSE(CONTROL!$C$42, 17.7108, 17.7108) * CHOOSE(CONTROL!$C$21, $C$9, 100%, $E$9)</f>
        <v>17.710799999999999</v>
      </c>
      <c r="R406" s="17">
        <f>CHOOSE(CONTROL!$C$42, 18.3421, 18.3421) * CHOOSE(CONTROL!$C$21, $C$9, 100%, $E$9)</f>
        <v>18.342099999999999</v>
      </c>
      <c r="S406" s="17">
        <f>CHOOSE(CONTROL!$C$42, 16.4425, 16.4425) * CHOOSE(CONTROL!$C$21, $C$9, 100%, $E$9)</f>
        <v>16.442499999999999</v>
      </c>
      <c r="T40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06" s="56">
        <f>(1000*CHOOSE(CONTROL!$C$42, 695, 695)*CHOOSE(CONTROL!$C$42, 0.5599, 0.5599)*CHOOSE(CONTROL!$C$42, 31, 31))/1000000</f>
        <v>12.063045499999998</v>
      </c>
      <c r="V406" s="56">
        <f>(1000*CHOOSE(CONTROL!$C$42, 500, 500)*CHOOSE(CONTROL!$C$42, 0.275, 0.275)*CHOOSE(CONTROL!$C$42, 31, 31))/1000000</f>
        <v>4.2625000000000002</v>
      </c>
      <c r="W406" s="56">
        <f>(1000*CHOOSE(CONTROL!$C$42, 0.1146, 0.1146)*CHOOSE(CONTROL!$C$42, 121.5, 121.5)*CHOOSE(CONTROL!$C$42, 31, 31))/1000000</f>
        <v>0.43164089999999994</v>
      </c>
      <c r="X406" s="56">
        <f>(31*0.1790888*145000/1000000)+(31*0.2374*100000/1000000)</f>
        <v>1.5409441560000001</v>
      </c>
      <c r="Y406" s="56"/>
      <c r="Z406" s="17"/>
      <c r="AA406" s="55"/>
      <c r="AB406" s="48">
        <f>(B406*131.881+C406*277.167+D406*79.08+E406*225.872+F406*40+G406*85+H406*0+I406*100+J406*300)/(131.881+277.167+79.08+225.872+0+40+85+100+300)</f>
        <v>17.209487052380954</v>
      </c>
      <c r="AC406" s="45">
        <f>(M406*'RAP TEMPLATE-GAS AVAILABILITY'!O405+N406*'RAP TEMPLATE-GAS AVAILABILITY'!P405+O406*'RAP TEMPLATE-GAS AVAILABILITY'!Q405+P406*'RAP TEMPLATE-GAS AVAILABILITY'!R405)/('RAP TEMPLATE-GAS AVAILABILITY'!O405+'RAP TEMPLATE-GAS AVAILABILITY'!P405+'RAP TEMPLATE-GAS AVAILABILITY'!Q405+'RAP TEMPLATE-GAS AVAILABILITY'!R405)</f>
        <v>16.925927338129497</v>
      </c>
    </row>
    <row r="407" spans="1:29" ht="15.75" x14ac:dyDescent="0.25">
      <c r="A407" s="14">
        <v>53296</v>
      </c>
      <c r="B407" s="17">
        <f>CHOOSE(CONTROL!$C$42, 17.5712, 17.5712) * CHOOSE(CONTROL!$C$21, $C$9, 100%, $E$9)</f>
        <v>17.571200000000001</v>
      </c>
      <c r="C407" s="17">
        <f>CHOOSE(CONTROL!$C$42, 17.5763, 17.5763) * CHOOSE(CONTROL!$C$21, $C$9, 100%, $E$9)</f>
        <v>17.5763</v>
      </c>
      <c r="D407" s="17">
        <f>CHOOSE(CONTROL!$C$42, 17.6713, 17.6713) * CHOOSE(CONTROL!$C$21, $C$9, 100%, $E$9)</f>
        <v>17.671299999999999</v>
      </c>
      <c r="E407" s="17">
        <f>CHOOSE(CONTROL!$C$42, 17.7054, 17.7054) * CHOOSE(CONTROL!$C$21, $C$9, 100%, $E$9)</f>
        <v>17.705400000000001</v>
      </c>
      <c r="F407" s="17">
        <f>CHOOSE(CONTROL!$C$42, 17.5951, 17.5951)*CHOOSE(CONTROL!$C$21, $C$9, 100%, $E$9)</f>
        <v>17.595099999999999</v>
      </c>
      <c r="G407" s="17">
        <f>CHOOSE(CONTROL!$C$42, 17.6122, 17.6122)*CHOOSE(CONTROL!$C$21, $C$9, 100%, $E$9)</f>
        <v>17.612200000000001</v>
      </c>
      <c r="H407" s="17">
        <f>CHOOSE(CONTROL!$C$42, 17.6946, 17.6946) * CHOOSE(CONTROL!$C$21, $C$9, 100%, $E$9)</f>
        <v>17.694600000000001</v>
      </c>
      <c r="I407" s="17">
        <f>CHOOSE(CONTROL!$C$42, 17.6462, 17.6462)* CHOOSE(CONTROL!$C$21, $C$9, 100%, $E$9)</f>
        <v>17.6462</v>
      </c>
      <c r="J407" s="17">
        <f>CHOOSE(CONTROL!$C$42, 17.5881, 17.5881)* CHOOSE(CONTROL!$C$21, $C$9, 100%, $E$9)</f>
        <v>17.588100000000001</v>
      </c>
      <c r="K407" s="52">
        <f>CHOOSE(CONTROL!$C$42, 17.642, 17.642) * CHOOSE(CONTROL!$C$21, $C$9, 100%, $E$9)</f>
        <v>17.641999999999999</v>
      </c>
      <c r="L407" s="17">
        <f>CHOOSE(CONTROL!$C$42, 18.2816, 18.2816) * CHOOSE(CONTROL!$C$21, $C$9, 100%, $E$9)</f>
        <v>18.281600000000001</v>
      </c>
      <c r="M407" s="17">
        <f>CHOOSE(CONTROL!$C$42, 17.2795, 17.2795) * CHOOSE(CONTROL!$C$21, $C$9, 100%, $E$9)</f>
        <v>17.279499999999999</v>
      </c>
      <c r="N407" s="17">
        <f>CHOOSE(CONTROL!$C$42, 17.2962, 17.2962) * CHOOSE(CONTROL!$C$21, $C$9, 100%, $E$9)</f>
        <v>17.296199999999999</v>
      </c>
      <c r="O407" s="17">
        <f>CHOOSE(CONTROL!$C$42, 17.384, 17.384) * CHOOSE(CONTROL!$C$21, $C$9, 100%, $E$9)</f>
        <v>17.384</v>
      </c>
      <c r="P407" s="17">
        <f>CHOOSE(CONTROL!$C$42, 17.3356, 17.3356) * CHOOSE(CONTROL!$C$21, $C$9, 100%, $E$9)</f>
        <v>17.335599999999999</v>
      </c>
      <c r="Q407" s="17">
        <f>CHOOSE(CONTROL!$C$42, 17.9787, 17.9787) * CHOOSE(CONTROL!$C$21, $C$9, 100%, $E$9)</f>
        <v>17.9787</v>
      </c>
      <c r="R407" s="17">
        <f>CHOOSE(CONTROL!$C$42, 18.6107, 18.6107) * CHOOSE(CONTROL!$C$21, $C$9, 100%, $E$9)</f>
        <v>18.610700000000001</v>
      </c>
      <c r="S407" s="17">
        <f>CHOOSE(CONTROL!$C$42, 16.8756, 16.8756) * CHOOSE(CONTROL!$C$21, $C$9, 100%, $E$9)</f>
        <v>16.875599999999999</v>
      </c>
      <c r="T40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07" s="56">
        <f>(1000*CHOOSE(CONTROL!$C$42, 695, 695)*CHOOSE(CONTROL!$C$42, 0.5599, 0.5599)*CHOOSE(CONTROL!$C$42, 30, 30))/1000000</f>
        <v>11.673914999999997</v>
      </c>
      <c r="V407" s="56">
        <f>(1000*CHOOSE(CONTROL!$C$42, 500, 500)*CHOOSE(CONTROL!$C$42, 0.275, 0.275)*CHOOSE(CONTROL!$C$42, 30, 30))/1000000</f>
        <v>4.125</v>
      </c>
      <c r="W407" s="56">
        <f>(1000*CHOOSE(CONTROL!$C$42, 0.1146, 0.1146)*CHOOSE(CONTROL!$C$42, 121.5, 121.5)*CHOOSE(CONTROL!$C$42, 30, 30))/1000000</f>
        <v>0.417717</v>
      </c>
      <c r="X407" s="56">
        <f>(30*0.2374*100000/1000000)</f>
        <v>0.71220000000000006</v>
      </c>
      <c r="Y407" s="56"/>
      <c r="Z407" s="17"/>
      <c r="AA407" s="55"/>
      <c r="AB407" s="48">
        <f>(B407*122.58+C407*297.941+D407*89.177+E407*140.302+F407*40+G407*60+H407*0+I407*100+J407*300)/(122.58+297.941+89.177+140.302+0+40+60+100+300)</f>
        <v>17.610557082782609</v>
      </c>
      <c r="AC407" s="45">
        <f>(M407*'RAP TEMPLATE-GAS AVAILABILITY'!O406+N407*'RAP TEMPLATE-GAS AVAILABILITY'!P406+O407*'RAP TEMPLATE-GAS AVAILABILITY'!Q406+P407*'RAP TEMPLATE-GAS AVAILABILITY'!R406)/('RAP TEMPLATE-GAS AVAILABILITY'!O406+'RAP TEMPLATE-GAS AVAILABILITY'!P406+'RAP TEMPLATE-GAS AVAILABILITY'!Q406+'RAP TEMPLATE-GAS AVAILABILITY'!R406)</f>
        <v>17.335896402877697</v>
      </c>
    </row>
    <row r="408" spans="1:29" ht="15.75" x14ac:dyDescent="0.25">
      <c r="A408" s="14">
        <v>53327</v>
      </c>
      <c r="B408" s="17">
        <f>CHOOSE(CONTROL!$C$42, 18.7686, 18.7686) * CHOOSE(CONTROL!$C$21, $C$9, 100%, $E$9)</f>
        <v>18.768599999999999</v>
      </c>
      <c r="C408" s="17">
        <f>CHOOSE(CONTROL!$C$42, 18.7736, 18.7736) * CHOOSE(CONTROL!$C$21, $C$9, 100%, $E$9)</f>
        <v>18.773599999999998</v>
      </c>
      <c r="D408" s="17">
        <f>CHOOSE(CONTROL!$C$42, 18.8687, 18.8687) * CHOOSE(CONTROL!$C$21, $C$9, 100%, $E$9)</f>
        <v>18.8687</v>
      </c>
      <c r="E408" s="17">
        <f>CHOOSE(CONTROL!$C$42, 18.9028, 18.9028) * CHOOSE(CONTROL!$C$21, $C$9, 100%, $E$9)</f>
        <v>18.902799999999999</v>
      </c>
      <c r="F408" s="17">
        <f>CHOOSE(CONTROL!$C$42, 18.7948, 18.7948)*CHOOSE(CONTROL!$C$21, $C$9, 100%, $E$9)</f>
        <v>18.794799999999999</v>
      </c>
      <c r="G408" s="17">
        <f>CHOOSE(CONTROL!$C$42, 18.8125, 18.8125)*CHOOSE(CONTROL!$C$21, $C$9, 100%, $E$9)</f>
        <v>18.8125</v>
      </c>
      <c r="H408" s="17">
        <f>CHOOSE(CONTROL!$C$42, 18.892, 18.892) * CHOOSE(CONTROL!$C$21, $C$9, 100%, $E$9)</f>
        <v>18.891999999999999</v>
      </c>
      <c r="I408" s="17">
        <f>CHOOSE(CONTROL!$C$42, 18.8473, 18.8473)* CHOOSE(CONTROL!$C$21, $C$9, 100%, $E$9)</f>
        <v>18.847300000000001</v>
      </c>
      <c r="J408" s="17">
        <f>CHOOSE(CONTROL!$C$42, 18.7878, 18.7878)* CHOOSE(CONTROL!$C$21, $C$9, 100%, $E$9)</f>
        <v>18.787800000000001</v>
      </c>
      <c r="K408" s="52">
        <f>CHOOSE(CONTROL!$C$42, 18.8431, 18.8431) * CHOOSE(CONTROL!$C$21, $C$9, 100%, $E$9)</f>
        <v>18.8431</v>
      </c>
      <c r="L408" s="17">
        <f>CHOOSE(CONTROL!$C$42, 19.479, 19.479) * CHOOSE(CONTROL!$C$21, $C$9, 100%, $E$9)</f>
        <v>19.478999999999999</v>
      </c>
      <c r="M408" s="17">
        <f>CHOOSE(CONTROL!$C$42, 18.4576, 18.4576) * CHOOSE(CONTROL!$C$21, $C$9, 100%, $E$9)</f>
        <v>18.457599999999999</v>
      </c>
      <c r="N408" s="17">
        <f>CHOOSE(CONTROL!$C$42, 18.4749, 18.4749) * CHOOSE(CONTROL!$C$21, $C$9, 100%, $E$9)</f>
        <v>18.474900000000002</v>
      </c>
      <c r="O408" s="17">
        <f>CHOOSE(CONTROL!$C$42, 18.5598, 18.5598) * CHOOSE(CONTROL!$C$21, $C$9, 100%, $E$9)</f>
        <v>18.559799999999999</v>
      </c>
      <c r="P408" s="17">
        <f>CHOOSE(CONTROL!$C$42, 18.515, 18.515) * CHOOSE(CONTROL!$C$21, $C$9, 100%, $E$9)</f>
        <v>18.515000000000001</v>
      </c>
      <c r="Q408" s="17">
        <f>CHOOSE(CONTROL!$C$42, 19.1545, 19.1545) * CHOOSE(CONTROL!$C$21, $C$9, 100%, $E$9)</f>
        <v>19.154499999999999</v>
      </c>
      <c r="R408" s="17">
        <f>CHOOSE(CONTROL!$C$42, 19.7894, 19.7894) * CHOOSE(CONTROL!$C$21, $C$9, 100%, $E$9)</f>
        <v>19.789400000000001</v>
      </c>
      <c r="S408" s="17">
        <f>CHOOSE(CONTROL!$C$42, 18.0262, 18.0262) * CHOOSE(CONTROL!$C$21, $C$9, 100%, $E$9)</f>
        <v>18.026199999999999</v>
      </c>
      <c r="T40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08" s="56">
        <f>(1000*CHOOSE(CONTROL!$C$42, 695, 695)*CHOOSE(CONTROL!$C$42, 0.5599, 0.5599)*CHOOSE(CONTROL!$C$42, 31, 31))/1000000</f>
        <v>12.063045499999998</v>
      </c>
      <c r="V408" s="56">
        <f>(1000*CHOOSE(CONTROL!$C$42, 500, 500)*CHOOSE(CONTROL!$C$42, 0.275, 0.275)*CHOOSE(CONTROL!$C$42, 31, 31))/1000000</f>
        <v>4.2625000000000002</v>
      </c>
      <c r="W408" s="56">
        <f>(1000*CHOOSE(CONTROL!$C$42, 0.1146, 0.1146)*CHOOSE(CONTROL!$C$42, 121.5, 121.5)*CHOOSE(CONTROL!$C$42, 31, 31))/1000000</f>
        <v>0.43164089999999994</v>
      </c>
      <c r="X408" s="56">
        <f>(31*0.2374*100000/1000000)</f>
        <v>0.73594000000000004</v>
      </c>
      <c r="Y408" s="56"/>
      <c r="Z408" s="17"/>
      <c r="AA408" s="55"/>
      <c r="AB408" s="48">
        <f>(B408*122.58+C408*297.941+D408*89.177+E408*140.302+F408*40+G408*60+H408*0+I408*100+J408*300)/(122.58+297.941+89.177+140.302+0+40+60+100+300)</f>
        <v>18.809084218347824</v>
      </c>
      <c r="AC408" s="45">
        <f>(M408*'RAP TEMPLATE-GAS AVAILABILITY'!O407+N408*'RAP TEMPLATE-GAS AVAILABILITY'!P407+O408*'RAP TEMPLATE-GAS AVAILABILITY'!Q407+P408*'RAP TEMPLATE-GAS AVAILABILITY'!R407)/('RAP TEMPLATE-GAS AVAILABILITY'!O407+'RAP TEMPLATE-GAS AVAILABILITY'!P407+'RAP TEMPLATE-GAS AVAILABILITY'!Q407+'RAP TEMPLATE-GAS AVAILABILITY'!R407)</f>
        <v>18.513175539568344</v>
      </c>
    </row>
    <row r="409" spans="1:29" ht="15.75" x14ac:dyDescent="0.25">
      <c r="A409" s="14">
        <v>53358</v>
      </c>
      <c r="B409" s="17">
        <f>CHOOSE(CONTROL!$C$42, 20.3237, 20.3237) * CHOOSE(CONTROL!$C$21, $C$9, 100%, $E$9)</f>
        <v>20.323699999999999</v>
      </c>
      <c r="C409" s="17">
        <f>CHOOSE(CONTROL!$C$42, 20.3288, 20.3288) * CHOOSE(CONTROL!$C$21, $C$9, 100%, $E$9)</f>
        <v>20.328800000000001</v>
      </c>
      <c r="D409" s="17">
        <f>CHOOSE(CONTROL!$C$42, 20.4472, 20.4472) * CHOOSE(CONTROL!$C$21, $C$9, 100%, $E$9)</f>
        <v>20.447199999999999</v>
      </c>
      <c r="E409" s="17">
        <f>CHOOSE(CONTROL!$C$42, 20.4813, 20.4813) * CHOOSE(CONTROL!$C$21, $C$9, 100%, $E$9)</f>
        <v>20.481300000000001</v>
      </c>
      <c r="F409" s="17">
        <f>CHOOSE(CONTROL!$C$42, 20.3441, 20.3441)*CHOOSE(CONTROL!$C$21, $C$9, 100%, $E$9)</f>
        <v>20.344100000000001</v>
      </c>
      <c r="G409" s="17">
        <f>CHOOSE(CONTROL!$C$42, 20.3609, 20.3609)*CHOOSE(CONTROL!$C$21, $C$9, 100%, $E$9)</f>
        <v>20.360900000000001</v>
      </c>
      <c r="H409" s="17">
        <f>CHOOSE(CONTROL!$C$42, 20.4705, 20.4705) * CHOOSE(CONTROL!$C$21, $C$9, 100%, $E$9)</f>
        <v>20.470500000000001</v>
      </c>
      <c r="I409" s="17">
        <f>CHOOSE(CONTROL!$C$42, 20.411, 20.411)* CHOOSE(CONTROL!$C$21, $C$9, 100%, $E$9)</f>
        <v>20.411000000000001</v>
      </c>
      <c r="J409" s="17">
        <f>CHOOSE(CONTROL!$C$42, 20.3371, 20.3371)* CHOOSE(CONTROL!$C$21, $C$9, 100%, $E$9)</f>
        <v>20.3371</v>
      </c>
      <c r="K409" s="52">
        <f>CHOOSE(CONTROL!$C$42, 20.4067, 20.4067) * CHOOSE(CONTROL!$C$21, $C$9, 100%, $E$9)</f>
        <v>20.406700000000001</v>
      </c>
      <c r="L409" s="17">
        <f>CHOOSE(CONTROL!$C$42, 21.0575, 21.0575) * CHOOSE(CONTROL!$C$21, $C$9, 100%, $E$9)</f>
        <v>21.057500000000001</v>
      </c>
      <c r="M409" s="17">
        <f>CHOOSE(CONTROL!$C$42, 19.979, 19.979) * CHOOSE(CONTROL!$C$21, $C$9, 100%, $E$9)</f>
        <v>19.978999999999999</v>
      </c>
      <c r="N409" s="17">
        <f>CHOOSE(CONTROL!$C$42, 19.9955, 19.9955) * CHOOSE(CONTROL!$C$21, $C$9, 100%, $E$9)</f>
        <v>19.9955</v>
      </c>
      <c r="O409" s="17">
        <f>CHOOSE(CONTROL!$C$42, 20.11, 20.11) * CHOOSE(CONTROL!$C$21, $C$9, 100%, $E$9)</f>
        <v>20.11</v>
      </c>
      <c r="P409" s="17">
        <f>CHOOSE(CONTROL!$C$42, 20.0505, 20.0505) * CHOOSE(CONTROL!$C$21, $C$9, 100%, $E$9)</f>
        <v>20.0505</v>
      </c>
      <c r="Q409" s="17">
        <f>CHOOSE(CONTROL!$C$42, 20.7047, 20.7047) * CHOOSE(CONTROL!$C$21, $C$9, 100%, $E$9)</f>
        <v>20.704699999999999</v>
      </c>
      <c r="R409" s="17">
        <f>CHOOSE(CONTROL!$C$42, 21.3435, 21.3435) * CHOOSE(CONTROL!$C$21, $C$9, 100%, $E$9)</f>
        <v>21.343499999999999</v>
      </c>
      <c r="S409" s="17">
        <f>CHOOSE(CONTROL!$C$42, 19.5205, 19.5205) * CHOOSE(CONTROL!$C$21, $C$9, 100%, $E$9)</f>
        <v>19.520499999999998</v>
      </c>
      <c r="T40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09" s="56">
        <f>(1000*CHOOSE(CONTROL!$C$42, 695, 695)*CHOOSE(CONTROL!$C$42, 0.5599, 0.5599)*CHOOSE(CONTROL!$C$42, 31, 31))/1000000</f>
        <v>12.063045499999998</v>
      </c>
      <c r="V409" s="56">
        <f>(1000*CHOOSE(CONTROL!$C$42, 500, 500)*CHOOSE(CONTROL!$C$42, 0.275, 0.275)*CHOOSE(CONTROL!$C$42, 31, 31))/1000000</f>
        <v>4.2625000000000002</v>
      </c>
      <c r="W409" s="56">
        <f>(1000*CHOOSE(CONTROL!$C$42, 0.1146, 0.1146)*CHOOSE(CONTROL!$C$42, 121.5, 121.5)*CHOOSE(CONTROL!$C$42, 31, 31))/1000000</f>
        <v>0.43164089999999994</v>
      </c>
      <c r="X409" s="56">
        <f>(31*0.2374*100000/1000000)</f>
        <v>0.73594000000000004</v>
      </c>
      <c r="Y409" s="56"/>
      <c r="Z409" s="17"/>
      <c r="AA409" s="55"/>
      <c r="AB409" s="48">
        <f>(B409*122.58+C409*297.941+D409*89.177+E409*140.302+F409*40+G409*60+H409*0+I409*100+J409*300)/(122.58+297.941+89.177+140.302+0+40+60+100+300)</f>
        <v>20.367563003304348</v>
      </c>
      <c r="AC409" s="45">
        <f>(M409*'RAP TEMPLATE-GAS AVAILABILITY'!O408+N409*'RAP TEMPLATE-GAS AVAILABILITY'!P408+O409*'RAP TEMPLATE-GAS AVAILABILITY'!Q408+P409*'RAP TEMPLATE-GAS AVAILABILITY'!R408)/('RAP TEMPLATE-GAS AVAILABILITY'!O408+'RAP TEMPLATE-GAS AVAILABILITY'!P408+'RAP TEMPLATE-GAS AVAILABILITY'!Q408+'RAP TEMPLATE-GAS AVAILABILITY'!R408)</f>
        <v>20.049611510791365</v>
      </c>
    </row>
    <row r="410" spans="1:29" ht="15.75" x14ac:dyDescent="0.25">
      <c r="A410" s="14">
        <v>53386</v>
      </c>
      <c r="B410" s="17">
        <f>CHOOSE(CONTROL!$C$42, 20.6853, 20.6853) * CHOOSE(CONTROL!$C$21, $C$9, 100%, $E$9)</f>
        <v>20.685300000000002</v>
      </c>
      <c r="C410" s="17">
        <f>CHOOSE(CONTROL!$C$42, 20.6904, 20.6904) * CHOOSE(CONTROL!$C$21, $C$9, 100%, $E$9)</f>
        <v>20.6904</v>
      </c>
      <c r="D410" s="17">
        <f>CHOOSE(CONTROL!$C$42, 20.8088, 20.8088) * CHOOSE(CONTROL!$C$21, $C$9, 100%, $E$9)</f>
        <v>20.808800000000002</v>
      </c>
      <c r="E410" s="17">
        <f>CHOOSE(CONTROL!$C$42, 20.8429, 20.8429) * CHOOSE(CONTROL!$C$21, $C$9, 100%, $E$9)</f>
        <v>20.8429</v>
      </c>
      <c r="F410" s="17">
        <f>CHOOSE(CONTROL!$C$42, 20.7057, 20.7057)*CHOOSE(CONTROL!$C$21, $C$9, 100%, $E$9)</f>
        <v>20.7057</v>
      </c>
      <c r="G410" s="17">
        <f>CHOOSE(CONTROL!$C$42, 20.7225, 20.7225)*CHOOSE(CONTROL!$C$21, $C$9, 100%, $E$9)</f>
        <v>20.7225</v>
      </c>
      <c r="H410" s="17">
        <f>CHOOSE(CONTROL!$C$42, 20.8321, 20.8321) * CHOOSE(CONTROL!$C$21, $C$9, 100%, $E$9)</f>
        <v>20.832100000000001</v>
      </c>
      <c r="I410" s="17">
        <f>CHOOSE(CONTROL!$C$42, 20.7737, 20.7737)* CHOOSE(CONTROL!$C$21, $C$9, 100%, $E$9)</f>
        <v>20.773700000000002</v>
      </c>
      <c r="J410" s="17">
        <f>CHOOSE(CONTROL!$C$42, 20.6987, 20.6987)* CHOOSE(CONTROL!$C$21, $C$9, 100%, $E$9)</f>
        <v>20.698699999999999</v>
      </c>
      <c r="K410" s="52">
        <f>CHOOSE(CONTROL!$C$42, 20.7695, 20.7695) * CHOOSE(CONTROL!$C$21, $C$9, 100%, $E$9)</f>
        <v>20.769500000000001</v>
      </c>
      <c r="L410" s="17">
        <f>CHOOSE(CONTROL!$C$42, 21.4191, 21.4191) * CHOOSE(CONTROL!$C$21, $C$9, 100%, $E$9)</f>
        <v>21.4191</v>
      </c>
      <c r="M410" s="17">
        <f>CHOOSE(CONTROL!$C$42, 20.3341, 20.3341) * CHOOSE(CONTROL!$C$21, $C$9, 100%, $E$9)</f>
        <v>20.334099999999999</v>
      </c>
      <c r="N410" s="17">
        <f>CHOOSE(CONTROL!$C$42, 20.3506, 20.3506) * CHOOSE(CONTROL!$C$21, $C$9, 100%, $E$9)</f>
        <v>20.3506</v>
      </c>
      <c r="O410" s="17">
        <f>CHOOSE(CONTROL!$C$42, 20.4651, 20.4651) * CHOOSE(CONTROL!$C$21, $C$9, 100%, $E$9)</f>
        <v>20.4651</v>
      </c>
      <c r="P410" s="17">
        <f>CHOOSE(CONTROL!$C$42, 20.4067, 20.4067) * CHOOSE(CONTROL!$C$21, $C$9, 100%, $E$9)</f>
        <v>20.406700000000001</v>
      </c>
      <c r="Q410" s="17">
        <f>CHOOSE(CONTROL!$C$42, 21.0598, 21.0598) * CHOOSE(CONTROL!$C$21, $C$9, 100%, $E$9)</f>
        <v>21.059799999999999</v>
      </c>
      <c r="R410" s="17">
        <f>CHOOSE(CONTROL!$C$42, 21.6995, 21.6995) * CHOOSE(CONTROL!$C$21, $C$9, 100%, $E$9)</f>
        <v>21.6995</v>
      </c>
      <c r="S410" s="17">
        <f>CHOOSE(CONTROL!$C$42, 19.868, 19.868) * CHOOSE(CONTROL!$C$21, $C$9, 100%, $E$9)</f>
        <v>19.867999999999999</v>
      </c>
      <c r="T41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10" s="56">
        <f>(1000*CHOOSE(CONTROL!$C$42, 695, 695)*CHOOSE(CONTROL!$C$42, 0.5599, 0.5599)*CHOOSE(CONTROL!$C$42, 28, 28))/1000000</f>
        <v>10.895653999999999</v>
      </c>
      <c r="V410" s="56">
        <f>(1000*CHOOSE(CONTROL!$C$42, 500, 500)*CHOOSE(CONTROL!$C$42, 0.275, 0.275)*CHOOSE(CONTROL!$C$42, 28, 28))/1000000</f>
        <v>3.85</v>
      </c>
      <c r="W410" s="56">
        <f>(1000*CHOOSE(CONTROL!$C$42, 0.1146, 0.1146)*CHOOSE(CONTROL!$C$42, 121.5, 121.5)*CHOOSE(CONTROL!$C$42, 28, 28))/1000000</f>
        <v>0.38986920000000003</v>
      </c>
      <c r="X410" s="56">
        <f>(28*0.2374*100000/1000000)</f>
        <v>0.66471999999999998</v>
      </c>
      <c r="Y410" s="56"/>
      <c r="Z410" s="17"/>
      <c r="AA410" s="55"/>
      <c r="AB410" s="48">
        <f>(B410*122.58+C410*297.941+D410*89.177+E410*140.302+F410*40+G410*60+H410*0+I410*100+J410*300)/(122.58+297.941+89.177+140.302+0+40+60+100+300)</f>
        <v>20.729258655478265</v>
      </c>
      <c r="AC410" s="45">
        <f>(M410*'RAP TEMPLATE-GAS AVAILABILITY'!O409+N410*'RAP TEMPLATE-GAS AVAILABILITY'!P409+O410*'RAP TEMPLATE-GAS AVAILABILITY'!Q409+P410*'RAP TEMPLATE-GAS AVAILABILITY'!R409)/('RAP TEMPLATE-GAS AVAILABILITY'!O409+'RAP TEMPLATE-GAS AVAILABILITY'!P409+'RAP TEMPLATE-GAS AVAILABILITY'!Q409+'RAP TEMPLATE-GAS AVAILABILITY'!R409)</f>
        <v>20.404869784172661</v>
      </c>
    </row>
    <row r="411" spans="1:29" ht="15.75" x14ac:dyDescent="0.25">
      <c r="A411" s="14">
        <v>53417</v>
      </c>
      <c r="B411" s="17">
        <f>CHOOSE(CONTROL!$C$42, 20.0983, 20.0983) * CHOOSE(CONTROL!$C$21, $C$9, 100%, $E$9)</f>
        <v>20.098299999999998</v>
      </c>
      <c r="C411" s="17">
        <f>CHOOSE(CONTROL!$C$42, 20.1034, 20.1034) * CHOOSE(CONTROL!$C$21, $C$9, 100%, $E$9)</f>
        <v>20.103400000000001</v>
      </c>
      <c r="D411" s="17">
        <f>CHOOSE(CONTROL!$C$42, 20.2218, 20.2218) * CHOOSE(CONTROL!$C$21, $C$9, 100%, $E$9)</f>
        <v>20.221800000000002</v>
      </c>
      <c r="E411" s="17">
        <f>CHOOSE(CONTROL!$C$42, 20.2559, 20.2559) * CHOOSE(CONTROL!$C$21, $C$9, 100%, $E$9)</f>
        <v>20.2559</v>
      </c>
      <c r="F411" s="17">
        <f>CHOOSE(CONTROL!$C$42, 20.118, 20.118)*CHOOSE(CONTROL!$C$21, $C$9, 100%, $E$9)</f>
        <v>20.117999999999999</v>
      </c>
      <c r="G411" s="17">
        <f>CHOOSE(CONTROL!$C$42, 20.1347, 20.1347)*CHOOSE(CONTROL!$C$21, $C$9, 100%, $E$9)</f>
        <v>20.134699999999999</v>
      </c>
      <c r="H411" s="17">
        <f>CHOOSE(CONTROL!$C$42, 20.2451, 20.2451) * CHOOSE(CONTROL!$C$21, $C$9, 100%, $E$9)</f>
        <v>20.245100000000001</v>
      </c>
      <c r="I411" s="17">
        <f>CHOOSE(CONTROL!$C$42, 20.1849, 20.1849)* CHOOSE(CONTROL!$C$21, $C$9, 100%, $E$9)</f>
        <v>20.184899999999999</v>
      </c>
      <c r="J411" s="17">
        <f>CHOOSE(CONTROL!$C$42, 20.111, 20.111)* CHOOSE(CONTROL!$C$21, $C$9, 100%, $E$9)</f>
        <v>20.111000000000001</v>
      </c>
      <c r="K411" s="52">
        <f>CHOOSE(CONTROL!$C$42, 20.1807, 20.1807) * CHOOSE(CONTROL!$C$21, $C$9, 100%, $E$9)</f>
        <v>20.180700000000002</v>
      </c>
      <c r="L411" s="17">
        <f>CHOOSE(CONTROL!$C$42, 20.8321, 20.8321) * CHOOSE(CONTROL!$C$21, $C$9, 100%, $E$9)</f>
        <v>20.832100000000001</v>
      </c>
      <c r="M411" s="17">
        <f>CHOOSE(CONTROL!$C$42, 19.757, 19.757) * CHOOSE(CONTROL!$C$21, $C$9, 100%, $E$9)</f>
        <v>19.757000000000001</v>
      </c>
      <c r="N411" s="17">
        <f>CHOOSE(CONTROL!$C$42, 19.7733, 19.7733) * CHOOSE(CONTROL!$C$21, $C$9, 100%, $E$9)</f>
        <v>19.773299999999999</v>
      </c>
      <c r="O411" s="17">
        <f>CHOOSE(CONTROL!$C$42, 19.8887, 19.8887) * CHOOSE(CONTROL!$C$21, $C$9, 100%, $E$9)</f>
        <v>19.8887</v>
      </c>
      <c r="P411" s="17">
        <f>CHOOSE(CONTROL!$C$42, 19.8285, 19.8285) * CHOOSE(CONTROL!$C$21, $C$9, 100%, $E$9)</f>
        <v>19.828499999999998</v>
      </c>
      <c r="Q411" s="17">
        <f>CHOOSE(CONTROL!$C$42, 20.4834, 20.4834) * CHOOSE(CONTROL!$C$21, $C$9, 100%, $E$9)</f>
        <v>20.4834</v>
      </c>
      <c r="R411" s="17">
        <f>CHOOSE(CONTROL!$C$42, 21.1216, 21.1216) * CHOOSE(CONTROL!$C$21, $C$9, 100%, $E$9)</f>
        <v>21.121600000000001</v>
      </c>
      <c r="S411" s="17">
        <f>CHOOSE(CONTROL!$C$42, 19.3039, 19.3039) * CHOOSE(CONTROL!$C$21, $C$9, 100%, $E$9)</f>
        <v>19.303899999999999</v>
      </c>
      <c r="T41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11" s="56">
        <f>(1000*CHOOSE(CONTROL!$C$42, 695, 695)*CHOOSE(CONTROL!$C$42, 0.5599, 0.5599)*CHOOSE(CONTROL!$C$42, 31, 31))/1000000</f>
        <v>12.063045499999998</v>
      </c>
      <c r="V411" s="56">
        <f>(1000*CHOOSE(CONTROL!$C$42, 500, 500)*CHOOSE(CONTROL!$C$42, 0.275, 0.275)*CHOOSE(CONTROL!$C$42, 31, 31))/1000000</f>
        <v>4.2625000000000002</v>
      </c>
      <c r="W411" s="56">
        <f>(1000*CHOOSE(CONTROL!$C$42, 0.1146, 0.1146)*CHOOSE(CONTROL!$C$42, 121.5, 121.5)*CHOOSE(CONTROL!$C$42, 31, 31))/1000000</f>
        <v>0.43164089999999994</v>
      </c>
      <c r="X411" s="56">
        <f>(31*0.2374*100000/1000000)</f>
        <v>0.73594000000000004</v>
      </c>
      <c r="Y411" s="56"/>
      <c r="Z411" s="17"/>
      <c r="AA411" s="55"/>
      <c r="AB411" s="48">
        <f>(B411*122.58+C411*297.941+D411*89.177+E411*140.302+F411*40+G411*60+H411*0+I411*100+J411*300)/(122.58+297.941+89.177+140.302+0+40+60+100+300)</f>
        <v>20.141853438086954</v>
      </c>
      <c r="AC411" s="45">
        <f>(M411*'RAP TEMPLATE-GAS AVAILABILITY'!O410+N411*'RAP TEMPLATE-GAS AVAILABILITY'!P410+O411*'RAP TEMPLATE-GAS AVAILABILITY'!Q410+P411*'RAP TEMPLATE-GAS AVAILABILITY'!R410)/('RAP TEMPLATE-GAS AVAILABILITY'!O410+'RAP TEMPLATE-GAS AVAILABILITY'!P410+'RAP TEMPLATE-GAS AVAILABILITY'!Q410+'RAP TEMPLATE-GAS AVAILABILITY'!R410)</f>
        <v>19.82791726618705</v>
      </c>
    </row>
    <row r="412" spans="1:29" ht="15.75" x14ac:dyDescent="0.25">
      <c r="A412" s="14">
        <v>53447</v>
      </c>
      <c r="B412" s="17">
        <f>CHOOSE(CONTROL!$C$42, 20.0392, 20.0392) * CHOOSE(CONTROL!$C$21, $C$9, 100%, $E$9)</f>
        <v>20.039200000000001</v>
      </c>
      <c r="C412" s="17">
        <f>CHOOSE(CONTROL!$C$42, 20.0437, 20.0437) * CHOOSE(CONTROL!$C$21, $C$9, 100%, $E$9)</f>
        <v>20.043700000000001</v>
      </c>
      <c r="D412" s="17">
        <f>CHOOSE(CONTROL!$C$42, 20.3179, 20.3179) * CHOOSE(CONTROL!$C$21, $C$9, 100%, $E$9)</f>
        <v>20.317900000000002</v>
      </c>
      <c r="E412" s="17">
        <f>CHOOSE(CONTROL!$C$42, 20.35, 20.35) * CHOOSE(CONTROL!$C$21, $C$9, 100%, $E$9)</f>
        <v>20.350000000000001</v>
      </c>
      <c r="F412" s="17">
        <f>CHOOSE(CONTROL!$C$42, 20.0585, 20.0585)*CHOOSE(CONTROL!$C$21, $C$9, 100%, $E$9)</f>
        <v>20.058499999999999</v>
      </c>
      <c r="G412" s="17">
        <f>CHOOSE(CONTROL!$C$42, 20.0748, 20.0748)*CHOOSE(CONTROL!$C$21, $C$9, 100%, $E$9)</f>
        <v>20.0748</v>
      </c>
      <c r="H412" s="17">
        <f>CHOOSE(CONTROL!$C$42, 20.3398, 20.3398) * CHOOSE(CONTROL!$C$21, $C$9, 100%, $E$9)</f>
        <v>20.3398</v>
      </c>
      <c r="I412" s="17">
        <f>CHOOSE(CONTROL!$C$42, 20.1232, 20.1232)* CHOOSE(CONTROL!$C$21, $C$9, 100%, $E$9)</f>
        <v>20.123200000000001</v>
      </c>
      <c r="J412" s="17">
        <f>CHOOSE(CONTROL!$C$42, 20.0515, 20.0515)* CHOOSE(CONTROL!$C$21, $C$9, 100%, $E$9)</f>
        <v>20.051500000000001</v>
      </c>
      <c r="K412" s="52">
        <f>CHOOSE(CONTROL!$C$42, 20.119, 20.119) * CHOOSE(CONTROL!$C$21, $C$9, 100%, $E$9)</f>
        <v>20.119</v>
      </c>
      <c r="L412" s="17">
        <f>CHOOSE(CONTROL!$C$42, 20.9268, 20.9268) * CHOOSE(CONTROL!$C$21, $C$9, 100%, $E$9)</f>
        <v>20.9268</v>
      </c>
      <c r="M412" s="17">
        <f>CHOOSE(CONTROL!$C$42, 19.6985, 19.6985) * CHOOSE(CONTROL!$C$21, $C$9, 100%, $E$9)</f>
        <v>19.698499999999999</v>
      </c>
      <c r="N412" s="17">
        <f>CHOOSE(CONTROL!$C$42, 19.7146, 19.7146) * CHOOSE(CONTROL!$C$21, $C$9, 100%, $E$9)</f>
        <v>19.714600000000001</v>
      </c>
      <c r="O412" s="17">
        <f>CHOOSE(CONTROL!$C$42, 19.9816, 19.9816) * CHOOSE(CONTROL!$C$21, $C$9, 100%, $E$9)</f>
        <v>19.9816</v>
      </c>
      <c r="P412" s="17">
        <f>CHOOSE(CONTROL!$C$42, 19.7679, 19.7679) * CHOOSE(CONTROL!$C$21, $C$9, 100%, $E$9)</f>
        <v>19.767900000000001</v>
      </c>
      <c r="Q412" s="17">
        <f>CHOOSE(CONTROL!$C$42, 20.5763, 20.5763) * CHOOSE(CONTROL!$C$21, $C$9, 100%, $E$9)</f>
        <v>20.5763</v>
      </c>
      <c r="R412" s="17">
        <f>CHOOSE(CONTROL!$C$42, 21.2147, 21.2147) * CHOOSE(CONTROL!$C$21, $C$9, 100%, $E$9)</f>
        <v>21.214700000000001</v>
      </c>
      <c r="S412" s="17">
        <f>CHOOSE(CONTROL!$C$42, 19.2464, 19.2464) * CHOOSE(CONTROL!$C$21, $C$9, 100%, $E$9)</f>
        <v>19.246400000000001</v>
      </c>
      <c r="T41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12" s="56">
        <f>(1000*CHOOSE(CONTROL!$C$42, 695, 695)*CHOOSE(CONTROL!$C$42, 0.5599, 0.5599)*CHOOSE(CONTROL!$C$42, 30, 30))/1000000</f>
        <v>11.673914999999997</v>
      </c>
      <c r="V412" s="56">
        <f>(1000*CHOOSE(CONTROL!$C$42, 500, 500)*CHOOSE(CONTROL!$C$42, 0.275, 0.275)*CHOOSE(CONTROL!$C$42, 30, 30))/1000000</f>
        <v>4.125</v>
      </c>
      <c r="W412" s="56">
        <f>(1000*CHOOSE(CONTROL!$C$42, 0.1146, 0.1146)*CHOOSE(CONTROL!$C$42, 121.5, 121.5)*CHOOSE(CONTROL!$C$42, 30, 30))/1000000</f>
        <v>0.417717</v>
      </c>
      <c r="X412" s="56">
        <f>(30*0.1790888*145000/1000000)+(30*0.2374*100000/1000000)</f>
        <v>1.4912362799999999</v>
      </c>
      <c r="Y412" s="56"/>
      <c r="Z412" s="17"/>
      <c r="AA412" s="55"/>
      <c r="AB412" s="48">
        <f>(B412*141.293+C412*267.993+D412*115.016+E412*189.698+F412*40+G412*85+H412*0+I412*100+J412*300)/(141.293+267.993+115.016+189.698+0+40+85+100+300)</f>
        <v>20.126453483535109</v>
      </c>
      <c r="AC412" s="45">
        <f>(M412*'RAP TEMPLATE-GAS AVAILABILITY'!O411+N412*'RAP TEMPLATE-GAS AVAILABILITY'!P411+O412*'RAP TEMPLATE-GAS AVAILABILITY'!Q411+P412*'RAP TEMPLATE-GAS AVAILABILITY'!R411)/('RAP TEMPLATE-GAS AVAILABILITY'!O411+'RAP TEMPLATE-GAS AVAILABILITY'!P411+'RAP TEMPLATE-GAS AVAILABILITY'!Q411+'RAP TEMPLATE-GAS AVAILABILITY'!R411)</f>
        <v>19.791623021582733</v>
      </c>
    </row>
    <row r="413" spans="1:29" ht="15.75" x14ac:dyDescent="0.25">
      <c r="A413" s="14">
        <v>53478</v>
      </c>
      <c r="B413" s="17">
        <f>CHOOSE(CONTROL!$C$42, 20.2173, 20.2173) * CHOOSE(CONTROL!$C$21, $C$9, 100%, $E$9)</f>
        <v>20.217300000000002</v>
      </c>
      <c r="C413" s="17">
        <f>CHOOSE(CONTROL!$C$42, 20.2254, 20.2254) * CHOOSE(CONTROL!$C$21, $C$9, 100%, $E$9)</f>
        <v>20.2254</v>
      </c>
      <c r="D413" s="17">
        <f>CHOOSE(CONTROL!$C$42, 20.4964, 20.4964) * CHOOSE(CONTROL!$C$21, $C$9, 100%, $E$9)</f>
        <v>20.496400000000001</v>
      </c>
      <c r="E413" s="17">
        <f>CHOOSE(CONTROL!$C$42, 20.5279, 20.5279) * CHOOSE(CONTROL!$C$21, $C$9, 100%, $E$9)</f>
        <v>20.527899999999999</v>
      </c>
      <c r="F413" s="17">
        <f>CHOOSE(CONTROL!$C$42, 20.2355, 20.2355)*CHOOSE(CONTROL!$C$21, $C$9, 100%, $E$9)</f>
        <v>20.235499999999998</v>
      </c>
      <c r="G413" s="17">
        <f>CHOOSE(CONTROL!$C$42, 20.2521, 20.2521)*CHOOSE(CONTROL!$C$21, $C$9, 100%, $E$9)</f>
        <v>20.252099999999999</v>
      </c>
      <c r="H413" s="17">
        <f>CHOOSE(CONTROL!$C$42, 20.5165, 20.5165) * CHOOSE(CONTROL!$C$21, $C$9, 100%, $E$9)</f>
        <v>20.516500000000001</v>
      </c>
      <c r="I413" s="17">
        <f>CHOOSE(CONTROL!$C$42, 20.3005, 20.3005)* CHOOSE(CONTROL!$C$21, $C$9, 100%, $E$9)</f>
        <v>20.3005</v>
      </c>
      <c r="J413" s="17">
        <f>CHOOSE(CONTROL!$C$42, 20.2285, 20.2285)* CHOOSE(CONTROL!$C$21, $C$9, 100%, $E$9)</f>
        <v>20.2285</v>
      </c>
      <c r="K413" s="52">
        <f>CHOOSE(CONTROL!$C$42, 20.2963, 20.2963) * CHOOSE(CONTROL!$C$21, $C$9, 100%, $E$9)</f>
        <v>20.296299999999999</v>
      </c>
      <c r="L413" s="17">
        <f>CHOOSE(CONTROL!$C$42, 21.1035, 21.1035) * CHOOSE(CONTROL!$C$21, $C$9, 100%, $E$9)</f>
        <v>21.1035</v>
      </c>
      <c r="M413" s="17">
        <f>CHOOSE(CONTROL!$C$42, 19.8724, 19.8724) * CHOOSE(CONTROL!$C$21, $C$9, 100%, $E$9)</f>
        <v>19.872399999999999</v>
      </c>
      <c r="N413" s="17">
        <f>CHOOSE(CONTROL!$C$42, 19.8887, 19.8887) * CHOOSE(CONTROL!$C$21, $C$9, 100%, $E$9)</f>
        <v>19.8887</v>
      </c>
      <c r="O413" s="17">
        <f>CHOOSE(CONTROL!$C$42, 20.1552, 20.1552) * CHOOSE(CONTROL!$C$21, $C$9, 100%, $E$9)</f>
        <v>20.155200000000001</v>
      </c>
      <c r="P413" s="17">
        <f>CHOOSE(CONTROL!$C$42, 19.942, 19.942) * CHOOSE(CONTROL!$C$21, $C$9, 100%, $E$9)</f>
        <v>19.942</v>
      </c>
      <c r="Q413" s="17">
        <f>CHOOSE(CONTROL!$C$42, 20.7499, 20.7499) * CHOOSE(CONTROL!$C$21, $C$9, 100%, $E$9)</f>
        <v>20.7499</v>
      </c>
      <c r="R413" s="17">
        <f>CHOOSE(CONTROL!$C$42, 21.3888, 21.3888) * CHOOSE(CONTROL!$C$21, $C$9, 100%, $E$9)</f>
        <v>21.3888</v>
      </c>
      <c r="S413" s="17">
        <f>CHOOSE(CONTROL!$C$42, 19.4162, 19.4162) * CHOOSE(CONTROL!$C$21, $C$9, 100%, $E$9)</f>
        <v>19.4162</v>
      </c>
      <c r="T41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13" s="56">
        <f>(1000*CHOOSE(CONTROL!$C$42, 695, 695)*CHOOSE(CONTROL!$C$42, 0.5599, 0.5599)*CHOOSE(CONTROL!$C$42, 31, 31))/1000000</f>
        <v>12.063045499999998</v>
      </c>
      <c r="V413" s="56">
        <f>(1000*CHOOSE(CONTROL!$C$42, 500, 500)*CHOOSE(CONTROL!$C$42, 0.275, 0.275)*CHOOSE(CONTROL!$C$42, 31, 31))/1000000</f>
        <v>4.2625000000000002</v>
      </c>
      <c r="W413" s="56">
        <f>(1000*CHOOSE(CONTROL!$C$42, 0.1146, 0.1146)*CHOOSE(CONTROL!$C$42, 121.5, 121.5)*CHOOSE(CONTROL!$C$42, 31, 31))/1000000</f>
        <v>0.43164089999999994</v>
      </c>
      <c r="X413" s="56">
        <f>(31*0.1790888*145000/1000000)+(31*0.2374*100000/1000000)</f>
        <v>1.5409441560000001</v>
      </c>
      <c r="Y413" s="56"/>
      <c r="Z413" s="17"/>
      <c r="AA413" s="55"/>
      <c r="AB413" s="48">
        <f>(B413*194.205+C413*267.466+D413*133.845+E413*153.484+F413*40+G413*85+H413*0+I413*100+J413*300)/(194.205+267.466+133.845+153.484+0+40+85+100+300)</f>
        <v>20.297802939167973</v>
      </c>
      <c r="AC413" s="45">
        <f>(M413*'RAP TEMPLATE-GAS AVAILABILITY'!O412+N413*'RAP TEMPLATE-GAS AVAILABILITY'!P412+O413*'RAP TEMPLATE-GAS AVAILABILITY'!Q412+P413*'RAP TEMPLATE-GAS AVAILABILITY'!R412)/('RAP TEMPLATE-GAS AVAILABILITY'!O412+'RAP TEMPLATE-GAS AVAILABILITY'!P412+'RAP TEMPLATE-GAS AVAILABILITY'!Q412+'RAP TEMPLATE-GAS AVAILABILITY'!R412)</f>
        <v>19.965513669064748</v>
      </c>
    </row>
    <row r="414" spans="1:29" ht="15.75" x14ac:dyDescent="0.25">
      <c r="A414" s="14">
        <v>53508</v>
      </c>
      <c r="B414" s="17">
        <f>CHOOSE(CONTROL!$C$42, 20.7905, 20.7905) * CHOOSE(CONTROL!$C$21, $C$9, 100%, $E$9)</f>
        <v>20.790500000000002</v>
      </c>
      <c r="C414" s="17">
        <f>CHOOSE(CONTROL!$C$42, 20.7985, 20.7985) * CHOOSE(CONTROL!$C$21, $C$9, 100%, $E$9)</f>
        <v>20.798500000000001</v>
      </c>
      <c r="D414" s="17">
        <f>CHOOSE(CONTROL!$C$42, 21.0696, 21.0696) * CHOOSE(CONTROL!$C$21, $C$9, 100%, $E$9)</f>
        <v>21.069600000000001</v>
      </c>
      <c r="E414" s="17">
        <f>CHOOSE(CONTROL!$C$42, 21.101, 21.101) * CHOOSE(CONTROL!$C$21, $C$9, 100%, $E$9)</f>
        <v>21.100999999999999</v>
      </c>
      <c r="F414" s="17">
        <f>CHOOSE(CONTROL!$C$42, 20.809, 20.809)*CHOOSE(CONTROL!$C$21, $C$9, 100%, $E$9)</f>
        <v>20.809000000000001</v>
      </c>
      <c r="G414" s="17">
        <f>CHOOSE(CONTROL!$C$42, 20.8257, 20.8257)*CHOOSE(CONTROL!$C$21, $C$9, 100%, $E$9)</f>
        <v>20.825700000000001</v>
      </c>
      <c r="H414" s="17">
        <f>CHOOSE(CONTROL!$C$42, 21.0897, 21.0897) * CHOOSE(CONTROL!$C$21, $C$9, 100%, $E$9)</f>
        <v>21.089700000000001</v>
      </c>
      <c r="I414" s="17">
        <f>CHOOSE(CONTROL!$C$42, 20.8755, 20.8755)* CHOOSE(CONTROL!$C$21, $C$9, 100%, $E$9)</f>
        <v>20.875499999999999</v>
      </c>
      <c r="J414" s="17">
        <f>CHOOSE(CONTROL!$C$42, 20.802, 20.802)* CHOOSE(CONTROL!$C$21, $C$9, 100%, $E$9)</f>
        <v>20.802</v>
      </c>
      <c r="K414" s="52">
        <f>CHOOSE(CONTROL!$C$42, 20.8713, 20.8713) * CHOOSE(CONTROL!$C$21, $C$9, 100%, $E$9)</f>
        <v>20.871300000000002</v>
      </c>
      <c r="L414" s="17">
        <f>CHOOSE(CONTROL!$C$42, 21.6767, 21.6767) * CHOOSE(CONTROL!$C$21, $C$9, 100%, $E$9)</f>
        <v>21.6767</v>
      </c>
      <c r="M414" s="17">
        <f>CHOOSE(CONTROL!$C$42, 20.4355, 20.4355) * CHOOSE(CONTROL!$C$21, $C$9, 100%, $E$9)</f>
        <v>20.435500000000001</v>
      </c>
      <c r="N414" s="17">
        <f>CHOOSE(CONTROL!$C$42, 20.4519, 20.4519) * CHOOSE(CONTROL!$C$21, $C$9, 100%, $E$9)</f>
        <v>20.451899999999998</v>
      </c>
      <c r="O414" s="17">
        <f>CHOOSE(CONTROL!$C$42, 20.718, 20.718) * CHOOSE(CONTROL!$C$21, $C$9, 100%, $E$9)</f>
        <v>20.718</v>
      </c>
      <c r="P414" s="17">
        <f>CHOOSE(CONTROL!$C$42, 20.5066, 20.5066) * CHOOSE(CONTROL!$C$21, $C$9, 100%, $E$9)</f>
        <v>20.506599999999999</v>
      </c>
      <c r="Q414" s="17">
        <f>CHOOSE(CONTROL!$C$42, 21.3127, 21.3127) * CHOOSE(CONTROL!$C$21, $C$9, 100%, $E$9)</f>
        <v>21.3127</v>
      </c>
      <c r="R414" s="17">
        <f>CHOOSE(CONTROL!$C$42, 21.953, 21.953) * CHOOSE(CONTROL!$C$21, $C$9, 100%, $E$9)</f>
        <v>21.952999999999999</v>
      </c>
      <c r="S414" s="17">
        <f>CHOOSE(CONTROL!$C$42, 19.967, 19.967) * CHOOSE(CONTROL!$C$21, $C$9, 100%, $E$9)</f>
        <v>19.966999999999999</v>
      </c>
      <c r="T41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14" s="56">
        <f>(1000*CHOOSE(CONTROL!$C$42, 695, 695)*CHOOSE(CONTROL!$C$42, 0.5599, 0.5599)*CHOOSE(CONTROL!$C$42, 30, 30))/1000000</f>
        <v>11.673914999999997</v>
      </c>
      <c r="V414" s="56">
        <f>(1000*CHOOSE(CONTROL!$C$42, 500, 500)*CHOOSE(CONTROL!$C$42, 0.275, 0.275)*CHOOSE(CONTROL!$C$42, 30, 30))/1000000</f>
        <v>4.125</v>
      </c>
      <c r="W414" s="56">
        <f>(1000*CHOOSE(CONTROL!$C$42, 0.1146, 0.1146)*CHOOSE(CONTROL!$C$42, 121.5, 121.5)*CHOOSE(CONTROL!$C$42, 30, 30))/1000000</f>
        <v>0.417717</v>
      </c>
      <c r="X414" s="56">
        <f>(30*0.1790888*145000/1000000)+(30*0.2374*100000/1000000)</f>
        <v>1.4912362799999999</v>
      </c>
      <c r="Y414" s="56"/>
      <c r="Z414" s="17"/>
      <c r="AA414" s="55"/>
      <c r="AB414" s="48">
        <f>(B414*194.205+C414*267.466+D414*133.845+E414*153.484+F414*40+G414*85+H414*0+I414*100+J414*300)/(194.205+267.466+133.845+153.484+0+40+85+100+300)</f>
        <v>20.871217935243326</v>
      </c>
      <c r="AC414" s="45">
        <f>(M414*'RAP TEMPLATE-GAS AVAILABILITY'!O413+N414*'RAP TEMPLATE-GAS AVAILABILITY'!P413+O414*'RAP TEMPLATE-GAS AVAILABILITY'!Q413+P414*'RAP TEMPLATE-GAS AVAILABILITY'!R413)/('RAP TEMPLATE-GAS AVAILABILITY'!O413+'RAP TEMPLATE-GAS AVAILABILITY'!P413+'RAP TEMPLATE-GAS AVAILABILITY'!Q413+'RAP TEMPLATE-GAS AVAILABILITY'!R413)</f>
        <v>20.528768345323741</v>
      </c>
    </row>
    <row r="415" spans="1:29" ht="15.75" x14ac:dyDescent="0.25">
      <c r="A415" s="14">
        <v>53539</v>
      </c>
      <c r="B415" s="17">
        <f>CHOOSE(CONTROL!$C$42, 20.3919, 20.3919) * CHOOSE(CONTROL!$C$21, $C$9, 100%, $E$9)</f>
        <v>20.3919</v>
      </c>
      <c r="C415" s="17">
        <f>CHOOSE(CONTROL!$C$42, 20.3999, 20.3999) * CHOOSE(CONTROL!$C$21, $C$9, 100%, $E$9)</f>
        <v>20.399899999999999</v>
      </c>
      <c r="D415" s="17">
        <f>CHOOSE(CONTROL!$C$42, 20.671, 20.671) * CHOOSE(CONTROL!$C$21, $C$9, 100%, $E$9)</f>
        <v>20.670999999999999</v>
      </c>
      <c r="E415" s="17">
        <f>CHOOSE(CONTROL!$C$42, 20.7024, 20.7024) * CHOOSE(CONTROL!$C$21, $C$9, 100%, $E$9)</f>
        <v>20.702400000000001</v>
      </c>
      <c r="F415" s="17">
        <f>CHOOSE(CONTROL!$C$42, 20.4107, 20.4107)*CHOOSE(CONTROL!$C$21, $C$9, 100%, $E$9)</f>
        <v>20.410699999999999</v>
      </c>
      <c r="G415" s="17">
        <f>CHOOSE(CONTROL!$C$42, 20.4276, 20.4276)*CHOOSE(CONTROL!$C$21, $C$9, 100%, $E$9)</f>
        <v>20.427600000000002</v>
      </c>
      <c r="H415" s="17">
        <f>CHOOSE(CONTROL!$C$42, 20.691, 20.691) * CHOOSE(CONTROL!$C$21, $C$9, 100%, $E$9)</f>
        <v>20.690999999999999</v>
      </c>
      <c r="I415" s="17">
        <f>CHOOSE(CONTROL!$C$42, 20.4756, 20.4756)* CHOOSE(CONTROL!$C$21, $C$9, 100%, $E$9)</f>
        <v>20.4756</v>
      </c>
      <c r="J415" s="17">
        <f>CHOOSE(CONTROL!$C$42, 20.4037, 20.4037)* CHOOSE(CONTROL!$C$21, $C$9, 100%, $E$9)</f>
        <v>20.403700000000001</v>
      </c>
      <c r="K415" s="52">
        <f>CHOOSE(CONTROL!$C$42, 20.4714, 20.4714) * CHOOSE(CONTROL!$C$21, $C$9, 100%, $E$9)</f>
        <v>20.471399999999999</v>
      </c>
      <c r="L415" s="17">
        <f>CHOOSE(CONTROL!$C$42, 21.278, 21.278) * CHOOSE(CONTROL!$C$21, $C$9, 100%, $E$9)</f>
        <v>21.277999999999999</v>
      </c>
      <c r="M415" s="17">
        <f>CHOOSE(CONTROL!$C$42, 20.0444, 20.0444) * CHOOSE(CONTROL!$C$21, $C$9, 100%, $E$9)</f>
        <v>20.0444</v>
      </c>
      <c r="N415" s="17">
        <f>CHOOSE(CONTROL!$C$42, 20.0609, 20.0609) * CHOOSE(CONTROL!$C$21, $C$9, 100%, $E$9)</f>
        <v>20.0609</v>
      </c>
      <c r="O415" s="17">
        <f>CHOOSE(CONTROL!$C$42, 20.3266, 20.3266) * CHOOSE(CONTROL!$C$21, $C$9, 100%, $E$9)</f>
        <v>20.326599999999999</v>
      </c>
      <c r="P415" s="17">
        <f>CHOOSE(CONTROL!$C$42, 20.1139, 20.1139) * CHOOSE(CONTROL!$C$21, $C$9, 100%, $E$9)</f>
        <v>20.113900000000001</v>
      </c>
      <c r="Q415" s="17">
        <f>CHOOSE(CONTROL!$C$42, 20.9213, 20.9213) * CHOOSE(CONTROL!$C$21, $C$9, 100%, $E$9)</f>
        <v>20.921299999999999</v>
      </c>
      <c r="R415" s="17">
        <f>CHOOSE(CONTROL!$C$42, 21.5606, 21.5606) * CHOOSE(CONTROL!$C$21, $C$9, 100%, $E$9)</f>
        <v>21.560600000000001</v>
      </c>
      <c r="S415" s="17">
        <f>CHOOSE(CONTROL!$C$42, 19.5839, 19.5839) * CHOOSE(CONTROL!$C$21, $C$9, 100%, $E$9)</f>
        <v>19.5839</v>
      </c>
      <c r="T41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15" s="56">
        <f>(1000*CHOOSE(CONTROL!$C$42, 695, 695)*CHOOSE(CONTROL!$C$42, 0.5599, 0.5599)*CHOOSE(CONTROL!$C$42, 31, 31))/1000000</f>
        <v>12.063045499999998</v>
      </c>
      <c r="V415" s="56">
        <f>(1000*CHOOSE(CONTROL!$C$42, 500, 500)*CHOOSE(CONTROL!$C$42, 0.275, 0.275)*CHOOSE(CONTROL!$C$42, 31, 31))/1000000</f>
        <v>4.2625000000000002</v>
      </c>
      <c r="W415" s="56">
        <f>(1000*CHOOSE(CONTROL!$C$42, 0.1146, 0.1146)*CHOOSE(CONTROL!$C$42, 121.5, 121.5)*CHOOSE(CONTROL!$C$42, 31, 31))/1000000</f>
        <v>0.43164089999999994</v>
      </c>
      <c r="X415" s="56">
        <f>(31*0.1790888*145000/1000000)+(31*0.2374*100000/1000000)</f>
        <v>1.5409441560000001</v>
      </c>
      <c r="Y415" s="56"/>
      <c r="Z415" s="17"/>
      <c r="AA415" s="55"/>
      <c r="AB415" s="48">
        <f>(B415*194.205+C415*267.466+D415*133.845+E415*153.484+F415*40+G415*85+H415*0+I415*100+J415*300)/(194.205+267.466+133.845+153.484+0+40+85+100+300)</f>
        <v>20.472629316718997</v>
      </c>
      <c r="AC415" s="45">
        <f>(M415*'RAP TEMPLATE-GAS AVAILABILITY'!O414+N415*'RAP TEMPLATE-GAS AVAILABILITY'!P414+O415*'RAP TEMPLATE-GAS AVAILABILITY'!Q414+P415*'RAP TEMPLATE-GAS AVAILABILITY'!R414)/('RAP TEMPLATE-GAS AVAILABILITY'!O414+'RAP TEMPLATE-GAS AVAILABILITY'!P414+'RAP TEMPLATE-GAS AVAILABILITY'!Q414+'RAP TEMPLATE-GAS AVAILABILITY'!R414)</f>
        <v>20.137376978417265</v>
      </c>
    </row>
    <row r="416" spans="1:29" ht="15.75" x14ac:dyDescent="0.25">
      <c r="A416" s="14">
        <v>53570</v>
      </c>
      <c r="B416" s="17">
        <f>CHOOSE(CONTROL!$C$42, 19.3852, 19.3852) * CHOOSE(CONTROL!$C$21, $C$9, 100%, $E$9)</f>
        <v>19.385200000000001</v>
      </c>
      <c r="C416" s="17">
        <f>CHOOSE(CONTROL!$C$42, 19.3932, 19.3932) * CHOOSE(CONTROL!$C$21, $C$9, 100%, $E$9)</f>
        <v>19.3932</v>
      </c>
      <c r="D416" s="17">
        <f>CHOOSE(CONTROL!$C$42, 19.6643, 19.6643) * CHOOSE(CONTROL!$C$21, $C$9, 100%, $E$9)</f>
        <v>19.664300000000001</v>
      </c>
      <c r="E416" s="17">
        <f>CHOOSE(CONTROL!$C$42, 19.6957, 19.6957) * CHOOSE(CONTROL!$C$21, $C$9, 100%, $E$9)</f>
        <v>19.695699999999999</v>
      </c>
      <c r="F416" s="17">
        <f>CHOOSE(CONTROL!$C$42, 19.4043, 19.4043)*CHOOSE(CONTROL!$C$21, $C$9, 100%, $E$9)</f>
        <v>19.404299999999999</v>
      </c>
      <c r="G416" s="17">
        <f>CHOOSE(CONTROL!$C$42, 19.4212, 19.4212)*CHOOSE(CONTROL!$C$21, $C$9, 100%, $E$9)</f>
        <v>19.421199999999999</v>
      </c>
      <c r="H416" s="17">
        <f>CHOOSE(CONTROL!$C$42, 19.6844, 19.6844) * CHOOSE(CONTROL!$C$21, $C$9, 100%, $E$9)</f>
        <v>19.6844</v>
      </c>
      <c r="I416" s="17">
        <f>CHOOSE(CONTROL!$C$42, 19.4658, 19.4658)* CHOOSE(CONTROL!$C$21, $C$9, 100%, $E$9)</f>
        <v>19.465800000000002</v>
      </c>
      <c r="J416" s="17">
        <f>CHOOSE(CONTROL!$C$42, 19.3973, 19.3973)* CHOOSE(CONTROL!$C$21, $C$9, 100%, $E$9)</f>
        <v>19.397300000000001</v>
      </c>
      <c r="K416" s="52">
        <f>CHOOSE(CONTROL!$C$42, 19.4616, 19.4616) * CHOOSE(CONTROL!$C$21, $C$9, 100%, $E$9)</f>
        <v>19.461600000000001</v>
      </c>
      <c r="L416" s="17">
        <f>CHOOSE(CONTROL!$C$42, 20.2714, 20.2714) * CHOOSE(CONTROL!$C$21, $C$9, 100%, $E$9)</f>
        <v>20.2714</v>
      </c>
      <c r="M416" s="17">
        <f>CHOOSE(CONTROL!$C$42, 19.0561, 19.0561) * CHOOSE(CONTROL!$C$21, $C$9, 100%, $E$9)</f>
        <v>19.056100000000001</v>
      </c>
      <c r="N416" s="17">
        <f>CHOOSE(CONTROL!$C$42, 19.0727, 19.0727) * CHOOSE(CONTROL!$C$21, $C$9, 100%, $E$9)</f>
        <v>19.072700000000001</v>
      </c>
      <c r="O416" s="17">
        <f>CHOOSE(CONTROL!$C$42, 19.338, 19.338) * CHOOSE(CONTROL!$C$21, $C$9, 100%, $E$9)</f>
        <v>19.338000000000001</v>
      </c>
      <c r="P416" s="17">
        <f>CHOOSE(CONTROL!$C$42, 19.1223, 19.1223) * CHOOSE(CONTROL!$C$21, $C$9, 100%, $E$9)</f>
        <v>19.122299999999999</v>
      </c>
      <c r="Q416" s="17">
        <f>CHOOSE(CONTROL!$C$42, 19.9327, 19.9327) * CHOOSE(CONTROL!$C$21, $C$9, 100%, $E$9)</f>
        <v>19.932700000000001</v>
      </c>
      <c r="R416" s="17">
        <f>CHOOSE(CONTROL!$C$42, 20.5695, 20.5695) * CHOOSE(CONTROL!$C$21, $C$9, 100%, $E$9)</f>
        <v>20.569500000000001</v>
      </c>
      <c r="S416" s="17">
        <f>CHOOSE(CONTROL!$C$42, 18.6166, 18.6166) * CHOOSE(CONTROL!$C$21, $C$9, 100%, $E$9)</f>
        <v>18.616599999999998</v>
      </c>
      <c r="T41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16" s="56">
        <f>(1000*CHOOSE(CONTROL!$C$42, 695, 695)*CHOOSE(CONTROL!$C$42, 0.5599, 0.5599)*CHOOSE(CONTROL!$C$42, 31, 31))/1000000</f>
        <v>12.063045499999998</v>
      </c>
      <c r="V416" s="56">
        <f>(1000*CHOOSE(CONTROL!$C$42, 500, 500)*CHOOSE(CONTROL!$C$42, 0.275, 0.275)*CHOOSE(CONTROL!$C$42, 31, 31))/1000000</f>
        <v>4.2625000000000002</v>
      </c>
      <c r="W416" s="56">
        <f>(1000*CHOOSE(CONTROL!$C$42, 0.1146, 0.1146)*CHOOSE(CONTROL!$C$42, 121.5, 121.5)*CHOOSE(CONTROL!$C$42, 31, 31))/1000000</f>
        <v>0.43164089999999994</v>
      </c>
      <c r="X416" s="56">
        <f>(31*0.1790888*145000/1000000)+(31*0.2374*100000/1000000)</f>
        <v>1.5409441560000001</v>
      </c>
      <c r="Y416" s="56"/>
      <c r="Z416" s="17"/>
      <c r="AA416" s="55"/>
      <c r="AB416" s="48">
        <f>(B416*194.205+C416*267.466+D416*133.845+E416*153.484+F416*40+G416*85+H416*0+I416*100+J416*300)/(194.205+267.466+133.845+153.484+0+40+85+100+300)</f>
        <v>19.465786067111463</v>
      </c>
      <c r="AC416" s="45">
        <f>(M416*'RAP TEMPLATE-GAS AVAILABILITY'!O415+N416*'RAP TEMPLATE-GAS AVAILABILITY'!P415+O416*'RAP TEMPLATE-GAS AVAILABILITY'!Q415+P416*'RAP TEMPLATE-GAS AVAILABILITY'!R415)/('RAP TEMPLATE-GAS AVAILABILITY'!O415+'RAP TEMPLATE-GAS AVAILABILITY'!P415+'RAP TEMPLATE-GAS AVAILABILITY'!Q415+'RAP TEMPLATE-GAS AVAILABILITY'!R415)</f>
        <v>19.148541007194243</v>
      </c>
    </row>
    <row r="417" spans="1:29" ht="15.75" x14ac:dyDescent="0.25">
      <c r="A417" s="14">
        <v>53600</v>
      </c>
      <c r="B417" s="17">
        <f>CHOOSE(CONTROL!$C$42, 18.155, 18.155) * CHOOSE(CONTROL!$C$21, $C$9, 100%, $E$9)</f>
        <v>18.155000000000001</v>
      </c>
      <c r="C417" s="17">
        <f>CHOOSE(CONTROL!$C$42, 18.163, 18.163) * CHOOSE(CONTROL!$C$21, $C$9, 100%, $E$9)</f>
        <v>18.163</v>
      </c>
      <c r="D417" s="17">
        <f>CHOOSE(CONTROL!$C$42, 18.4341, 18.4341) * CHOOSE(CONTROL!$C$21, $C$9, 100%, $E$9)</f>
        <v>18.434100000000001</v>
      </c>
      <c r="E417" s="17">
        <f>CHOOSE(CONTROL!$C$42, 18.4656, 18.4656) * CHOOSE(CONTROL!$C$21, $C$9, 100%, $E$9)</f>
        <v>18.465599999999998</v>
      </c>
      <c r="F417" s="17">
        <f>CHOOSE(CONTROL!$C$42, 18.1742, 18.1742)*CHOOSE(CONTROL!$C$21, $C$9, 100%, $E$9)</f>
        <v>18.174199999999999</v>
      </c>
      <c r="G417" s="17">
        <f>CHOOSE(CONTROL!$C$42, 18.1911, 18.1911)*CHOOSE(CONTROL!$C$21, $C$9, 100%, $E$9)</f>
        <v>18.191099999999999</v>
      </c>
      <c r="H417" s="17">
        <f>CHOOSE(CONTROL!$C$42, 18.4542, 18.4542) * CHOOSE(CONTROL!$C$21, $C$9, 100%, $E$9)</f>
        <v>18.4542</v>
      </c>
      <c r="I417" s="17">
        <f>CHOOSE(CONTROL!$C$42, 18.2317, 18.2317)* CHOOSE(CONTROL!$C$21, $C$9, 100%, $E$9)</f>
        <v>18.2317</v>
      </c>
      <c r="J417" s="17">
        <f>CHOOSE(CONTROL!$C$42, 18.1672, 18.1672)* CHOOSE(CONTROL!$C$21, $C$9, 100%, $E$9)</f>
        <v>18.167200000000001</v>
      </c>
      <c r="K417" s="52">
        <f>CHOOSE(CONTROL!$C$42, 18.2275, 18.2275) * CHOOSE(CONTROL!$C$21, $C$9, 100%, $E$9)</f>
        <v>18.227499999999999</v>
      </c>
      <c r="L417" s="17">
        <f>CHOOSE(CONTROL!$C$42, 19.0412, 19.0412) * CHOOSE(CONTROL!$C$21, $C$9, 100%, $E$9)</f>
        <v>19.0412</v>
      </c>
      <c r="M417" s="17">
        <f>CHOOSE(CONTROL!$C$42, 17.8481, 17.8481) * CHOOSE(CONTROL!$C$21, $C$9, 100%, $E$9)</f>
        <v>17.848099999999999</v>
      </c>
      <c r="N417" s="17">
        <f>CHOOSE(CONTROL!$C$42, 17.8647, 17.8647) * CHOOSE(CONTROL!$C$21, $C$9, 100%, $E$9)</f>
        <v>17.864699999999999</v>
      </c>
      <c r="O417" s="17">
        <f>CHOOSE(CONTROL!$C$42, 18.1299, 18.1299) * CHOOSE(CONTROL!$C$21, $C$9, 100%, $E$9)</f>
        <v>18.129899999999999</v>
      </c>
      <c r="P417" s="17">
        <f>CHOOSE(CONTROL!$C$42, 17.9106, 17.9106) * CHOOSE(CONTROL!$C$21, $C$9, 100%, $E$9)</f>
        <v>17.910599999999999</v>
      </c>
      <c r="Q417" s="17">
        <f>CHOOSE(CONTROL!$C$42, 18.7246, 18.7246) * CHOOSE(CONTROL!$C$21, $C$9, 100%, $E$9)</f>
        <v>18.724599999999999</v>
      </c>
      <c r="R417" s="17">
        <f>CHOOSE(CONTROL!$C$42, 19.3585, 19.3585) * CHOOSE(CONTROL!$C$21, $C$9, 100%, $E$9)</f>
        <v>19.358499999999999</v>
      </c>
      <c r="S417" s="17">
        <f>CHOOSE(CONTROL!$C$42, 17.4345, 17.4345) * CHOOSE(CONTROL!$C$21, $C$9, 100%, $E$9)</f>
        <v>17.4345</v>
      </c>
      <c r="T41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17" s="56">
        <f>(1000*CHOOSE(CONTROL!$C$42, 695, 695)*CHOOSE(CONTROL!$C$42, 0.5599, 0.5599)*CHOOSE(CONTROL!$C$42, 30, 30))/1000000</f>
        <v>11.673914999999997</v>
      </c>
      <c r="V417" s="56">
        <f>(1000*CHOOSE(CONTROL!$C$42, 500, 500)*CHOOSE(CONTROL!$C$42, 0.275, 0.275)*CHOOSE(CONTROL!$C$42, 30, 30))/1000000</f>
        <v>4.125</v>
      </c>
      <c r="W417" s="56">
        <f>(1000*CHOOSE(CONTROL!$C$42, 0.1146, 0.1146)*CHOOSE(CONTROL!$C$42, 121.5, 121.5)*CHOOSE(CONTROL!$C$42, 30, 30))/1000000</f>
        <v>0.417717</v>
      </c>
      <c r="X417" s="56">
        <f>(30*0.1790888*145000/1000000)+(30*0.2374*100000/1000000)</f>
        <v>1.4912362799999999</v>
      </c>
      <c r="Y417" s="56"/>
      <c r="Z417" s="17"/>
      <c r="AA417" s="55"/>
      <c r="AB417" s="48">
        <f>(B417*194.205+C417*267.466+D417*133.845+E417*153.484+F417*40+G417*85+H417*0+I417*100+J417*300)/(194.205+267.466+133.845+153.484+0+40+85+100+300)</f>
        <v>18.235325351569859</v>
      </c>
      <c r="AC417" s="45">
        <f>(M417*'RAP TEMPLATE-GAS AVAILABILITY'!O416+N417*'RAP TEMPLATE-GAS AVAILABILITY'!P416+O417*'RAP TEMPLATE-GAS AVAILABILITY'!Q416+P417*'RAP TEMPLATE-GAS AVAILABILITY'!R416)/('RAP TEMPLATE-GAS AVAILABILITY'!O416+'RAP TEMPLATE-GAS AVAILABILITY'!P416+'RAP TEMPLATE-GAS AVAILABILITY'!Q416+'RAP TEMPLATE-GAS AVAILABILITY'!R416)</f>
        <v>17.939980575539568</v>
      </c>
    </row>
    <row r="418" spans="1:29" ht="15.75" x14ac:dyDescent="0.25">
      <c r="A418" s="14">
        <v>53631</v>
      </c>
      <c r="B418" s="17">
        <f>CHOOSE(CONTROL!$C$42, 17.7849, 17.7849) * CHOOSE(CONTROL!$C$21, $C$9, 100%, $E$9)</f>
        <v>17.7849</v>
      </c>
      <c r="C418" s="17">
        <f>CHOOSE(CONTROL!$C$42, 17.7902, 17.7902) * CHOOSE(CONTROL!$C$21, $C$9, 100%, $E$9)</f>
        <v>17.790199999999999</v>
      </c>
      <c r="D418" s="17">
        <f>CHOOSE(CONTROL!$C$42, 18.0662, 18.0662) * CHOOSE(CONTROL!$C$21, $C$9, 100%, $E$9)</f>
        <v>18.066199999999998</v>
      </c>
      <c r="E418" s="17">
        <f>CHOOSE(CONTROL!$C$42, 18.0953, 18.0953) * CHOOSE(CONTROL!$C$21, $C$9, 100%, $E$9)</f>
        <v>18.095300000000002</v>
      </c>
      <c r="F418" s="17">
        <f>CHOOSE(CONTROL!$C$42, 17.8063, 17.8063)*CHOOSE(CONTROL!$C$21, $C$9, 100%, $E$9)</f>
        <v>17.8063</v>
      </c>
      <c r="G418" s="17">
        <f>CHOOSE(CONTROL!$C$42, 17.8231, 17.8231)*CHOOSE(CONTROL!$C$21, $C$9, 100%, $E$9)</f>
        <v>17.8231</v>
      </c>
      <c r="H418" s="17">
        <f>CHOOSE(CONTROL!$C$42, 18.0858, 18.0858) * CHOOSE(CONTROL!$C$21, $C$9, 100%, $E$9)</f>
        <v>18.085799999999999</v>
      </c>
      <c r="I418" s="17">
        <f>CHOOSE(CONTROL!$C$42, 17.8622, 17.8622)* CHOOSE(CONTROL!$C$21, $C$9, 100%, $E$9)</f>
        <v>17.862200000000001</v>
      </c>
      <c r="J418" s="17">
        <f>CHOOSE(CONTROL!$C$42, 17.7993, 17.7993)* CHOOSE(CONTROL!$C$21, $C$9, 100%, $E$9)</f>
        <v>17.799299999999999</v>
      </c>
      <c r="K418" s="52">
        <f>CHOOSE(CONTROL!$C$42, 17.858, 17.858) * CHOOSE(CONTROL!$C$21, $C$9, 100%, $E$9)</f>
        <v>17.858000000000001</v>
      </c>
      <c r="L418" s="17">
        <f>CHOOSE(CONTROL!$C$42, 18.6728, 18.6728) * CHOOSE(CONTROL!$C$21, $C$9, 100%, $E$9)</f>
        <v>18.672799999999999</v>
      </c>
      <c r="M418" s="17">
        <f>CHOOSE(CONTROL!$C$42, 17.4868, 17.4868) * CHOOSE(CONTROL!$C$21, $C$9, 100%, $E$9)</f>
        <v>17.486799999999999</v>
      </c>
      <c r="N418" s="17">
        <f>CHOOSE(CONTROL!$C$42, 17.5033, 17.5033) * CHOOSE(CONTROL!$C$21, $C$9, 100%, $E$9)</f>
        <v>17.503299999999999</v>
      </c>
      <c r="O418" s="17">
        <f>CHOOSE(CONTROL!$C$42, 17.7682, 17.7682) * CHOOSE(CONTROL!$C$21, $C$9, 100%, $E$9)</f>
        <v>17.7682</v>
      </c>
      <c r="P418" s="17">
        <f>CHOOSE(CONTROL!$C$42, 17.5477, 17.5477) * CHOOSE(CONTROL!$C$21, $C$9, 100%, $E$9)</f>
        <v>17.547699999999999</v>
      </c>
      <c r="Q418" s="17">
        <f>CHOOSE(CONTROL!$C$42, 18.3629, 18.3629) * CHOOSE(CONTROL!$C$21, $C$9, 100%, $E$9)</f>
        <v>18.3629</v>
      </c>
      <c r="R418" s="17">
        <f>CHOOSE(CONTROL!$C$42, 18.9958, 18.9958) * CHOOSE(CONTROL!$C$21, $C$9, 100%, $E$9)</f>
        <v>18.995799999999999</v>
      </c>
      <c r="S418" s="17">
        <f>CHOOSE(CONTROL!$C$42, 17.0805, 17.0805) * CHOOSE(CONTROL!$C$21, $C$9, 100%, $E$9)</f>
        <v>17.080500000000001</v>
      </c>
      <c r="T41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18" s="56">
        <f>(1000*CHOOSE(CONTROL!$C$42, 695, 695)*CHOOSE(CONTROL!$C$42, 0.5599, 0.5599)*CHOOSE(CONTROL!$C$42, 31, 31))/1000000</f>
        <v>12.063045499999998</v>
      </c>
      <c r="V418" s="56">
        <f>(1000*CHOOSE(CONTROL!$C$42, 500, 500)*CHOOSE(CONTROL!$C$42, 0.275, 0.275)*CHOOSE(CONTROL!$C$42, 31, 31))/1000000</f>
        <v>4.2625000000000002</v>
      </c>
      <c r="W418" s="56">
        <f>(1000*CHOOSE(CONTROL!$C$42, 0.1146, 0.1146)*CHOOSE(CONTROL!$C$42, 121.5, 121.5)*CHOOSE(CONTROL!$C$42, 31, 31))/1000000</f>
        <v>0.43164089999999994</v>
      </c>
      <c r="X418" s="56">
        <f>(31*0.1790888*145000/1000000)+(31*0.2374*100000/1000000)</f>
        <v>1.5409441560000001</v>
      </c>
      <c r="Y418" s="56"/>
      <c r="Z418" s="17"/>
      <c r="AA418" s="55"/>
      <c r="AB418" s="48">
        <f>(B418*131.881+C418*277.167+D418*79.08+E418*225.872+F418*40+G418*85+H418*0+I418*100+J418*300)/(131.881+277.167+79.08+225.872+0+40+85+100+300)</f>
        <v>17.873663404277643</v>
      </c>
      <c r="AC418" s="45">
        <f>(M418*'RAP TEMPLATE-GAS AVAILABILITY'!O417+N418*'RAP TEMPLATE-GAS AVAILABILITY'!P417+O418*'RAP TEMPLATE-GAS AVAILABILITY'!Q417+P418*'RAP TEMPLATE-GAS AVAILABILITY'!R417)/('RAP TEMPLATE-GAS AVAILABILITY'!O417+'RAP TEMPLATE-GAS AVAILABILITY'!P417+'RAP TEMPLATE-GAS AVAILABILITY'!Q417+'RAP TEMPLATE-GAS AVAILABILITY'!R417)</f>
        <v>17.578315107913671</v>
      </c>
    </row>
    <row r="419" spans="1:29" ht="15.75" x14ac:dyDescent="0.25">
      <c r="A419" s="14">
        <v>53661</v>
      </c>
      <c r="B419" s="17">
        <f>CHOOSE(CONTROL!$C$42, 18.2527, 18.2527) * CHOOSE(CONTROL!$C$21, $C$9, 100%, $E$9)</f>
        <v>18.252700000000001</v>
      </c>
      <c r="C419" s="17">
        <f>CHOOSE(CONTROL!$C$42, 18.2578, 18.2578) * CHOOSE(CONTROL!$C$21, $C$9, 100%, $E$9)</f>
        <v>18.2578</v>
      </c>
      <c r="D419" s="17">
        <f>CHOOSE(CONTROL!$C$42, 18.3528, 18.3528) * CHOOSE(CONTROL!$C$21, $C$9, 100%, $E$9)</f>
        <v>18.352799999999998</v>
      </c>
      <c r="E419" s="17">
        <f>CHOOSE(CONTROL!$C$42, 18.3869, 18.3869) * CHOOSE(CONTROL!$C$21, $C$9, 100%, $E$9)</f>
        <v>18.386900000000001</v>
      </c>
      <c r="F419" s="17">
        <f>CHOOSE(CONTROL!$C$42, 18.2766, 18.2766)*CHOOSE(CONTROL!$C$21, $C$9, 100%, $E$9)</f>
        <v>18.276599999999998</v>
      </c>
      <c r="G419" s="17">
        <f>CHOOSE(CONTROL!$C$42, 18.2937, 18.2937)*CHOOSE(CONTROL!$C$21, $C$9, 100%, $E$9)</f>
        <v>18.293700000000001</v>
      </c>
      <c r="H419" s="17">
        <f>CHOOSE(CONTROL!$C$42, 18.3761, 18.3761) * CHOOSE(CONTROL!$C$21, $C$9, 100%, $E$9)</f>
        <v>18.376100000000001</v>
      </c>
      <c r="I419" s="17">
        <f>CHOOSE(CONTROL!$C$42, 18.3298, 18.3298)* CHOOSE(CONTROL!$C$21, $C$9, 100%, $E$9)</f>
        <v>18.329799999999999</v>
      </c>
      <c r="J419" s="17">
        <f>CHOOSE(CONTROL!$C$42, 18.2696, 18.2696)* CHOOSE(CONTROL!$C$21, $C$9, 100%, $E$9)</f>
        <v>18.269600000000001</v>
      </c>
      <c r="K419" s="52">
        <f>CHOOSE(CONTROL!$C$42, 18.3256, 18.3256) * CHOOSE(CONTROL!$C$21, $C$9, 100%, $E$9)</f>
        <v>18.325600000000001</v>
      </c>
      <c r="L419" s="17">
        <f>CHOOSE(CONTROL!$C$42, 18.9631, 18.9631) * CHOOSE(CONTROL!$C$21, $C$9, 100%, $E$9)</f>
        <v>18.963100000000001</v>
      </c>
      <c r="M419" s="17">
        <f>CHOOSE(CONTROL!$C$42, 17.9487, 17.9487) * CHOOSE(CONTROL!$C$21, $C$9, 100%, $E$9)</f>
        <v>17.948699999999999</v>
      </c>
      <c r="N419" s="17">
        <f>CHOOSE(CONTROL!$C$42, 17.9655, 17.9655) * CHOOSE(CONTROL!$C$21, $C$9, 100%, $E$9)</f>
        <v>17.965499999999999</v>
      </c>
      <c r="O419" s="17">
        <f>CHOOSE(CONTROL!$C$42, 18.0533, 18.0533) * CHOOSE(CONTROL!$C$21, $C$9, 100%, $E$9)</f>
        <v>18.0533</v>
      </c>
      <c r="P419" s="17">
        <f>CHOOSE(CONTROL!$C$42, 18.0069, 18.0069) * CHOOSE(CONTROL!$C$21, $C$9, 100%, $E$9)</f>
        <v>18.006900000000002</v>
      </c>
      <c r="Q419" s="17">
        <f>CHOOSE(CONTROL!$C$42, 18.648, 18.648) * CHOOSE(CONTROL!$C$21, $C$9, 100%, $E$9)</f>
        <v>18.648</v>
      </c>
      <c r="R419" s="17">
        <f>CHOOSE(CONTROL!$C$42, 19.2816, 19.2816) * CHOOSE(CONTROL!$C$21, $C$9, 100%, $E$9)</f>
        <v>19.281600000000001</v>
      </c>
      <c r="S419" s="17">
        <f>CHOOSE(CONTROL!$C$42, 17.5305, 17.5305) * CHOOSE(CONTROL!$C$21, $C$9, 100%, $E$9)</f>
        <v>17.5305</v>
      </c>
      <c r="T41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19" s="56">
        <f>(1000*CHOOSE(CONTROL!$C$42, 695, 695)*CHOOSE(CONTROL!$C$42, 0.5599, 0.5599)*CHOOSE(CONTROL!$C$42, 30, 30))/1000000</f>
        <v>11.673914999999997</v>
      </c>
      <c r="V419" s="56">
        <f>(1000*CHOOSE(CONTROL!$C$42, 500, 500)*CHOOSE(CONTROL!$C$42, 0.275, 0.275)*CHOOSE(CONTROL!$C$42, 30, 30))/1000000</f>
        <v>4.125</v>
      </c>
      <c r="W419" s="56">
        <f>(1000*CHOOSE(CONTROL!$C$42, 0.1146, 0.1146)*CHOOSE(CONTROL!$C$42, 121.5, 121.5)*CHOOSE(CONTROL!$C$42, 30, 30))/1000000</f>
        <v>0.417717</v>
      </c>
      <c r="X419" s="56">
        <f>(30*0.2374*100000/1000000)</f>
        <v>0.71220000000000006</v>
      </c>
      <c r="Y419" s="56"/>
      <c r="Z419" s="17"/>
      <c r="AA419" s="55"/>
      <c r="AB419" s="48">
        <f>(B419*122.58+C419*297.941+D419*89.177+E419*140.302+F419*40+G419*60+H419*0+I419*100+J419*300)/(122.58+297.941+89.177+140.302+0+40+60+100+300)</f>
        <v>18.292239691478258</v>
      </c>
      <c r="AC419" s="45">
        <f>(M419*'RAP TEMPLATE-GAS AVAILABILITY'!O418+N419*'RAP TEMPLATE-GAS AVAILABILITY'!P418+O419*'RAP TEMPLATE-GAS AVAILABILITY'!Q418+P419*'RAP TEMPLATE-GAS AVAILABILITY'!R418)/('RAP TEMPLATE-GAS AVAILABILITY'!O418+'RAP TEMPLATE-GAS AVAILABILITY'!P418+'RAP TEMPLATE-GAS AVAILABILITY'!Q418+'RAP TEMPLATE-GAS AVAILABILITY'!R418)</f>
        <v>18.005449640287772</v>
      </c>
    </row>
    <row r="420" spans="1:29" ht="15.75" x14ac:dyDescent="0.25">
      <c r="A420" s="14">
        <v>53692</v>
      </c>
      <c r="B420" s="17">
        <f>CHOOSE(CONTROL!$C$42, 19.4965, 19.4965) * CHOOSE(CONTROL!$C$21, $C$9, 100%, $E$9)</f>
        <v>19.496500000000001</v>
      </c>
      <c r="C420" s="17">
        <f>CHOOSE(CONTROL!$C$42, 19.5016, 19.5016) * CHOOSE(CONTROL!$C$21, $C$9, 100%, $E$9)</f>
        <v>19.5016</v>
      </c>
      <c r="D420" s="17">
        <f>CHOOSE(CONTROL!$C$42, 19.5966, 19.5966) * CHOOSE(CONTROL!$C$21, $C$9, 100%, $E$9)</f>
        <v>19.596599999999999</v>
      </c>
      <c r="E420" s="17">
        <f>CHOOSE(CONTROL!$C$42, 19.6307, 19.6307) * CHOOSE(CONTROL!$C$21, $C$9, 100%, $E$9)</f>
        <v>19.630700000000001</v>
      </c>
      <c r="F420" s="17">
        <f>CHOOSE(CONTROL!$C$42, 19.5228, 19.5228)*CHOOSE(CONTROL!$C$21, $C$9, 100%, $E$9)</f>
        <v>19.5228</v>
      </c>
      <c r="G420" s="17">
        <f>CHOOSE(CONTROL!$C$42, 19.5405, 19.5405)*CHOOSE(CONTROL!$C$21, $C$9, 100%, $E$9)</f>
        <v>19.540500000000002</v>
      </c>
      <c r="H420" s="17">
        <f>CHOOSE(CONTROL!$C$42, 19.6199, 19.6199) * CHOOSE(CONTROL!$C$21, $C$9, 100%, $E$9)</f>
        <v>19.619900000000001</v>
      </c>
      <c r="I420" s="17">
        <f>CHOOSE(CONTROL!$C$42, 19.5775, 19.5775)* CHOOSE(CONTROL!$C$21, $C$9, 100%, $E$9)</f>
        <v>19.577500000000001</v>
      </c>
      <c r="J420" s="17">
        <f>CHOOSE(CONTROL!$C$42, 19.5158, 19.5158)* CHOOSE(CONTROL!$C$21, $C$9, 100%, $E$9)</f>
        <v>19.515799999999999</v>
      </c>
      <c r="K420" s="52">
        <f>CHOOSE(CONTROL!$C$42, 19.5733, 19.5733) * CHOOSE(CONTROL!$C$21, $C$9, 100%, $E$9)</f>
        <v>19.5733</v>
      </c>
      <c r="L420" s="17">
        <f>CHOOSE(CONTROL!$C$42, 20.2069, 20.2069) * CHOOSE(CONTROL!$C$21, $C$9, 100%, $E$9)</f>
        <v>20.206900000000001</v>
      </c>
      <c r="M420" s="17">
        <f>CHOOSE(CONTROL!$C$42, 19.1724, 19.1724) * CHOOSE(CONTROL!$C$21, $C$9, 100%, $E$9)</f>
        <v>19.1724</v>
      </c>
      <c r="N420" s="17">
        <f>CHOOSE(CONTROL!$C$42, 19.1898, 19.1898) * CHOOSE(CONTROL!$C$21, $C$9, 100%, $E$9)</f>
        <v>19.189800000000002</v>
      </c>
      <c r="O420" s="17">
        <f>CHOOSE(CONTROL!$C$42, 19.2747, 19.2747) * CHOOSE(CONTROL!$C$21, $C$9, 100%, $E$9)</f>
        <v>19.274699999999999</v>
      </c>
      <c r="P420" s="17">
        <f>CHOOSE(CONTROL!$C$42, 19.2321, 19.2321) * CHOOSE(CONTROL!$C$21, $C$9, 100%, $E$9)</f>
        <v>19.232099999999999</v>
      </c>
      <c r="Q420" s="17">
        <f>CHOOSE(CONTROL!$C$42, 19.8694, 19.8694) * CHOOSE(CONTROL!$C$21, $C$9, 100%, $E$9)</f>
        <v>19.869399999999999</v>
      </c>
      <c r="R420" s="17">
        <f>CHOOSE(CONTROL!$C$42, 20.5061, 20.5061) * CHOOSE(CONTROL!$C$21, $C$9, 100%, $E$9)</f>
        <v>20.5061</v>
      </c>
      <c r="S420" s="17">
        <f>CHOOSE(CONTROL!$C$42, 18.7257, 18.7257) * CHOOSE(CONTROL!$C$21, $C$9, 100%, $E$9)</f>
        <v>18.7257</v>
      </c>
      <c r="T42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20" s="56">
        <f>(1000*CHOOSE(CONTROL!$C$42, 695, 695)*CHOOSE(CONTROL!$C$42, 0.5599, 0.5599)*CHOOSE(CONTROL!$C$42, 31, 31))/1000000</f>
        <v>12.063045499999998</v>
      </c>
      <c r="V420" s="56">
        <f>(1000*CHOOSE(CONTROL!$C$42, 500, 500)*CHOOSE(CONTROL!$C$42, 0.275, 0.275)*CHOOSE(CONTROL!$C$42, 31, 31))/1000000</f>
        <v>4.2625000000000002</v>
      </c>
      <c r="W420" s="56">
        <f>(1000*CHOOSE(CONTROL!$C$42, 0.1146, 0.1146)*CHOOSE(CONTROL!$C$42, 121.5, 121.5)*CHOOSE(CONTROL!$C$42, 31, 31))/1000000</f>
        <v>0.43164089999999994</v>
      </c>
      <c r="X420" s="56">
        <f>(31*0.2374*100000/1000000)</f>
        <v>0.73594000000000004</v>
      </c>
      <c r="Y420" s="56"/>
      <c r="Z420" s="17"/>
      <c r="AA420" s="55"/>
      <c r="AB420" s="48">
        <f>(B420*122.58+C420*297.941+D420*89.177+E420*140.302+F420*40+G420*60+H420*0+I420*100+J420*300)/(122.58+297.941+89.177+140.302+0+40+60+100+300)</f>
        <v>19.537244908869564</v>
      </c>
      <c r="AC420" s="45">
        <f>(M420*'RAP TEMPLATE-GAS AVAILABILITY'!O419+N420*'RAP TEMPLATE-GAS AVAILABILITY'!P419+O420*'RAP TEMPLATE-GAS AVAILABILITY'!Q419+P420*'RAP TEMPLATE-GAS AVAILABILITY'!R419)/('RAP TEMPLATE-GAS AVAILABILITY'!O419+'RAP TEMPLATE-GAS AVAILABILITY'!P419+'RAP TEMPLATE-GAS AVAILABILITY'!Q419+'RAP TEMPLATE-GAS AVAILABILITY'!R419)</f>
        <v>19.228357553956837</v>
      </c>
    </row>
    <row r="421" spans="1:29" ht="15.75" x14ac:dyDescent="0.25">
      <c r="A421" s="14">
        <v>53723</v>
      </c>
      <c r="B421" s="17">
        <f>CHOOSE(CONTROL!$C$42, 21.112, 21.112) * CHOOSE(CONTROL!$C$21, $C$9, 100%, $E$9)</f>
        <v>21.111999999999998</v>
      </c>
      <c r="C421" s="17">
        <f>CHOOSE(CONTROL!$C$42, 21.1171, 21.1171) * CHOOSE(CONTROL!$C$21, $C$9, 100%, $E$9)</f>
        <v>21.117100000000001</v>
      </c>
      <c r="D421" s="17">
        <f>CHOOSE(CONTROL!$C$42, 21.2355, 21.2355) * CHOOSE(CONTROL!$C$21, $C$9, 100%, $E$9)</f>
        <v>21.235499999999998</v>
      </c>
      <c r="E421" s="17">
        <f>CHOOSE(CONTROL!$C$42, 21.2696, 21.2696) * CHOOSE(CONTROL!$C$21, $C$9, 100%, $E$9)</f>
        <v>21.269600000000001</v>
      </c>
      <c r="F421" s="17">
        <f>CHOOSE(CONTROL!$C$42, 21.1324, 21.1324)*CHOOSE(CONTROL!$C$21, $C$9, 100%, $E$9)</f>
        <v>21.132400000000001</v>
      </c>
      <c r="G421" s="17">
        <f>CHOOSE(CONTROL!$C$42, 21.1492, 21.1492)*CHOOSE(CONTROL!$C$21, $C$9, 100%, $E$9)</f>
        <v>21.1492</v>
      </c>
      <c r="H421" s="17">
        <f>CHOOSE(CONTROL!$C$42, 21.2588, 21.2588) * CHOOSE(CONTROL!$C$21, $C$9, 100%, $E$9)</f>
        <v>21.258800000000001</v>
      </c>
      <c r="I421" s="17">
        <f>CHOOSE(CONTROL!$C$42, 21.2017, 21.2017)* CHOOSE(CONTROL!$C$21, $C$9, 100%, $E$9)</f>
        <v>21.201699999999999</v>
      </c>
      <c r="J421" s="17">
        <f>CHOOSE(CONTROL!$C$42, 21.1254, 21.1254)* CHOOSE(CONTROL!$C$21, $C$9, 100%, $E$9)</f>
        <v>21.125399999999999</v>
      </c>
      <c r="K421" s="52">
        <f>CHOOSE(CONTROL!$C$42, 21.1975, 21.1975) * CHOOSE(CONTROL!$C$21, $C$9, 100%, $E$9)</f>
        <v>21.197500000000002</v>
      </c>
      <c r="L421" s="17">
        <f>CHOOSE(CONTROL!$C$42, 21.8458, 21.8458) * CHOOSE(CONTROL!$C$21, $C$9, 100%, $E$9)</f>
        <v>21.845800000000001</v>
      </c>
      <c r="M421" s="17">
        <f>CHOOSE(CONTROL!$C$42, 20.7531, 20.7531) * CHOOSE(CONTROL!$C$21, $C$9, 100%, $E$9)</f>
        <v>20.7531</v>
      </c>
      <c r="N421" s="17">
        <f>CHOOSE(CONTROL!$C$42, 20.7697, 20.7697) * CHOOSE(CONTROL!$C$21, $C$9, 100%, $E$9)</f>
        <v>20.7697</v>
      </c>
      <c r="O421" s="17">
        <f>CHOOSE(CONTROL!$C$42, 20.8841, 20.8841) * CHOOSE(CONTROL!$C$21, $C$9, 100%, $E$9)</f>
        <v>20.8841</v>
      </c>
      <c r="P421" s="17">
        <f>CHOOSE(CONTROL!$C$42, 20.827, 20.827) * CHOOSE(CONTROL!$C$21, $C$9, 100%, $E$9)</f>
        <v>20.827000000000002</v>
      </c>
      <c r="Q421" s="17">
        <f>CHOOSE(CONTROL!$C$42, 21.4788, 21.4788) * CHOOSE(CONTROL!$C$21, $C$9, 100%, $E$9)</f>
        <v>21.4788</v>
      </c>
      <c r="R421" s="17">
        <f>CHOOSE(CONTROL!$C$42, 22.1195, 22.1195) * CHOOSE(CONTROL!$C$21, $C$9, 100%, $E$9)</f>
        <v>22.119499999999999</v>
      </c>
      <c r="S421" s="17">
        <f>CHOOSE(CONTROL!$C$42, 20.278, 20.278) * CHOOSE(CONTROL!$C$21, $C$9, 100%, $E$9)</f>
        <v>20.277999999999999</v>
      </c>
      <c r="T42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21" s="56">
        <f>(1000*CHOOSE(CONTROL!$C$42, 695, 695)*CHOOSE(CONTROL!$C$42, 0.5599, 0.5599)*CHOOSE(CONTROL!$C$42, 31, 31))/1000000</f>
        <v>12.063045499999998</v>
      </c>
      <c r="V421" s="56">
        <f>(1000*CHOOSE(CONTROL!$C$42, 500, 500)*CHOOSE(CONTROL!$C$42, 0.275, 0.275)*CHOOSE(CONTROL!$C$42, 31, 31))/1000000</f>
        <v>4.2625000000000002</v>
      </c>
      <c r="W421" s="56">
        <f>(1000*CHOOSE(CONTROL!$C$42, 0.1146, 0.1146)*CHOOSE(CONTROL!$C$42, 121.5, 121.5)*CHOOSE(CONTROL!$C$42, 31, 31))/1000000</f>
        <v>0.43164089999999994</v>
      </c>
      <c r="X421" s="56">
        <f>(31*0.2374*100000/1000000)</f>
        <v>0.73594000000000004</v>
      </c>
      <c r="Y421" s="56"/>
      <c r="Z421" s="17"/>
      <c r="AA421" s="55"/>
      <c r="AB421" s="48">
        <f>(B421*122.58+C421*297.941+D421*89.177+E421*140.302+F421*40+G421*60+H421*0+I421*100+J421*300)/(122.58+297.941+89.177+140.302+0+40+60+100+300)</f>
        <v>21.15607169895652</v>
      </c>
      <c r="AC421" s="45">
        <f>(M421*'RAP TEMPLATE-GAS AVAILABILITY'!O420+N421*'RAP TEMPLATE-GAS AVAILABILITY'!P420+O421*'RAP TEMPLATE-GAS AVAILABILITY'!Q420+P421*'RAP TEMPLATE-GAS AVAILABILITY'!R420)/('RAP TEMPLATE-GAS AVAILABILITY'!O420+'RAP TEMPLATE-GAS AVAILABILITY'!P420+'RAP TEMPLATE-GAS AVAILABILITY'!Q420+'RAP TEMPLATE-GAS AVAILABILITY'!R420)</f>
        <v>20.824062589928058</v>
      </c>
    </row>
    <row r="422" spans="1:29" ht="15.75" x14ac:dyDescent="0.25">
      <c r="A422" s="14">
        <v>53751</v>
      </c>
      <c r="B422" s="17">
        <f>CHOOSE(CONTROL!$C$42, 21.4877, 21.4877) * CHOOSE(CONTROL!$C$21, $C$9, 100%, $E$9)</f>
        <v>21.4877</v>
      </c>
      <c r="C422" s="17">
        <f>CHOOSE(CONTROL!$C$42, 21.4927, 21.4927) * CHOOSE(CONTROL!$C$21, $C$9, 100%, $E$9)</f>
        <v>21.492699999999999</v>
      </c>
      <c r="D422" s="17">
        <f>CHOOSE(CONTROL!$C$42, 21.6112, 21.6112) * CHOOSE(CONTROL!$C$21, $C$9, 100%, $E$9)</f>
        <v>21.6112</v>
      </c>
      <c r="E422" s="17">
        <f>CHOOSE(CONTROL!$C$42, 21.6453, 21.6453) * CHOOSE(CONTROL!$C$21, $C$9, 100%, $E$9)</f>
        <v>21.645299999999999</v>
      </c>
      <c r="F422" s="17">
        <f>CHOOSE(CONTROL!$C$42, 21.508, 21.508)*CHOOSE(CONTROL!$C$21, $C$9, 100%, $E$9)</f>
        <v>21.507999999999999</v>
      </c>
      <c r="G422" s="17">
        <f>CHOOSE(CONTROL!$C$42, 21.5249, 21.5249)*CHOOSE(CONTROL!$C$21, $C$9, 100%, $E$9)</f>
        <v>21.524899999999999</v>
      </c>
      <c r="H422" s="17">
        <f>CHOOSE(CONTROL!$C$42, 21.6345, 21.6345) * CHOOSE(CONTROL!$C$21, $C$9, 100%, $E$9)</f>
        <v>21.634499999999999</v>
      </c>
      <c r="I422" s="17">
        <f>CHOOSE(CONTROL!$C$42, 21.5786, 21.5786)* CHOOSE(CONTROL!$C$21, $C$9, 100%, $E$9)</f>
        <v>21.578600000000002</v>
      </c>
      <c r="J422" s="17">
        <f>CHOOSE(CONTROL!$C$42, 21.501, 21.501)* CHOOSE(CONTROL!$C$21, $C$9, 100%, $E$9)</f>
        <v>21.501000000000001</v>
      </c>
      <c r="K422" s="52">
        <f>CHOOSE(CONTROL!$C$42, 21.5744, 21.5744) * CHOOSE(CONTROL!$C$21, $C$9, 100%, $E$9)</f>
        <v>21.574400000000001</v>
      </c>
      <c r="L422" s="17">
        <f>CHOOSE(CONTROL!$C$42, 22.2215, 22.2215) * CHOOSE(CONTROL!$C$21, $C$9, 100%, $E$9)</f>
        <v>22.221499999999999</v>
      </c>
      <c r="M422" s="17">
        <f>CHOOSE(CONTROL!$C$42, 21.122, 21.122) * CHOOSE(CONTROL!$C$21, $C$9, 100%, $E$9)</f>
        <v>21.122</v>
      </c>
      <c r="N422" s="17">
        <f>CHOOSE(CONTROL!$C$42, 21.1385, 21.1385) * CHOOSE(CONTROL!$C$21, $C$9, 100%, $E$9)</f>
        <v>21.138500000000001</v>
      </c>
      <c r="O422" s="17">
        <f>CHOOSE(CONTROL!$C$42, 21.253, 21.253) * CHOOSE(CONTROL!$C$21, $C$9, 100%, $E$9)</f>
        <v>21.253</v>
      </c>
      <c r="P422" s="17">
        <f>CHOOSE(CONTROL!$C$42, 21.197, 21.197) * CHOOSE(CONTROL!$C$21, $C$9, 100%, $E$9)</f>
        <v>21.196999999999999</v>
      </c>
      <c r="Q422" s="17">
        <f>CHOOSE(CONTROL!$C$42, 21.8477, 21.8477) * CHOOSE(CONTROL!$C$21, $C$9, 100%, $E$9)</f>
        <v>21.8477</v>
      </c>
      <c r="R422" s="17">
        <f>CHOOSE(CONTROL!$C$42, 22.4894, 22.4894) * CHOOSE(CONTROL!$C$21, $C$9, 100%, $E$9)</f>
        <v>22.4894</v>
      </c>
      <c r="S422" s="17">
        <f>CHOOSE(CONTROL!$C$42, 20.639, 20.639) * CHOOSE(CONTROL!$C$21, $C$9, 100%, $E$9)</f>
        <v>20.638999999999999</v>
      </c>
      <c r="T42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22" s="56">
        <f>(1000*CHOOSE(CONTROL!$C$42, 695, 695)*CHOOSE(CONTROL!$C$42, 0.5599, 0.5599)*CHOOSE(CONTROL!$C$42, 28, 28))/1000000</f>
        <v>10.895653999999999</v>
      </c>
      <c r="V422" s="56">
        <f>(1000*CHOOSE(CONTROL!$C$42, 500, 500)*CHOOSE(CONTROL!$C$42, 0.275, 0.275)*CHOOSE(CONTROL!$C$42, 28, 28))/1000000</f>
        <v>3.85</v>
      </c>
      <c r="W422" s="56">
        <f>(1000*CHOOSE(CONTROL!$C$42, 0.1146, 0.1146)*CHOOSE(CONTROL!$C$42, 121.5, 121.5)*CHOOSE(CONTROL!$C$42, 28, 28))/1000000</f>
        <v>0.38986920000000003</v>
      </c>
      <c r="X422" s="56">
        <f>(28*0.2374*100000/1000000)</f>
        <v>0.66471999999999998</v>
      </c>
      <c r="Y422" s="56"/>
      <c r="Z422" s="17"/>
      <c r="AA422" s="55"/>
      <c r="AB422" s="48">
        <f>(B422*122.58+C422*297.941+D422*89.177+E422*140.302+F422*40+G422*60+H422*0+I422*100+J422*300)/(122.58+297.941+89.177+140.302+0+40+60+100+300)</f>
        <v>21.531820573652169</v>
      </c>
      <c r="AC422" s="45">
        <f>(M422*'RAP TEMPLATE-GAS AVAILABILITY'!O421+N422*'RAP TEMPLATE-GAS AVAILABILITY'!P421+O422*'RAP TEMPLATE-GAS AVAILABILITY'!Q421+P422*'RAP TEMPLATE-GAS AVAILABILITY'!R421)/('RAP TEMPLATE-GAS AVAILABILITY'!O421+'RAP TEMPLATE-GAS AVAILABILITY'!P421+'RAP TEMPLATE-GAS AVAILABILITY'!Q421+'RAP TEMPLATE-GAS AVAILABILITY'!R421)</f>
        <v>21.19311510791367</v>
      </c>
    </row>
    <row r="423" spans="1:29" ht="15.75" x14ac:dyDescent="0.25">
      <c r="A423" s="14">
        <v>53782</v>
      </c>
      <c r="B423" s="17">
        <f>CHOOSE(CONTROL!$C$42, 20.8779, 20.8779) * CHOOSE(CONTROL!$C$21, $C$9, 100%, $E$9)</f>
        <v>20.8779</v>
      </c>
      <c r="C423" s="17">
        <f>CHOOSE(CONTROL!$C$42, 20.8829, 20.8829) * CHOOSE(CONTROL!$C$21, $C$9, 100%, $E$9)</f>
        <v>20.882899999999999</v>
      </c>
      <c r="D423" s="17">
        <f>CHOOSE(CONTROL!$C$42, 21.0014, 21.0014) * CHOOSE(CONTROL!$C$21, $C$9, 100%, $E$9)</f>
        <v>21.0014</v>
      </c>
      <c r="E423" s="17">
        <f>CHOOSE(CONTROL!$C$42, 21.0355, 21.0355) * CHOOSE(CONTROL!$C$21, $C$9, 100%, $E$9)</f>
        <v>21.035499999999999</v>
      </c>
      <c r="F423" s="17">
        <f>CHOOSE(CONTROL!$C$42, 20.8976, 20.8976)*CHOOSE(CONTROL!$C$21, $C$9, 100%, $E$9)</f>
        <v>20.897600000000001</v>
      </c>
      <c r="G423" s="17">
        <f>CHOOSE(CONTROL!$C$42, 20.9142, 20.9142)*CHOOSE(CONTROL!$C$21, $C$9, 100%, $E$9)</f>
        <v>20.914200000000001</v>
      </c>
      <c r="H423" s="17">
        <f>CHOOSE(CONTROL!$C$42, 21.0247, 21.0247) * CHOOSE(CONTROL!$C$21, $C$9, 100%, $E$9)</f>
        <v>21.024699999999999</v>
      </c>
      <c r="I423" s="17">
        <f>CHOOSE(CONTROL!$C$42, 20.9669, 20.9669)* CHOOSE(CONTROL!$C$21, $C$9, 100%, $E$9)</f>
        <v>20.966899999999999</v>
      </c>
      <c r="J423" s="17">
        <f>CHOOSE(CONTROL!$C$42, 20.8906, 20.8906)* CHOOSE(CONTROL!$C$21, $C$9, 100%, $E$9)</f>
        <v>20.890599999999999</v>
      </c>
      <c r="K423" s="52">
        <f>CHOOSE(CONTROL!$C$42, 20.9627, 20.9627) * CHOOSE(CONTROL!$C$21, $C$9, 100%, $E$9)</f>
        <v>20.962700000000002</v>
      </c>
      <c r="L423" s="17">
        <f>CHOOSE(CONTROL!$C$42, 21.6117, 21.6117) * CHOOSE(CONTROL!$C$21, $C$9, 100%, $E$9)</f>
        <v>21.611699999999999</v>
      </c>
      <c r="M423" s="17">
        <f>CHOOSE(CONTROL!$C$42, 20.5225, 20.5225) * CHOOSE(CONTROL!$C$21, $C$9, 100%, $E$9)</f>
        <v>20.522500000000001</v>
      </c>
      <c r="N423" s="17">
        <f>CHOOSE(CONTROL!$C$42, 20.5389, 20.5389) * CHOOSE(CONTROL!$C$21, $C$9, 100%, $E$9)</f>
        <v>20.538900000000002</v>
      </c>
      <c r="O423" s="17">
        <f>CHOOSE(CONTROL!$C$42, 20.6542, 20.6542) * CHOOSE(CONTROL!$C$21, $C$9, 100%, $E$9)</f>
        <v>20.654199999999999</v>
      </c>
      <c r="P423" s="17">
        <f>CHOOSE(CONTROL!$C$42, 20.5964, 20.5964) * CHOOSE(CONTROL!$C$21, $C$9, 100%, $E$9)</f>
        <v>20.596399999999999</v>
      </c>
      <c r="Q423" s="17">
        <f>CHOOSE(CONTROL!$C$42, 21.2489, 21.2489) * CHOOSE(CONTROL!$C$21, $C$9, 100%, $E$9)</f>
        <v>21.248899999999999</v>
      </c>
      <c r="R423" s="17">
        <f>CHOOSE(CONTROL!$C$42, 21.8891, 21.8891) * CHOOSE(CONTROL!$C$21, $C$9, 100%, $E$9)</f>
        <v>21.889099999999999</v>
      </c>
      <c r="S423" s="17">
        <f>CHOOSE(CONTROL!$C$42, 20.053, 20.053) * CHOOSE(CONTROL!$C$21, $C$9, 100%, $E$9)</f>
        <v>20.053000000000001</v>
      </c>
      <c r="T42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23" s="56">
        <f>(1000*CHOOSE(CONTROL!$C$42, 695, 695)*CHOOSE(CONTROL!$C$42, 0.5599, 0.5599)*CHOOSE(CONTROL!$C$42, 31, 31))/1000000</f>
        <v>12.063045499999998</v>
      </c>
      <c r="V423" s="56">
        <f>(1000*CHOOSE(CONTROL!$C$42, 500, 500)*CHOOSE(CONTROL!$C$42, 0.275, 0.275)*CHOOSE(CONTROL!$C$42, 31, 31))/1000000</f>
        <v>4.2625000000000002</v>
      </c>
      <c r="W423" s="56">
        <f>(1000*CHOOSE(CONTROL!$C$42, 0.1146, 0.1146)*CHOOSE(CONTROL!$C$42, 121.5, 121.5)*CHOOSE(CONTROL!$C$42, 31, 31))/1000000</f>
        <v>0.43164089999999994</v>
      </c>
      <c r="X423" s="56">
        <f>(31*0.2374*100000/1000000)</f>
        <v>0.73594000000000004</v>
      </c>
      <c r="Y423" s="56"/>
      <c r="Z423" s="17"/>
      <c r="AA423" s="55"/>
      <c r="AB423" s="48">
        <f>(B423*122.58+C423*297.941+D423*89.177+E423*140.302+F423*40+G423*60+H423*0+I423*100+J423*300)/(122.58+297.941+89.177+140.302+0+40+60+100+300)</f>
        <v>20.921631008434783</v>
      </c>
      <c r="AC423" s="45">
        <f>(M423*'RAP TEMPLATE-GAS AVAILABILITY'!O422+N423*'RAP TEMPLATE-GAS AVAILABILITY'!P422+O423*'RAP TEMPLATE-GAS AVAILABILITY'!Q422+P423*'RAP TEMPLATE-GAS AVAILABILITY'!R422)/('RAP TEMPLATE-GAS AVAILABILITY'!O422+'RAP TEMPLATE-GAS AVAILABILITY'!P422+'RAP TEMPLATE-GAS AVAILABILITY'!Q422+'RAP TEMPLATE-GAS AVAILABILITY'!R422)</f>
        <v>20.593768345323738</v>
      </c>
    </row>
    <row r="424" spans="1:29" ht="15.75" x14ac:dyDescent="0.25">
      <c r="A424" s="14">
        <v>53812</v>
      </c>
      <c r="B424" s="17">
        <f>CHOOSE(CONTROL!$C$42, 20.8164, 20.8164) * CHOOSE(CONTROL!$C$21, $C$9, 100%, $E$9)</f>
        <v>20.816400000000002</v>
      </c>
      <c r="C424" s="17">
        <f>CHOOSE(CONTROL!$C$42, 20.8209, 20.8209) * CHOOSE(CONTROL!$C$21, $C$9, 100%, $E$9)</f>
        <v>20.820900000000002</v>
      </c>
      <c r="D424" s="17">
        <f>CHOOSE(CONTROL!$C$42, 21.0951, 21.0951) * CHOOSE(CONTROL!$C$21, $C$9, 100%, $E$9)</f>
        <v>21.095099999999999</v>
      </c>
      <c r="E424" s="17">
        <f>CHOOSE(CONTROL!$C$42, 21.1272, 21.1272) * CHOOSE(CONTROL!$C$21, $C$9, 100%, $E$9)</f>
        <v>21.127199999999998</v>
      </c>
      <c r="F424" s="17">
        <f>CHOOSE(CONTROL!$C$42, 20.8357, 20.8357)*CHOOSE(CONTROL!$C$21, $C$9, 100%, $E$9)</f>
        <v>20.835699999999999</v>
      </c>
      <c r="G424" s="17">
        <f>CHOOSE(CONTROL!$C$42, 20.8521, 20.8521)*CHOOSE(CONTROL!$C$21, $C$9, 100%, $E$9)</f>
        <v>20.8521</v>
      </c>
      <c r="H424" s="17">
        <f>CHOOSE(CONTROL!$C$42, 21.117, 21.117) * CHOOSE(CONTROL!$C$21, $C$9, 100%, $E$9)</f>
        <v>21.117000000000001</v>
      </c>
      <c r="I424" s="17">
        <f>CHOOSE(CONTROL!$C$42, 20.9029, 20.9029)* CHOOSE(CONTROL!$C$21, $C$9, 100%, $E$9)</f>
        <v>20.902899999999999</v>
      </c>
      <c r="J424" s="17">
        <f>CHOOSE(CONTROL!$C$42, 20.8287, 20.8287)* CHOOSE(CONTROL!$C$21, $C$9, 100%, $E$9)</f>
        <v>20.828700000000001</v>
      </c>
      <c r="K424" s="52">
        <f>CHOOSE(CONTROL!$C$42, 20.8986, 20.8986) * CHOOSE(CONTROL!$C$21, $C$9, 100%, $E$9)</f>
        <v>20.898599999999998</v>
      </c>
      <c r="L424" s="17">
        <f>CHOOSE(CONTROL!$C$42, 21.704, 21.704) * CHOOSE(CONTROL!$C$21, $C$9, 100%, $E$9)</f>
        <v>21.704000000000001</v>
      </c>
      <c r="M424" s="17">
        <f>CHOOSE(CONTROL!$C$42, 20.4618, 20.4618) * CHOOSE(CONTROL!$C$21, $C$9, 100%, $E$9)</f>
        <v>20.4618</v>
      </c>
      <c r="N424" s="17">
        <f>CHOOSE(CONTROL!$C$42, 20.4778, 20.4778) * CHOOSE(CONTROL!$C$21, $C$9, 100%, $E$9)</f>
        <v>20.477799999999998</v>
      </c>
      <c r="O424" s="17">
        <f>CHOOSE(CONTROL!$C$42, 20.7449, 20.7449) * CHOOSE(CONTROL!$C$21, $C$9, 100%, $E$9)</f>
        <v>20.744900000000001</v>
      </c>
      <c r="P424" s="17">
        <f>CHOOSE(CONTROL!$C$42, 20.5335, 20.5335) * CHOOSE(CONTROL!$C$21, $C$9, 100%, $E$9)</f>
        <v>20.5335</v>
      </c>
      <c r="Q424" s="17">
        <f>CHOOSE(CONTROL!$C$42, 21.3396, 21.3396) * CHOOSE(CONTROL!$C$21, $C$9, 100%, $E$9)</f>
        <v>21.339600000000001</v>
      </c>
      <c r="R424" s="17">
        <f>CHOOSE(CONTROL!$C$42, 21.9799, 21.9799) * CHOOSE(CONTROL!$C$21, $C$9, 100%, $E$9)</f>
        <v>21.979900000000001</v>
      </c>
      <c r="S424" s="17">
        <f>CHOOSE(CONTROL!$C$42, 19.9932, 19.9932) * CHOOSE(CONTROL!$C$21, $C$9, 100%, $E$9)</f>
        <v>19.993200000000002</v>
      </c>
      <c r="T42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24" s="56">
        <f>(1000*CHOOSE(CONTROL!$C$42, 695, 695)*CHOOSE(CONTROL!$C$42, 0.5599, 0.5599)*CHOOSE(CONTROL!$C$42, 30, 30))/1000000</f>
        <v>11.673914999999997</v>
      </c>
      <c r="V424" s="56">
        <f>(1000*CHOOSE(CONTROL!$C$42, 500, 500)*CHOOSE(CONTROL!$C$42, 0.275, 0.275)*CHOOSE(CONTROL!$C$42, 30, 30))/1000000</f>
        <v>4.125</v>
      </c>
      <c r="W424" s="56">
        <f>(1000*CHOOSE(CONTROL!$C$42, 0.1146, 0.1146)*CHOOSE(CONTROL!$C$42, 121.5, 121.5)*CHOOSE(CONTROL!$C$42, 30, 30))/1000000</f>
        <v>0.417717</v>
      </c>
      <c r="X424" s="56">
        <f>(30*0.1790888*145000/1000000)+(30*0.2374*100000/1000000)</f>
        <v>1.4912362799999999</v>
      </c>
      <c r="Y424" s="56"/>
      <c r="Z424" s="17"/>
      <c r="AA424" s="55"/>
      <c r="AB424" s="48">
        <f>(B424*141.293+C424*267.993+D424*115.016+E424*189.698+F424*40+G424*85+H424*0+I424*100+J424*300)/(141.293+267.993+115.016+189.698+0+40+85+100+300)</f>
        <v>20.90386211953188</v>
      </c>
      <c r="AC424" s="45">
        <f>(M424*'RAP TEMPLATE-GAS AVAILABILITY'!O423+N424*'RAP TEMPLATE-GAS AVAILABILITY'!P423+O424*'RAP TEMPLATE-GAS AVAILABILITY'!Q423+P424*'RAP TEMPLATE-GAS AVAILABILITY'!R423)/('RAP TEMPLATE-GAS AVAILABILITY'!O423+'RAP TEMPLATE-GAS AVAILABILITY'!P423+'RAP TEMPLATE-GAS AVAILABILITY'!Q423+'RAP TEMPLATE-GAS AVAILABILITY'!R423)</f>
        <v>20.555230935251803</v>
      </c>
    </row>
    <row r="425" spans="1:29" ht="15.75" x14ac:dyDescent="0.25">
      <c r="A425" s="14">
        <v>53843</v>
      </c>
      <c r="B425" s="17">
        <f>CHOOSE(CONTROL!$C$42, 21.0014, 21.0014) * CHOOSE(CONTROL!$C$21, $C$9, 100%, $E$9)</f>
        <v>21.0014</v>
      </c>
      <c r="C425" s="17">
        <f>CHOOSE(CONTROL!$C$42, 21.0095, 21.0095) * CHOOSE(CONTROL!$C$21, $C$9, 100%, $E$9)</f>
        <v>21.009499999999999</v>
      </c>
      <c r="D425" s="17">
        <f>CHOOSE(CONTROL!$C$42, 21.2805, 21.2805) * CHOOSE(CONTROL!$C$21, $C$9, 100%, $E$9)</f>
        <v>21.2805</v>
      </c>
      <c r="E425" s="17">
        <f>CHOOSE(CONTROL!$C$42, 21.312, 21.312) * CHOOSE(CONTROL!$C$21, $C$9, 100%, $E$9)</f>
        <v>21.312000000000001</v>
      </c>
      <c r="F425" s="17">
        <f>CHOOSE(CONTROL!$C$42, 21.0196, 21.0196)*CHOOSE(CONTROL!$C$21, $C$9, 100%, $E$9)</f>
        <v>21.019600000000001</v>
      </c>
      <c r="G425" s="17">
        <f>CHOOSE(CONTROL!$C$42, 21.0362, 21.0362)*CHOOSE(CONTROL!$C$21, $C$9, 100%, $E$9)</f>
        <v>21.036200000000001</v>
      </c>
      <c r="H425" s="17">
        <f>CHOOSE(CONTROL!$C$42, 21.3006, 21.3006) * CHOOSE(CONTROL!$C$21, $C$9, 100%, $E$9)</f>
        <v>21.300599999999999</v>
      </c>
      <c r="I425" s="17">
        <f>CHOOSE(CONTROL!$C$42, 21.0871, 21.0871)* CHOOSE(CONTROL!$C$21, $C$9, 100%, $E$9)</f>
        <v>21.0871</v>
      </c>
      <c r="J425" s="17">
        <f>CHOOSE(CONTROL!$C$42, 21.0126, 21.0126)* CHOOSE(CONTROL!$C$21, $C$9, 100%, $E$9)</f>
        <v>21.012599999999999</v>
      </c>
      <c r="K425" s="52">
        <f>CHOOSE(CONTROL!$C$42, 21.0829, 21.0829) * CHOOSE(CONTROL!$C$21, $C$9, 100%, $E$9)</f>
        <v>21.082899999999999</v>
      </c>
      <c r="L425" s="17">
        <f>CHOOSE(CONTROL!$C$42, 21.8876, 21.8876) * CHOOSE(CONTROL!$C$21, $C$9, 100%, $E$9)</f>
        <v>21.887599999999999</v>
      </c>
      <c r="M425" s="17">
        <f>CHOOSE(CONTROL!$C$42, 20.6423, 20.6423) * CHOOSE(CONTROL!$C$21, $C$9, 100%, $E$9)</f>
        <v>20.642299999999999</v>
      </c>
      <c r="N425" s="17">
        <f>CHOOSE(CONTROL!$C$42, 20.6587, 20.6587) * CHOOSE(CONTROL!$C$21, $C$9, 100%, $E$9)</f>
        <v>20.6587</v>
      </c>
      <c r="O425" s="17">
        <f>CHOOSE(CONTROL!$C$42, 20.9252, 20.9252) * CHOOSE(CONTROL!$C$21, $C$9, 100%, $E$9)</f>
        <v>20.9252</v>
      </c>
      <c r="P425" s="17">
        <f>CHOOSE(CONTROL!$C$42, 20.7144, 20.7144) * CHOOSE(CONTROL!$C$21, $C$9, 100%, $E$9)</f>
        <v>20.714400000000001</v>
      </c>
      <c r="Q425" s="17">
        <f>CHOOSE(CONTROL!$C$42, 21.5199, 21.5199) * CHOOSE(CONTROL!$C$21, $C$9, 100%, $E$9)</f>
        <v>21.5199</v>
      </c>
      <c r="R425" s="17">
        <f>CHOOSE(CONTROL!$C$42, 22.1607, 22.1607) * CHOOSE(CONTROL!$C$21, $C$9, 100%, $E$9)</f>
        <v>22.160699999999999</v>
      </c>
      <c r="S425" s="17">
        <f>CHOOSE(CONTROL!$C$42, 20.1697, 20.1697) * CHOOSE(CONTROL!$C$21, $C$9, 100%, $E$9)</f>
        <v>20.169699999999999</v>
      </c>
      <c r="T42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25" s="56">
        <f>(1000*CHOOSE(CONTROL!$C$42, 695, 695)*CHOOSE(CONTROL!$C$42, 0.5599, 0.5599)*CHOOSE(CONTROL!$C$42, 31, 31))/1000000</f>
        <v>12.063045499999998</v>
      </c>
      <c r="V425" s="56">
        <f>(1000*CHOOSE(CONTROL!$C$42, 500, 500)*CHOOSE(CONTROL!$C$42, 0.275, 0.275)*CHOOSE(CONTROL!$C$42, 31, 31))/1000000</f>
        <v>4.2625000000000002</v>
      </c>
      <c r="W425" s="56">
        <f>(1000*CHOOSE(CONTROL!$C$42, 0.1146, 0.1146)*CHOOSE(CONTROL!$C$42, 121.5, 121.5)*CHOOSE(CONTROL!$C$42, 31, 31))/1000000</f>
        <v>0.43164089999999994</v>
      </c>
      <c r="X425" s="56">
        <f>(31*0.1790888*145000/1000000)+(31*0.2374*100000/1000000)</f>
        <v>1.5409441560000001</v>
      </c>
      <c r="Y425" s="56"/>
      <c r="Z425" s="17"/>
      <c r="AA425" s="55"/>
      <c r="AB425" s="48">
        <f>(B425*194.205+C425*267.466+D425*133.845+E425*153.484+F425*40+G425*85+H425*0+I425*100+J425*300)/(194.205+267.466+133.845+153.484+0+40+85+100+300)</f>
        <v>21.082099171507064</v>
      </c>
      <c r="AC425" s="45">
        <f>(M425*'RAP TEMPLATE-GAS AVAILABILITY'!O424+N425*'RAP TEMPLATE-GAS AVAILABILITY'!P424+O425*'RAP TEMPLATE-GAS AVAILABILITY'!Q424+P425*'RAP TEMPLATE-GAS AVAILABILITY'!R424)/('RAP TEMPLATE-GAS AVAILABILITY'!O424+'RAP TEMPLATE-GAS AVAILABILITY'!P424+'RAP TEMPLATE-GAS AVAILABILITY'!Q424+'RAP TEMPLATE-GAS AVAILABILITY'!R424)</f>
        <v>20.735824460431655</v>
      </c>
    </row>
    <row r="426" spans="1:29" ht="15.75" x14ac:dyDescent="0.25">
      <c r="A426" s="14">
        <v>53873</v>
      </c>
      <c r="B426" s="17">
        <f>CHOOSE(CONTROL!$C$42, 21.5968, 21.5968) * CHOOSE(CONTROL!$C$21, $C$9, 100%, $E$9)</f>
        <v>21.596800000000002</v>
      </c>
      <c r="C426" s="17">
        <f>CHOOSE(CONTROL!$C$42, 21.6049, 21.6049) * CHOOSE(CONTROL!$C$21, $C$9, 100%, $E$9)</f>
        <v>21.604900000000001</v>
      </c>
      <c r="D426" s="17">
        <f>CHOOSE(CONTROL!$C$42, 21.8759, 21.8759) * CHOOSE(CONTROL!$C$21, $C$9, 100%, $E$9)</f>
        <v>21.875900000000001</v>
      </c>
      <c r="E426" s="17">
        <f>CHOOSE(CONTROL!$C$42, 21.9074, 21.9074) * CHOOSE(CONTROL!$C$21, $C$9, 100%, $E$9)</f>
        <v>21.907399999999999</v>
      </c>
      <c r="F426" s="17">
        <f>CHOOSE(CONTROL!$C$42, 21.6153, 21.6153)*CHOOSE(CONTROL!$C$21, $C$9, 100%, $E$9)</f>
        <v>21.615300000000001</v>
      </c>
      <c r="G426" s="17">
        <f>CHOOSE(CONTROL!$C$42, 21.632, 21.632)*CHOOSE(CONTROL!$C$21, $C$9, 100%, $E$9)</f>
        <v>21.632000000000001</v>
      </c>
      <c r="H426" s="17">
        <f>CHOOSE(CONTROL!$C$42, 21.896, 21.896) * CHOOSE(CONTROL!$C$21, $C$9, 100%, $E$9)</f>
        <v>21.896000000000001</v>
      </c>
      <c r="I426" s="17">
        <f>CHOOSE(CONTROL!$C$42, 21.6843, 21.6843)* CHOOSE(CONTROL!$C$21, $C$9, 100%, $E$9)</f>
        <v>21.6843</v>
      </c>
      <c r="J426" s="17">
        <f>CHOOSE(CONTROL!$C$42, 21.6083, 21.6083)* CHOOSE(CONTROL!$C$21, $C$9, 100%, $E$9)</f>
        <v>21.6083</v>
      </c>
      <c r="K426" s="52">
        <f>CHOOSE(CONTROL!$C$42, 21.6801, 21.6801) * CHOOSE(CONTROL!$C$21, $C$9, 100%, $E$9)</f>
        <v>21.680099999999999</v>
      </c>
      <c r="L426" s="17">
        <f>CHOOSE(CONTROL!$C$42, 22.483, 22.483) * CHOOSE(CONTROL!$C$21, $C$9, 100%, $E$9)</f>
        <v>22.483000000000001</v>
      </c>
      <c r="M426" s="17">
        <f>CHOOSE(CONTROL!$C$42, 21.2273, 21.2273) * CHOOSE(CONTROL!$C$21, $C$9, 100%, $E$9)</f>
        <v>21.2273</v>
      </c>
      <c r="N426" s="17">
        <f>CHOOSE(CONTROL!$C$42, 21.2437, 21.2437) * CHOOSE(CONTROL!$C$21, $C$9, 100%, $E$9)</f>
        <v>21.2437</v>
      </c>
      <c r="O426" s="17">
        <f>CHOOSE(CONTROL!$C$42, 21.5099, 21.5099) * CHOOSE(CONTROL!$C$21, $C$9, 100%, $E$9)</f>
        <v>21.509899999999998</v>
      </c>
      <c r="P426" s="17">
        <f>CHOOSE(CONTROL!$C$42, 21.3009, 21.3009) * CHOOSE(CONTROL!$C$21, $C$9, 100%, $E$9)</f>
        <v>21.300899999999999</v>
      </c>
      <c r="Q426" s="17">
        <f>CHOOSE(CONTROL!$C$42, 22.1046, 22.1046) * CHOOSE(CONTROL!$C$21, $C$9, 100%, $E$9)</f>
        <v>22.104600000000001</v>
      </c>
      <c r="R426" s="17">
        <f>CHOOSE(CONTROL!$C$42, 22.7468, 22.7468) * CHOOSE(CONTROL!$C$21, $C$9, 100%, $E$9)</f>
        <v>22.7468</v>
      </c>
      <c r="S426" s="17">
        <f>CHOOSE(CONTROL!$C$42, 20.7418, 20.7418) * CHOOSE(CONTROL!$C$21, $C$9, 100%, $E$9)</f>
        <v>20.741800000000001</v>
      </c>
      <c r="T42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26" s="56">
        <f>(1000*CHOOSE(CONTROL!$C$42, 695, 695)*CHOOSE(CONTROL!$C$42, 0.5599, 0.5599)*CHOOSE(CONTROL!$C$42, 30, 30))/1000000</f>
        <v>11.673914999999997</v>
      </c>
      <c r="V426" s="56">
        <f>(1000*CHOOSE(CONTROL!$C$42, 500, 500)*CHOOSE(CONTROL!$C$42, 0.275, 0.275)*CHOOSE(CONTROL!$C$42, 30, 30))/1000000</f>
        <v>4.125</v>
      </c>
      <c r="W426" s="56">
        <f>(1000*CHOOSE(CONTROL!$C$42, 0.1146, 0.1146)*CHOOSE(CONTROL!$C$42, 121.5, 121.5)*CHOOSE(CONTROL!$C$42, 30, 30))/1000000</f>
        <v>0.417717</v>
      </c>
      <c r="X426" s="56">
        <f>(30*0.1790888*145000/1000000)+(30*0.2374*100000/1000000)</f>
        <v>1.4912362799999999</v>
      </c>
      <c r="Y426" s="56"/>
      <c r="Z426" s="17"/>
      <c r="AA426" s="55"/>
      <c r="AB426" s="48">
        <f>(B426*194.205+C426*267.466+D426*133.845+E426*153.484+F426*40+G426*85+H426*0+I426*100+J426*300)/(194.205+267.466+133.845+153.484+0+40+85+100+300)</f>
        <v>21.677747209183675</v>
      </c>
      <c r="AC426" s="45">
        <f>(M426*'RAP TEMPLATE-GAS AVAILABILITY'!O425+N426*'RAP TEMPLATE-GAS AVAILABILITY'!P425+O426*'RAP TEMPLATE-GAS AVAILABILITY'!Q425+P426*'RAP TEMPLATE-GAS AVAILABILITY'!R425)/('RAP TEMPLATE-GAS AVAILABILITY'!O425+'RAP TEMPLATE-GAS AVAILABILITY'!P425+'RAP TEMPLATE-GAS AVAILABILITY'!Q425+'RAP TEMPLATE-GAS AVAILABILITY'!R425)</f>
        <v>21.320956115107915</v>
      </c>
    </row>
    <row r="427" spans="1:29" ht="15.75" x14ac:dyDescent="0.25">
      <c r="A427" s="14">
        <v>53904</v>
      </c>
      <c r="B427" s="17">
        <f>CHOOSE(CONTROL!$C$42, 21.1827, 21.1827) * CHOOSE(CONTROL!$C$21, $C$9, 100%, $E$9)</f>
        <v>21.182700000000001</v>
      </c>
      <c r="C427" s="17">
        <f>CHOOSE(CONTROL!$C$42, 21.1908, 21.1908) * CHOOSE(CONTROL!$C$21, $C$9, 100%, $E$9)</f>
        <v>21.190799999999999</v>
      </c>
      <c r="D427" s="17">
        <f>CHOOSE(CONTROL!$C$42, 21.4618, 21.4618) * CHOOSE(CONTROL!$C$21, $C$9, 100%, $E$9)</f>
        <v>21.4618</v>
      </c>
      <c r="E427" s="17">
        <f>CHOOSE(CONTROL!$C$42, 21.4933, 21.4933) * CHOOSE(CONTROL!$C$21, $C$9, 100%, $E$9)</f>
        <v>21.493300000000001</v>
      </c>
      <c r="F427" s="17">
        <f>CHOOSE(CONTROL!$C$42, 21.2016, 21.2016)*CHOOSE(CONTROL!$C$21, $C$9, 100%, $E$9)</f>
        <v>21.201599999999999</v>
      </c>
      <c r="G427" s="17">
        <f>CHOOSE(CONTROL!$C$42, 21.2184, 21.2184)*CHOOSE(CONTROL!$C$21, $C$9, 100%, $E$9)</f>
        <v>21.218399999999999</v>
      </c>
      <c r="H427" s="17">
        <f>CHOOSE(CONTROL!$C$42, 21.4819, 21.4819) * CHOOSE(CONTROL!$C$21, $C$9, 100%, $E$9)</f>
        <v>21.4819</v>
      </c>
      <c r="I427" s="17">
        <f>CHOOSE(CONTROL!$C$42, 21.2689, 21.2689)* CHOOSE(CONTROL!$C$21, $C$9, 100%, $E$9)</f>
        <v>21.268899999999999</v>
      </c>
      <c r="J427" s="17">
        <f>CHOOSE(CONTROL!$C$42, 21.1946, 21.1946)* CHOOSE(CONTROL!$C$21, $C$9, 100%, $E$9)</f>
        <v>21.194600000000001</v>
      </c>
      <c r="K427" s="52">
        <f>CHOOSE(CONTROL!$C$42, 21.2647, 21.2647) * CHOOSE(CONTROL!$C$21, $C$9, 100%, $E$9)</f>
        <v>21.264700000000001</v>
      </c>
      <c r="L427" s="17">
        <f>CHOOSE(CONTROL!$C$42, 22.0689, 22.0689) * CHOOSE(CONTROL!$C$21, $C$9, 100%, $E$9)</f>
        <v>22.068899999999999</v>
      </c>
      <c r="M427" s="17">
        <f>CHOOSE(CONTROL!$C$42, 20.8211, 20.8211) * CHOOSE(CONTROL!$C$21, $C$9, 100%, $E$9)</f>
        <v>20.821100000000001</v>
      </c>
      <c r="N427" s="17">
        <f>CHOOSE(CONTROL!$C$42, 20.8376, 20.8376) * CHOOSE(CONTROL!$C$21, $C$9, 100%, $E$9)</f>
        <v>20.837599999999998</v>
      </c>
      <c r="O427" s="17">
        <f>CHOOSE(CONTROL!$C$42, 21.1032, 21.1032) * CHOOSE(CONTROL!$C$21, $C$9, 100%, $E$9)</f>
        <v>21.103200000000001</v>
      </c>
      <c r="P427" s="17">
        <f>CHOOSE(CONTROL!$C$42, 20.893, 20.893) * CHOOSE(CONTROL!$C$21, $C$9, 100%, $E$9)</f>
        <v>20.893000000000001</v>
      </c>
      <c r="Q427" s="17">
        <f>CHOOSE(CONTROL!$C$42, 21.6979, 21.6979) * CHOOSE(CONTROL!$C$21, $C$9, 100%, $E$9)</f>
        <v>21.697900000000001</v>
      </c>
      <c r="R427" s="17">
        <f>CHOOSE(CONTROL!$C$42, 22.3392, 22.3392) * CHOOSE(CONTROL!$C$21, $C$9, 100%, $E$9)</f>
        <v>22.339200000000002</v>
      </c>
      <c r="S427" s="17">
        <f>CHOOSE(CONTROL!$C$42, 20.3439, 20.3439) * CHOOSE(CONTROL!$C$21, $C$9, 100%, $E$9)</f>
        <v>20.343900000000001</v>
      </c>
      <c r="T42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27" s="56">
        <f>(1000*CHOOSE(CONTROL!$C$42, 695, 695)*CHOOSE(CONTROL!$C$42, 0.5599, 0.5599)*CHOOSE(CONTROL!$C$42, 31, 31))/1000000</f>
        <v>12.063045499999998</v>
      </c>
      <c r="V427" s="56">
        <f>(1000*CHOOSE(CONTROL!$C$42, 500, 500)*CHOOSE(CONTROL!$C$42, 0.275, 0.275)*CHOOSE(CONTROL!$C$42, 31, 31))/1000000</f>
        <v>4.2625000000000002</v>
      </c>
      <c r="W427" s="56">
        <f>(1000*CHOOSE(CONTROL!$C$42, 0.1146, 0.1146)*CHOOSE(CONTROL!$C$42, 121.5, 121.5)*CHOOSE(CONTROL!$C$42, 31, 31))/1000000</f>
        <v>0.43164089999999994</v>
      </c>
      <c r="X427" s="56">
        <f>(31*0.1790888*145000/1000000)+(31*0.2374*100000/1000000)</f>
        <v>1.5409441560000001</v>
      </c>
      <c r="Y427" s="56"/>
      <c r="Z427" s="17"/>
      <c r="AA427" s="55"/>
      <c r="AB427" s="48">
        <f>(B427*194.205+C427*267.466+D427*133.845+E427*153.484+F427*40+G427*85+H427*0+I427*100+J427*300)/(194.205+267.466+133.845+153.484+0+40+85+100+300)</f>
        <v>21.263685278257459</v>
      </c>
      <c r="AC427" s="45">
        <f>(M427*'RAP TEMPLATE-GAS AVAILABILITY'!O426+N427*'RAP TEMPLATE-GAS AVAILABILITY'!P426+O427*'RAP TEMPLATE-GAS AVAILABILITY'!Q426+P427*'RAP TEMPLATE-GAS AVAILABILITY'!R426)/('RAP TEMPLATE-GAS AVAILABILITY'!O426+'RAP TEMPLATE-GAS AVAILABILITY'!P426+'RAP TEMPLATE-GAS AVAILABILITY'!Q426+'RAP TEMPLATE-GAS AVAILABILITY'!R426)</f>
        <v>20.914394244604317</v>
      </c>
    </row>
    <row r="428" spans="1:29" ht="15.75" x14ac:dyDescent="0.25">
      <c r="A428" s="14">
        <v>53935</v>
      </c>
      <c r="B428" s="17">
        <f>CHOOSE(CONTROL!$C$42, 20.137, 20.137) * CHOOSE(CONTROL!$C$21, $C$9, 100%, $E$9)</f>
        <v>20.137</v>
      </c>
      <c r="C428" s="17">
        <f>CHOOSE(CONTROL!$C$42, 20.145, 20.145) * CHOOSE(CONTROL!$C$21, $C$9, 100%, $E$9)</f>
        <v>20.145</v>
      </c>
      <c r="D428" s="17">
        <f>CHOOSE(CONTROL!$C$42, 20.4161, 20.4161) * CHOOSE(CONTROL!$C$21, $C$9, 100%, $E$9)</f>
        <v>20.4161</v>
      </c>
      <c r="E428" s="17">
        <f>CHOOSE(CONTROL!$C$42, 20.4476, 20.4476) * CHOOSE(CONTROL!$C$21, $C$9, 100%, $E$9)</f>
        <v>20.447600000000001</v>
      </c>
      <c r="F428" s="17">
        <f>CHOOSE(CONTROL!$C$42, 20.1561, 20.1561)*CHOOSE(CONTROL!$C$21, $C$9, 100%, $E$9)</f>
        <v>20.156099999999999</v>
      </c>
      <c r="G428" s="17">
        <f>CHOOSE(CONTROL!$C$42, 20.173, 20.173)*CHOOSE(CONTROL!$C$21, $C$9, 100%, $E$9)</f>
        <v>20.172999999999998</v>
      </c>
      <c r="H428" s="17">
        <f>CHOOSE(CONTROL!$C$42, 20.4362, 20.4362) * CHOOSE(CONTROL!$C$21, $C$9, 100%, $E$9)</f>
        <v>20.436199999999999</v>
      </c>
      <c r="I428" s="17">
        <f>CHOOSE(CONTROL!$C$42, 20.2199, 20.2199)* CHOOSE(CONTROL!$C$21, $C$9, 100%, $E$9)</f>
        <v>20.219899999999999</v>
      </c>
      <c r="J428" s="17">
        <f>CHOOSE(CONTROL!$C$42, 20.1491, 20.1491)* CHOOSE(CONTROL!$C$21, $C$9, 100%, $E$9)</f>
        <v>20.149100000000001</v>
      </c>
      <c r="K428" s="52">
        <f>CHOOSE(CONTROL!$C$42, 20.2157, 20.2157) * CHOOSE(CONTROL!$C$21, $C$9, 100%, $E$9)</f>
        <v>20.215699999999998</v>
      </c>
      <c r="L428" s="17">
        <f>CHOOSE(CONTROL!$C$42, 21.0232, 21.0232) * CHOOSE(CONTROL!$C$21, $C$9, 100%, $E$9)</f>
        <v>21.023199999999999</v>
      </c>
      <c r="M428" s="17">
        <f>CHOOSE(CONTROL!$C$42, 19.7944, 19.7944) * CHOOSE(CONTROL!$C$21, $C$9, 100%, $E$9)</f>
        <v>19.7944</v>
      </c>
      <c r="N428" s="17">
        <f>CHOOSE(CONTROL!$C$42, 19.811, 19.811) * CHOOSE(CONTROL!$C$21, $C$9, 100%, $E$9)</f>
        <v>19.811</v>
      </c>
      <c r="O428" s="17">
        <f>CHOOSE(CONTROL!$C$42, 20.0763, 20.0763) * CHOOSE(CONTROL!$C$21, $C$9, 100%, $E$9)</f>
        <v>20.0763</v>
      </c>
      <c r="P428" s="17">
        <f>CHOOSE(CONTROL!$C$42, 19.8629, 19.8629) * CHOOSE(CONTROL!$C$21, $C$9, 100%, $E$9)</f>
        <v>19.8629</v>
      </c>
      <c r="Q428" s="17">
        <f>CHOOSE(CONTROL!$C$42, 20.671, 20.671) * CHOOSE(CONTROL!$C$21, $C$9, 100%, $E$9)</f>
        <v>20.670999999999999</v>
      </c>
      <c r="R428" s="17">
        <f>CHOOSE(CONTROL!$C$42, 21.3097, 21.3097) * CHOOSE(CONTROL!$C$21, $C$9, 100%, $E$9)</f>
        <v>21.309699999999999</v>
      </c>
      <c r="S428" s="17">
        <f>CHOOSE(CONTROL!$C$42, 19.339, 19.339) * CHOOSE(CONTROL!$C$21, $C$9, 100%, $E$9)</f>
        <v>19.338999999999999</v>
      </c>
      <c r="T42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28" s="56">
        <f>(1000*CHOOSE(CONTROL!$C$42, 695, 695)*CHOOSE(CONTROL!$C$42, 0.5599, 0.5599)*CHOOSE(CONTROL!$C$42, 31, 31))/1000000</f>
        <v>12.063045499999998</v>
      </c>
      <c r="V428" s="56">
        <f>(1000*CHOOSE(CONTROL!$C$42, 500, 500)*CHOOSE(CONTROL!$C$42, 0.275, 0.275)*CHOOSE(CONTROL!$C$42, 31, 31))/1000000</f>
        <v>4.2625000000000002</v>
      </c>
      <c r="W428" s="56">
        <f>(1000*CHOOSE(CONTROL!$C$42, 0.1146, 0.1146)*CHOOSE(CONTROL!$C$42, 121.5, 121.5)*CHOOSE(CONTROL!$C$42, 31, 31))/1000000</f>
        <v>0.43164089999999994</v>
      </c>
      <c r="X428" s="56">
        <f>(31*0.1790888*145000/1000000)+(31*0.2374*100000/1000000)</f>
        <v>1.5409441560000001</v>
      </c>
      <c r="Y428" s="56"/>
      <c r="Z428" s="17"/>
      <c r="AA428" s="55"/>
      <c r="AB428" s="48">
        <f>(B428*194.205+C428*267.466+D428*133.845+E428*153.484+F428*40+G428*85+H428*0+I428*100+J428*300)/(194.205+267.466+133.845+153.484+0+40+85+100+300)</f>
        <v>20.217778648273157</v>
      </c>
      <c r="AC428" s="45">
        <f>(M428*'RAP TEMPLATE-GAS AVAILABILITY'!O427+N428*'RAP TEMPLATE-GAS AVAILABILITY'!P427+O428*'RAP TEMPLATE-GAS AVAILABILITY'!Q427+P428*'RAP TEMPLATE-GAS AVAILABILITY'!R427)/('RAP TEMPLATE-GAS AVAILABILITY'!O427+'RAP TEMPLATE-GAS AVAILABILITY'!P427+'RAP TEMPLATE-GAS AVAILABILITY'!Q427+'RAP TEMPLATE-GAS AVAILABILITY'!R427)</f>
        <v>19.887171942446045</v>
      </c>
    </row>
    <row r="429" spans="1:29" ht="15.75" x14ac:dyDescent="0.25">
      <c r="A429" s="14">
        <v>53965</v>
      </c>
      <c r="B429" s="17">
        <f>CHOOSE(CONTROL!$C$42, 18.8591, 18.8591) * CHOOSE(CONTROL!$C$21, $C$9, 100%, $E$9)</f>
        <v>18.859100000000002</v>
      </c>
      <c r="C429" s="17">
        <f>CHOOSE(CONTROL!$C$42, 18.8671, 18.8671) * CHOOSE(CONTROL!$C$21, $C$9, 100%, $E$9)</f>
        <v>18.867100000000001</v>
      </c>
      <c r="D429" s="17">
        <f>CHOOSE(CONTROL!$C$42, 19.1382, 19.1382) * CHOOSE(CONTROL!$C$21, $C$9, 100%, $E$9)</f>
        <v>19.138200000000001</v>
      </c>
      <c r="E429" s="17">
        <f>CHOOSE(CONTROL!$C$42, 19.1696, 19.1696) * CHOOSE(CONTROL!$C$21, $C$9, 100%, $E$9)</f>
        <v>19.169599999999999</v>
      </c>
      <c r="F429" s="17">
        <f>CHOOSE(CONTROL!$C$42, 18.8783, 18.8783)*CHOOSE(CONTROL!$C$21, $C$9, 100%, $E$9)</f>
        <v>18.878299999999999</v>
      </c>
      <c r="G429" s="17">
        <f>CHOOSE(CONTROL!$C$42, 18.8952, 18.8952)*CHOOSE(CONTROL!$C$21, $C$9, 100%, $E$9)</f>
        <v>18.895199999999999</v>
      </c>
      <c r="H429" s="17">
        <f>CHOOSE(CONTROL!$C$42, 19.1583, 19.1583) * CHOOSE(CONTROL!$C$21, $C$9, 100%, $E$9)</f>
        <v>19.158300000000001</v>
      </c>
      <c r="I429" s="17">
        <f>CHOOSE(CONTROL!$C$42, 18.938, 18.938)* CHOOSE(CONTROL!$C$21, $C$9, 100%, $E$9)</f>
        <v>18.937999999999999</v>
      </c>
      <c r="J429" s="17">
        <f>CHOOSE(CONTROL!$C$42, 18.8713, 18.8713)* CHOOSE(CONTROL!$C$21, $C$9, 100%, $E$9)</f>
        <v>18.871300000000002</v>
      </c>
      <c r="K429" s="52">
        <f>CHOOSE(CONTROL!$C$42, 18.9338, 18.9338) * CHOOSE(CONTROL!$C$21, $C$9, 100%, $E$9)</f>
        <v>18.933800000000002</v>
      </c>
      <c r="L429" s="17">
        <f>CHOOSE(CONTROL!$C$42, 19.7453, 19.7453) * CHOOSE(CONTROL!$C$21, $C$9, 100%, $E$9)</f>
        <v>19.7453</v>
      </c>
      <c r="M429" s="17">
        <f>CHOOSE(CONTROL!$C$42, 18.5395, 18.5395) * CHOOSE(CONTROL!$C$21, $C$9, 100%, $E$9)</f>
        <v>18.5395</v>
      </c>
      <c r="N429" s="17">
        <f>CHOOSE(CONTROL!$C$42, 18.5561, 18.5561) * CHOOSE(CONTROL!$C$21, $C$9, 100%, $E$9)</f>
        <v>18.556100000000001</v>
      </c>
      <c r="O429" s="17">
        <f>CHOOSE(CONTROL!$C$42, 18.8214, 18.8214) * CHOOSE(CONTROL!$C$21, $C$9, 100%, $E$9)</f>
        <v>18.821400000000001</v>
      </c>
      <c r="P429" s="17">
        <f>CHOOSE(CONTROL!$C$42, 18.6041, 18.6041) * CHOOSE(CONTROL!$C$21, $C$9, 100%, $E$9)</f>
        <v>18.604099999999999</v>
      </c>
      <c r="Q429" s="17">
        <f>CHOOSE(CONTROL!$C$42, 19.4161, 19.4161) * CHOOSE(CONTROL!$C$21, $C$9, 100%, $E$9)</f>
        <v>19.4161</v>
      </c>
      <c r="R429" s="17">
        <f>CHOOSE(CONTROL!$C$42, 20.0516, 20.0516) * CHOOSE(CONTROL!$C$21, $C$9, 100%, $E$9)</f>
        <v>20.051600000000001</v>
      </c>
      <c r="S429" s="17">
        <f>CHOOSE(CONTROL!$C$42, 18.1111, 18.1111) * CHOOSE(CONTROL!$C$21, $C$9, 100%, $E$9)</f>
        <v>18.1111</v>
      </c>
      <c r="T42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29" s="56">
        <f>(1000*CHOOSE(CONTROL!$C$42, 695, 695)*CHOOSE(CONTROL!$C$42, 0.5599, 0.5599)*CHOOSE(CONTROL!$C$42, 30, 30))/1000000</f>
        <v>11.673914999999997</v>
      </c>
      <c r="V429" s="56">
        <f>(1000*CHOOSE(CONTROL!$C$42, 500, 500)*CHOOSE(CONTROL!$C$42, 0.275, 0.275)*CHOOSE(CONTROL!$C$42, 30, 30))/1000000</f>
        <v>4.125</v>
      </c>
      <c r="W429" s="56">
        <f>(1000*CHOOSE(CONTROL!$C$42, 0.1146, 0.1146)*CHOOSE(CONTROL!$C$42, 121.5, 121.5)*CHOOSE(CONTROL!$C$42, 30, 30))/1000000</f>
        <v>0.417717</v>
      </c>
      <c r="X429" s="56">
        <f>(30*0.1790888*145000/1000000)+(30*0.2374*100000/1000000)</f>
        <v>1.4912362799999999</v>
      </c>
      <c r="Y429" s="56"/>
      <c r="Z429" s="17"/>
      <c r="AA429" s="55"/>
      <c r="AB429" s="48">
        <f>(B429*194.205+C429*267.466+D429*133.845+E429*153.484+F429*40+G429*85+H429*0+I429*100+J429*300)/(194.205+267.466+133.845+153.484+0+40+85+100+300)</f>
        <v>18.939585988618525</v>
      </c>
      <c r="AC429" s="45">
        <f>(M429*'RAP TEMPLATE-GAS AVAILABILITY'!O428+N429*'RAP TEMPLATE-GAS AVAILABILITY'!P428+O429*'RAP TEMPLATE-GAS AVAILABILITY'!Q428+P429*'RAP TEMPLATE-GAS AVAILABILITY'!R428)/('RAP TEMPLATE-GAS AVAILABILITY'!O428+'RAP TEMPLATE-GAS AVAILABILITY'!P428+'RAP TEMPLATE-GAS AVAILABILITY'!Q428+'RAP TEMPLATE-GAS AVAILABILITY'!R428)</f>
        <v>18.631710791366906</v>
      </c>
    </row>
    <row r="430" spans="1:29" ht="15.75" x14ac:dyDescent="0.25">
      <c r="A430" s="14">
        <v>53996</v>
      </c>
      <c r="B430" s="17">
        <f>CHOOSE(CONTROL!$C$42, 18.4746, 18.4746) * CHOOSE(CONTROL!$C$21, $C$9, 100%, $E$9)</f>
        <v>18.474599999999999</v>
      </c>
      <c r="C430" s="17">
        <f>CHOOSE(CONTROL!$C$42, 18.48, 18.48) * CHOOSE(CONTROL!$C$21, $C$9, 100%, $E$9)</f>
        <v>18.48</v>
      </c>
      <c r="D430" s="17">
        <f>CHOOSE(CONTROL!$C$42, 18.756, 18.756) * CHOOSE(CONTROL!$C$21, $C$9, 100%, $E$9)</f>
        <v>18.756</v>
      </c>
      <c r="E430" s="17">
        <f>CHOOSE(CONTROL!$C$42, 18.7851, 18.7851) * CHOOSE(CONTROL!$C$21, $C$9, 100%, $E$9)</f>
        <v>18.7851</v>
      </c>
      <c r="F430" s="17">
        <f>CHOOSE(CONTROL!$C$42, 18.496, 18.496)*CHOOSE(CONTROL!$C$21, $C$9, 100%, $E$9)</f>
        <v>18.495999999999999</v>
      </c>
      <c r="G430" s="17">
        <f>CHOOSE(CONTROL!$C$42, 18.5128, 18.5128)*CHOOSE(CONTROL!$C$21, $C$9, 100%, $E$9)</f>
        <v>18.512799999999999</v>
      </c>
      <c r="H430" s="17">
        <f>CHOOSE(CONTROL!$C$42, 18.7756, 18.7756) * CHOOSE(CONTROL!$C$21, $C$9, 100%, $E$9)</f>
        <v>18.775600000000001</v>
      </c>
      <c r="I430" s="17">
        <f>CHOOSE(CONTROL!$C$42, 18.5541, 18.5541)* CHOOSE(CONTROL!$C$21, $C$9, 100%, $E$9)</f>
        <v>18.554099999999998</v>
      </c>
      <c r="J430" s="17">
        <f>CHOOSE(CONTROL!$C$42, 18.489, 18.489)* CHOOSE(CONTROL!$C$21, $C$9, 100%, $E$9)</f>
        <v>18.489000000000001</v>
      </c>
      <c r="K430" s="52">
        <f>CHOOSE(CONTROL!$C$42, 18.5499, 18.5499) * CHOOSE(CONTROL!$C$21, $C$9, 100%, $E$9)</f>
        <v>18.549900000000001</v>
      </c>
      <c r="L430" s="17">
        <f>CHOOSE(CONTROL!$C$42, 19.3626, 19.3626) * CHOOSE(CONTROL!$C$21, $C$9, 100%, $E$9)</f>
        <v>19.3626</v>
      </c>
      <c r="M430" s="17">
        <f>CHOOSE(CONTROL!$C$42, 18.1642, 18.1642) * CHOOSE(CONTROL!$C$21, $C$9, 100%, $E$9)</f>
        <v>18.164200000000001</v>
      </c>
      <c r="N430" s="17">
        <f>CHOOSE(CONTROL!$C$42, 18.1807, 18.1807) * CHOOSE(CONTROL!$C$21, $C$9, 100%, $E$9)</f>
        <v>18.180700000000002</v>
      </c>
      <c r="O430" s="17">
        <f>CHOOSE(CONTROL!$C$42, 18.4456, 18.4456) * CHOOSE(CONTROL!$C$21, $C$9, 100%, $E$9)</f>
        <v>18.445599999999999</v>
      </c>
      <c r="P430" s="17">
        <f>CHOOSE(CONTROL!$C$42, 18.2271, 18.2271) * CHOOSE(CONTROL!$C$21, $C$9, 100%, $E$9)</f>
        <v>18.2271</v>
      </c>
      <c r="Q430" s="17">
        <f>CHOOSE(CONTROL!$C$42, 19.0403, 19.0403) * CHOOSE(CONTROL!$C$21, $C$9, 100%, $E$9)</f>
        <v>19.040299999999998</v>
      </c>
      <c r="R430" s="17">
        <f>CHOOSE(CONTROL!$C$42, 19.6749, 19.6749) * CHOOSE(CONTROL!$C$21, $C$9, 100%, $E$9)</f>
        <v>19.674900000000001</v>
      </c>
      <c r="S430" s="17">
        <f>CHOOSE(CONTROL!$C$42, 17.7433, 17.7433) * CHOOSE(CONTROL!$C$21, $C$9, 100%, $E$9)</f>
        <v>17.743300000000001</v>
      </c>
      <c r="T43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30" s="56">
        <f>(1000*CHOOSE(CONTROL!$C$42, 695, 695)*CHOOSE(CONTROL!$C$42, 0.5599, 0.5599)*CHOOSE(CONTROL!$C$42, 31, 31))/1000000</f>
        <v>12.063045499999998</v>
      </c>
      <c r="V430" s="56">
        <f>(1000*CHOOSE(CONTROL!$C$42, 500, 500)*CHOOSE(CONTROL!$C$42, 0.275, 0.275)*CHOOSE(CONTROL!$C$42, 31, 31))/1000000</f>
        <v>4.2625000000000002</v>
      </c>
      <c r="W430" s="56">
        <f>(1000*CHOOSE(CONTROL!$C$42, 0.1146, 0.1146)*CHOOSE(CONTROL!$C$42, 121.5, 121.5)*CHOOSE(CONTROL!$C$42, 31, 31))/1000000</f>
        <v>0.43164089999999994</v>
      </c>
      <c r="X430" s="56">
        <f>(31*0.1790888*145000/1000000)+(31*0.2374*100000/1000000)</f>
        <v>1.5409441560000001</v>
      </c>
      <c r="Y430" s="56"/>
      <c r="Z430" s="17"/>
      <c r="AA430" s="55"/>
      <c r="AB430" s="48">
        <f>(B430*131.881+C430*277.167+D430*79.08+E430*225.872+F430*40+G430*85+H430*0+I430*100+J430*300)/(131.881+277.167+79.08+225.872+0+40+85+100+300)</f>
        <v>18.563587949798226</v>
      </c>
      <c r="AC430" s="45">
        <f>(M430*'RAP TEMPLATE-GAS AVAILABILITY'!O429+N430*'RAP TEMPLATE-GAS AVAILABILITY'!P429+O430*'RAP TEMPLATE-GAS AVAILABILITY'!Q429+P430*'RAP TEMPLATE-GAS AVAILABILITY'!R429)/('RAP TEMPLATE-GAS AVAILABILITY'!O429+'RAP TEMPLATE-GAS AVAILABILITY'!P429+'RAP TEMPLATE-GAS AVAILABILITY'!Q429+'RAP TEMPLATE-GAS AVAILABILITY'!R429)</f>
        <v>18.256002877697838</v>
      </c>
    </row>
    <row r="431" spans="1:29" ht="15.75" x14ac:dyDescent="0.25">
      <c r="A431" s="14">
        <v>54026</v>
      </c>
      <c r="B431" s="17">
        <f>CHOOSE(CONTROL!$C$42, 18.9607, 18.9607) * CHOOSE(CONTROL!$C$21, $C$9, 100%, $E$9)</f>
        <v>18.960699999999999</v>
      </c>
      <c r="C431" s="17">
        <f>CHOOSE(CONTROL!$C$42, 18.9657, 18.9657) * CHOOSE(CONTROL!$C$21, $C$9, 100%, $E$9)</f>
        <v>18.965699999999998</v>
      </c>
      <c r="D431" s="17">
        <f>CHOOSE(CONTROL!$C$42, 19.0608, 19.0608) * CHOOSE(CONTROL!$C$21, $C$9, 100%, $E$9)</f>
        <v>19.0608</v>
      </c>
      <c r="E431" s="17">
        <f>CHOOSE(CONTROL!$C$42, 19.0949, 19.0949) * CHOOSE(CONTROL!$C$21, $C$9, 100%, $E$9)</f>
        <v>19.094899999999999</v>
      </c>
      <c r="F431" s="17">
        <f>CHOOSE(CONTROL!$C$42, 18.9846, 18.9846)*CHOOSE(CONTROL!$C$21, $C$9, 100%, $E$9)</f>
        <v>18.9846</v>
      </c>
      <c r="G431" s="17">
        <f>CHOOSE(CONTROL!$C$42, 19.0016, 19.0016)*CHOOSE(CONTROL!$C$21, $C$9, 100%, $E$9)</f>
        <v>19.0016</v>
      </c>
      <c r="H431" s="17">
        <f>CHOOSE(CONTROL!$C$42, 19.0841, 19.0841) * CHOOSE(CONTROL!$C$21, $C$9, 100%, $E$9)</f>
        <v>19.084099999999999</v>
      </c>
      <c r="I431" s="17">
        <f>CHOOSE(CONTROL!$C$42, 19.04, 19.04)* CHOOSE(CONTROL!$C$21, $C$9, 100%, $E$9)</f>
        <v>19.04</v>
      </c>
      <c r="J431" s="17">
        <f>CHOOSE(CONTROL!$C$42, 18.9776, 18.9776)* CHOOSE(CONTROL!$C$21, $C$9, 100%, $E$9)</f>
        <v>18.977599999999999</v>
      </c>
      <c r="K431" s="52">
        <f>CHOOSE(CONTROL!$C$42, 19.0358, 19.0358) * CHOOSE(CONTROL!$C$21, $C$9, 100%, $E$9)</f>
        <v>19.035799999999998</v>
      </c>
      <c r="L431" s="17">
        <f>CHOOSE(CONTROL!$C$42, 19.6711, 19.6711) * CHOOSE(CONTROL!$C$21, $C$9, 100%, $E$9)</f>
        <v>19.671099999999999</v>
      </c>
      <c r="M431" s="17">
        <f>CHOOSE(CONTROL!$C$42, 18.6439, 18.6439) * CHOOSE(CONTROL!$C$21, $C$9, 100%, $E$9)</f>
        <v>18.643899999999999</v>
      </c>
      <c r="N431" s="17">
        <f>CHOOSE(CONTROL!$C$42, 18.6607, 18.6607) * CHOOSE(CONTROL!$C$21, $C$9, 100%, $E$9)</f>
        <v>18.660699999999999</v>
      </c>
      <c r="O431" s="17">
        <f>CHOOSE(CONTROL!$C$42, 18.7485, 18.7485) * CHOOSE(CONTROL!$C$21, $C$9, 100%, $E$9)</f>
        <v>18.7485</v>
      </c>
      <c r="P431" s="17">
        <f>CHOOSE(CONTROL!$C$42, 18.7043, 18.7043) * CHOOSE(CONTROL!$C$21, $C$9, 100%, $E$9)</f>
        <v>18.7043</v>
      </c>
      <c r="Q431" s="17">
        <f>CHOOSE(CONTROL!$C$42, 19.3432, 19.3432) * CHOOSE(CONTROL!$C$21, $C$9, 100%, $E$9)</f>
        <v>19.3432</v>
      </c>
      <c r="R431" s="17">
        <f>CHOOSE(CONTROL!$C$42, 19.9786, 19.9786) * CHOOSE(CONTROL!$C$21, $C$9, 100%, $E$9)</f>
        <v>19.9786</v>
      </c>
      <c r="S431" s="17">
        <f>CHOOSE(CONTROL!$C$42, 18.2108, 18.2108) * CHOOSE(CONTROL!$C$21, $C$9, 100%, $E$9)</f>
        <v>18.210799999999999</v>
      </c>
      <c r="T43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31" s="56">
        <f>(1000*CHOOSE(CONTROL!$C$42, 695, 695)*CHOOSE(CONTROL!$C$42, 0.5599, 0.5599)*CHOOSE(CONTROL!$C$42, 30, 30))/1000000</f>
        <v>11.673914999999997</v>
      </c>
      <c r="V431" s="56">
        <f>(1000*CHOOSE(CONTROL!$C$42, 500, 500)*CHOOSE(CONTROL!$C$42, 0.275, 0.275)*CHOOSE(CONTROL!$C$42, 30, 30))/1000000</f>
        <v>4.125</v>
      </c>
      <c r="W431" s="56">
        <f>(1000*CHOOSE(CONTROL!$C$42, 0.1146, 0.1146)*CHOOSE(CONTROL!$C$42, 121.5, 121.5)*CHOOSE(CONTROL!$C$42, 30, 30))/1000000</f>
        <v>0.417717</v>
      </c>
      <c r="X431" s="56">
        <f>(30*0.2374*100000/1000000)</f>
        <v>0.71220000000000006</v>
      </c>
      <c r="Y431" s="56"/>
      <c r="Z431" s="17"/>
      <c r="AA431" s="55"/>
      <c r="AB431" s="48">
        <f>(B431*122.58+C431*297.941+D431*89.177+E431*140.302+F431*40+G431*60+H431*0+I431*100+J431*300)/(122.58+297.941+89.177+140.302+0+40+60+100+300)</f>
        <v>19.000399870521736</v>
      </c>
      <c r="AC431" s="45">
        <f>(M431*'RAP TEMPLATE-GAS AVAILABILITY'!O430+N431*'RAP TEMPLATE-GAS AVAILABILITY'!P430+O431*'RAP TEMPLATE-GAS AVAILABILITY'!Q430+P431*'RAP TEMPLATE-GAS AVAILABILITY'!R430)/('RAP TEMPLATE-GAS AVAILABILITY'!O430+'RAP TEMPLATE-GAS AVAILABILITY'!P430+'RAP TEMPLATE-GAS AVAILABILITY'!Q430+'RAP TEMPLATE-GAS AVAILABILITY'!R430)</f>
        <v>18.700966187050359</v>
      </c>
    </row>
    <row r="432" spans="1:29" ht="15.75" x14ac:dyDescent="0.25">
      <c r="A432" s="14">
        <v>54057</v>
      </c>
      <c r="B432" s="17">
        <f>CHOOSE(CONTROL!$C$42, 20.2527, 20.2527) * CHOOSE(CONTROL!$C$21, $C$9, 100%, $E$9)</f>
        <v>20.252700000000001</v>
      </c>
      <c r="C432" s="17">
        <f>CHOOSE(CONTROL!$C$42, 20.2578, 20.2578) * CHOOSE(CONTROL!$C$21, $C$9, 100%, $E$9)</f>
        <v>20.2578</v>
      </c>
      <c r="D432" s="17">
        <f>CHOOSE(CONTROL!$C$42, 20.3528, 20.3528) * CHOOSE(CONTROL!$C$21, $C$9, 100%, $E$9)</f>
        <v>20.352799999999998</v>
      </c>
      <c r="E432" s="17">
        <f>CHOOSE(CONTROL!$C$42, 20.387, 20.387) * CHOOSE(CONTROL!$C$21, $C$9, 100%, $E$9)</f>
        <v>20.387</v>
      </c>
      <c r="F432" s="17">
        <f>CHOOSE(CONTROL!$C$42, 20.279, 20.279)*CHOOSE(CONTROL!$C$21, $C$9, 100%, $E$9)</f>
        <v>20.279</v>
      </c>
      <c r="G432" s="17">
        <f>CHOOSE(CONTROL!$C$42, 20.2967, 20.2967)*CHOOSE(CONTROL!$C$21, $C$9, 100%, $E$9)</f>
        <v>20.296700000000001</v>
      </c>
      <c r="H432" s="17">
        <f>CHOOSE(CONTROL!$C$42, 20.3761, 20.3761) * CHOOSE(CONTROL!$C$21, $C$9, 100%, $E$9)</f>
        <v>20.376100000000001</v>
      </c>
      <c r="I432" s="17">
        <f>CHOOSE(CONTROL!$C$42, 20.3361, 20.3361)* CHOOSE(CONTROL!$C$21, $C$9, 100%, $E$9)</f>
        <v>20.336099999999998</v>
      </c>
      <c r="J432" s="17">
        <f>CHOOSE(CONTROL!$C$42, 20.272, 20.272)* CHOOSE(CONTROL!$C$21, $C$9, 100%, $E$9)</f>
        <v>20.271999999999998</v>
      </c>
      <c r="K432" s="52">
        <f>CHOOSE(CONTROL!$C$42, 20.3319, 20.3319) * CHOOSE(CONTROL!$C$21, $C$9, 100%, $E$9)</f>
        <v>20.331900000000001</v>
      </c>
      <c r="L432" s="17">
        <f>CHOOSE(CONTROL!$C$42, 20.9631, 20.9631) * CHOOSE(CONTROL!$C$21, $C$9, 100%, $E$9)</f>
        <v>20.963100000000001</v>
      </c>
      <c r="M432" s="17">
        <f>CHOOSE(CONTROL!$C$42, 19.9151, 19.9151) * CHOOSE(CONTROL!$C$21, $C$9, 100%, $E$9)</f>
        <v>19.915099999999999</v>
      </c>
      <c r="N432" s="17">
        <f>CHOOSE(CONTROL!$C$42, 19.9324, 19.9324) * CHOOSE(CONTROL!$C$21, $C$9, 100%, $E$9)</f>
        <v>19.932400000000001</v>
      </c>
      <c r="O432" s="17">
        <f>CHOOSE(CONTROL!$C$42, 20.0173, 20.0173) * CHOOSE(CONTROL!$C$21, $C$9, 100%, $E$9)</f>
        <v>20.017299999999999</v>
      </c>
      <c r="P432" s="17">
        <f>CHOOSE(CONTROL!$C$42, 19.977, 19.977) * CHOOSE(CONTROL!$C$21, $C$9, 100%, $E$9)</f>
        <v>19.977</v>
      </c>
      <c r="Q432" s="17">
        <f>CHOOSE(CONTROL!$C$42, 20.612, 20.612) * CHOOSE(CONTROL!$C$21, $C$9, 100%, $E$9)</f>
        <v>20.611999999999998</v>
      </c>
      <c r="R432" s="17">
        <f>CHOOSE(CONTROL!$C$42, 21.2506, 21.2506) * CHOOSE(CONTROL!$C$21, $C$9, 100%, $E$9)</f>
        <v>21.250599999999999</v>
      </c>
      <c r="S432" s="17">
        <f>CHOOSE(CONTROL!$C$42, 19.4523, 19.4523) * CHOOSE(CONTROL!$C$21, $C$9, 100%, $E$9)</f>
        <v>19.452300000000001</v>
      </c>
      <c r="T43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32" s="56">
        <f>(1000*CHOOSE(CONTROL!$C$42, 695, 695)*CHOOSE(CONTROL!$C$42, 0.5599, 0.5599)*CHOOSE(CONTROL!$C$42, 31, 31))/1000000</f>
        <v>12.063045499999998</v>
      </c>
      <c r="V432" s="56">
        <f>(1000*CHOOSE(CONTROL!$C$42, 500, 500)*CHOOSE(CONTROL!$C$42, 0.275, 0.275)*CHOOSE(CONTROL!$C$42, 31, 31))/1000000</f>
        <v>4.2625000000000002</v>
      </c>
      <c r="W432" s="56">
        <f>(1000*CHOOSE(CONTROL!$C$42, 0.1146, 0.1146)*CHOOSE(CONTROL!$C$42, 121.5, 121.5)*CHOOSE(CONTROL!$C$42, 31, 31))/1000000</f>
        <v>0.43164089999999994</v>
      </c>
      <c r="X432" s="56">
        <f>(31*0.2374*100000/1000000)</f>
        <v>0.73594000000000004</v>
      </c>
      <c r="Y432" s="56"/>
      <c r="Z432" s="17"/>
      <c r="AA432" s="55"/>
      <c r="AB432" s="48">
        <f>(B432*122.58+C432*297.941+D432*89.177+E432*140.302+F432*40+G432*60+H432*0+I432*100+J432*300)/(122.58+297.941+89.177+140.302+0+40+60+100+300)</f>
        <v>20.29366580469565</v>
      </c>
      <c r="AC432" s="45">
        <f>(M432*'RAP TEMPLATE-GAS AVAILABILITY'!O431+N432*'RAP TEMPLATE-GAS AVAILABILITY'!P431+O432*'RAP TEMPLATE-GAS AVAILABILITY'!Q431+P432*'RAP TEMPLATE-GAS AVAILABILITY'!R431)/('RAP TEMPLATE-GAS AVAILABILITY'!O431+'RAP TEMPLATE-GAS AVAILABILITY'!P431+'RAP TEMPLATE-GAS AVAILABILITY'!Q431+'RAP TEMPLATE-GAS AVAILABILITY'!R431)</f>
        <v>19.971323021582737</v>
      </c>
    </row>
    <row r="433" spans="1:29" ht="15.75" x14ac:dyDescent="0.25">
      <c r="A433" s="14">
        <v>54088</v>
      </c>
      <c r="B433" s="17">
        <f>CHOOSE(CONTROL!$C$42, 21.9309, 21.9309) * CHOOSE(CONTROL!$C$21, $C$9, 100%, $E$9)</f>
        <v>21.930900000000001</v>
      </c>
      <c r="C433" s="17">
        <f>CHOOSE(CONTROL!$C$42, 21.936, 21.936) * CHOOSE(CONTROL!$C$21, $C$9, 100%, $E$9)</f>
        <v>21.936</v>
      </c>
      <c r="D433" s="17">
        <f>CHOOSE(CONTROL!$C$42, 22.0544, 22.0544) * CHOOSE(CONTROL!$C$21, $C$9, 100%, $E$9)</f>
        <v>22.054400000000001</v>
      </c>
      <c r="E433" s="17">
        <f>CHOOSE(CONTROL!$C$42, 22.0885, 22.0885) * CHOOSE(CONTROL!$C$21, $C$9, 100%, $E$9)</f>
        <v>22.0885</v>
      </c>
      <c r="F433" s="17">
        <f>CHOOSE(CONTROL!$C$42, 21.9513, 21.9513)*CHOOSE(CONTROL!$C$21, $C$9, 100%, $E$9)</f>
        <v>21.9513</v>
      </c>
      <c r="G433" s="17">
        <f>CHOOSE(CONTROL!$C$42, 21.9681, 21.9681)*CHOOSE(CONTROL!$C$21, $C$9, 100%, $E$9)</f>
        <v>21.9681</v>
      </c>
      <c r="H433" s="17">
        <f>CHOOSE(CONTROL!$C$42, 22.0777, 22.0777) * CHOOSE(CONTROL!$C$21, $C$9, 100%, $E$9)</f>
        <v>22.0777</v>
      </c>
      <c r="I433" s="17">
        <f>CHOOSE(CONTROL!$C$42, 22.0232, 22.0232)* CHOOSE(CONTROL!$C$21, $C$9, 100%, $E$9)</f>
        <v>22.023199999999999</v>
      </c>
      <c r="J433" s="17">
        <f>CHOOSE(CONTROL!$C$42, 21.9443, 21.9443)* CHOOSE(CONTROL!$C$21, $C$9, 100%, $E$9)</f>
        <v>21.944299999999998</v>
      </c>
      <c r="K433" s="52">
        <f>CHOOSE(CONTROL!$C$42, 22.019, 22.019) * CHOOSE(CONTROL!$C$21, $C$9, 100%, $E$9)</f>
        <v>22.018999999999998</v>
      </c>
      <c r="L433" s="17">
        <f>CHOOSE(CONTROL!$C$42, 22.6647, 22.6647) * CHOOSE(CONTROL!$C$21, $C$9, 100%, $E$9)</f>
        <v>22.6647</v>
      </c>
      <c r="M433" s="17">
        <f>CHOOSE(CONTROL!$C$42, 21.5573, 21.5573) * CHOOSE(CONTROL!$C$21, $C$9, 100%, $E$9)</f>
        <v>21.557300000000001</v>
      </c>
      <c r="N433" s="17">
        <f>CHOOSE(CONTROL!$C$42, 21.5738, 21.5738) * CHOOSE(CONTROL!$C$21, $C$9, 100%, $E$9)</f>
        <v>21.573799999999999</v>
      </c>
      <c r="O433" s="17">
        <f>CHOOSE(CONTROL!$C$42, 21.6883, 21.6883) * CHOOSE(CONTROL!$C$21, $C$9, 100%, $E$9)</f>
        <v>21.688300000000002</v>
      </c>
      <c r="P433" s="17">
        <f>CHOOSE(CONTROL!$C$42, 21.6336, 21.6336) * CHOOSE(CONTROL!$C$21, $C$9, 100%, $E$9)</f>
        <v>21.633600000000001</v>
      </c>
      <c r="Q433" s="17">
        <f>CHOOSE(CONTROL!$C$42, 22.283, 22.283) * CHOOSE(CONTROL!$C$21, $C$9, 100%, $E$9)</f>
        <v>22.283000000000001</v>
      </c>
      <c r="R433" s="17">
        <f>CHOOSE(CONTROL!$C$42, 22.9257, 22.9257) * CHOOSE(CONTROL!$C$21, $C$9, 100%, $E$9)</f>
        <v>22.925699999999999</v>
      </c>
      <c r="S433" s="17">
        <f>CHOOSE(CONTROL!$C$42, 21.0649, 21.0649) * CHOOSE(CONTROL!$C$21, $C$9, 100%, $E$9)</f>
        <v>21.064900000000002</v>
      </c>
      <c r="T43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33" s="56">
        <f>(1000*CHOOSE(CONTROL!$C$42, 695, 695)*CHOOSE(CONTROL!$C$42, 0.5599, 0.5599)*CHOOSE(CONTROL!$C$42, 31, 31))/1000000</f>
        <v>12.063045499999998</v>
      </c>
      <c r="V433" s="56">
        <f>(1000*CHOOSE(CONTROL!$C$42, 500, 500)*CHOOSE(CONTROL!$C$42, 0.275, 0.275)*CHOOSE(CONTROL!$C$42, 31, 31))/1000000</f>
        <v>4.2625000000000002</v>
      </c>
      <c r="W433" s="56">
        <f>(1000*CHOOSE(CONTROL!$C$42, 0.1146, 0.1146)*CHOOSE(CONTROL!$C$42, 121.5, 121.5)*CHOOSE(CONTROL!$C$42, 31, 31))/1000000</f>
        <v>0.43164089999999994</v>
      </c>
      <c r="X433" s="56">
        <f>(31*0.2374*100000/1000000)</f>
        <v>0.73594000000000004</v>
      </c>
      <c r="Y433" s="56"/>
      <c r="Z433" s="17"/>
      <c r="AA433" s="55"/>
      <c r="AB433" s="48">
        <f>(B433*122.58+C433*297.941+D433*89.177+E433*140.302+F433*40+G433*60+H433*0+I433*100+J433*300)/(122.58+297.941+89.177+140.302+0+40+60+100+300)</f>
        <v>21.975197785913043</v>
      </c>
      <c r="AC433" s="45">
        <f>(M433*'RAP TEMPLATE-GAS AVAILABILITY'!O432+N433*'RAP TEMPLATE-GAS AVAILABILITY'!P432+O433*'RAP TEMPLATE-GAS AVAILABILITY'!Q432+P433*'RAP TEMPLATE-GAS AVAILABILITY'!R432)/('RAP TEMPLATE-GAS AVAILABILITY'!O432+'RAP TEMPLATE-GAS AVAILABILITY'!P432+'RAP TEMPLATE-GAS AVAILABILITY'!Q432+'RAP TEMPLATE-GAS AVAILABILITY'!R432)</f>
        <v>21.628602158273385</v>
      </c>
    </row>
    <row r="434" spans="1:29" ht="15.75" x14ac:dyDescent="0.25">
      <c r="A434" s="14">
        <v>54116</v>
      </c>
      <c r="B434" s="17">
        <f>CHOOSE(CONTROL!$C$42, 22.3212, 22.3212) * CHOOSE(CONTROL!$C$21, $C$9, 100%, $E$9)</f>
        <v>22.321200000000001</v>
      </c>
      <c r="C434" s="17">
        <f>CHOOSE(CONTROL!$C$42, 22.3262, 22.3262) * CHOOSE(CONTROL!$C$21, $C$9, 100%, $E$9)</f>
        <v>22.3262</v>
      </c>
      <c r="D434" s="17">
        <f>CHOOSE(CONTROL!$C$42, 22.4447, 22.4447) * CHOOSE(CONTROL!$C$21, $C$9, 100%, $E$9)</f>
        <v>22.444700000000001</v>
      </c>
      <c r="E434" s="17">
        <f>CHOOSE(CONTROL!$C$42, 22.4788, 22.4788) * CHOOSE(CONTROL!$C$21, $C$9, 100%, $E$9)</f>
        <v>22.4788</v>
      </c>
      <c r="F434" s="17">
        <f>CHOOSE(CONTROL!$C$42, 22.3415, 22.3415)*CHOOSE(CONTROL!$C$21, $C$9, 100%, $E$9)</f>
        <v>22.3415</v>
      </c>
      <c r="G434" s="17">
        <f>CHOOSE(CONTROL!$C$42, 22.3583, 22.3583)*CHOOSE(CONTROL!$C$21, $C$9, 100%, $E$9)</f>
        <v>22.3583</v>
      </c>
      <c r="H434" s="17">
        <f>CHOOSE(CONTROL!$C$42, 22.468, 22.468) * CHOOSE(CONTROL!$C$21, $C$9, 100%, $E$9)</f>
        <v>22.468</v>
      </c>
      <c r="I434" s="17">
        <f>CHOOSE(CONTROL!$C$42, 22.4147, 22.4147)* CHOOSE(CONTROL!$C$21, $C$9, 100%, $E$9)</f>
        <v>22.4147</v>
      </c>
      <c r="J434" s="17">
        <f>CHOOSE(CONTROL!$C$42, 22.3345, 22.3345)* CHOOSE(CONTROL!$C$21, $C$9, 100%, $E$9)</f>
        <v>22.334499999999998</v>
      </c>
      <c r="K434" s="52">
        <f>CHOOSE(CONTROL!$C$42, 22.4104, 22.4104) * CHOOSE(CONTROL!$C$21, $C$9, 100%, $E$9)</f>
        <v>22.410399999999999</v>
      </c>
      <c r="L434" s="17">
        <f>CHOOSE(CONTROL!$C$42, 23.055, 23.055) * CHOOSE(CONTROL!$C$21, $C$9, 100%, $E$9)</f>
        <v>23.055</v>
      </c>
      <c r="M434" s="17">
        <f>CHOOSE(CONTROL!$C$42, 21.9405, 21.9405) * CHOOSE(CONTROL!$C$21, $C$9, 100%, $E$9)</f>
        <v>21.9405</v>
      </c>
      <c r="N434" s="17">
        <f>CHOOSE(CONTROL!$C$42, 21.957, 21.957) * CHOOSE(CONTROL!$C$21, $C$9, 100%, $E$9)</f>
        <v>21.957000000000001</v>
      </c>
      <c r="O434" s="17">
        <f>CHOOSE(CONTROL!$C$42, 22.0715, 22.0715) * CHOOSE(CONTROL!$C$21, $C$9, 100%, $E$9)</f>
        <v>22.0715</v>
      </c>
      <c r="P434" s="17">
        <f>CHOOSE(CONTROL!$C$42, 22.018, 22.018) * CHOOSE(CONTROL!$C$21, $C$9, 100%, $E$9)</f>
        <v>22.018000000000001</v>
      </c>
      <c r="Q434" s="17">
        <f>CHOOSE(CONTROL!$C$42, 22.6662, 22.6662) * CHOOSE(CONTROL!$C$21, $C$9, 100%, $E$9)</f>
        <v>22.6662</v>
      </c>
      <c r="R434" s="17">
        <f>CHOOSE(CONTROL!$C$42, 23.3099, 23.3099) * CHOOSE(CONTROL!$C$21, $C$9, 100%, $E$9)</f>
        <v>23.309899999999999</v>
      </c>
      <c r="S434" s="17">
        <f>CHOOSE(CONTROL!$C$42, 21.4399, 21.4399) * CHOOSE(CONTROL!$C$21, $C$9, 100%, $E$9)</f>
        <v>21.439900000000002</v>
      </c>
      <c r="T434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434" s="56">
        <f>(1000*CHOOSE(CONTROL!$C$42, 695, 695)*CHOOSE(CONTROL!$C$42, 0.5599, 0.5599)*CHOOSE(CONTROL!$C$42, 29, 29))/1000000</f>
        <v>11.284784499999999</v>
      </c>
      <c r="V434" s="56">
        <f>(1000*CHOOSE(CONTROL!$C$42, 500, 500)*CHOOSE(CONTROL!$C$42, 0.275, 0.275)*CHOOSE(CONTROL!$C$42, 29, 29))/1000000</f>
        <v>3.9874999999999998</v>
      </c>
      <c r="W434" s="56">
        <f>(1000*CHOOSE(CONTROL!$C$42, 0.1146, 0.1146)*CHOOSE(CONTROL!$C$42, 121.5, 121.5)*CHOOSE(CONTROL!$C$42, 29, 29))/1000000</f>
        <v>0.40379309999999996</v>
      </c>
      <c r="X434" s="56">
        <f>(29*0.2374*100000/1000000)</f>
        <v>0.68845999999999996</v>
      </c>
      <c r="Y434" s="56"/>
      <c r="Z434" s="17"/>
      <c r="AA434" s="55"/>
      <c r="AB434" s="48">
        <f>(B434*122.58+C434*297.941+D434*89.177+E434*140.302+F434*40+G434*60+H434*0+I434*100+J434*300)/(122.58+297.941+89.177+140.302+0+40+60+100+300)</f>
        <v>22.365541443217388</v>
      </c>
      <c r="AC434" s="45">
        <f>(M434*'RAP TEMPLATE-GAS AVAILABILITY'!O433+N434*'RAP TEMPLATE-GAS AVAILABILITY'!P433+O434*'RAP TEMPLATE-GAS AVAILABILITY'!Q433+P434*'RAP TEMPLATE-GAS AVAILABILITY'!R433)/('RAP TEMPLATE-GAS AVAILABILITY'!O433+'RAP TEMPLATE-GAS AVAILABILITY'!P433+'RAP TEMPLATE-GAS AVAILABILITY'!Q433+'RAP TEMPLATE-GAS AVAILABILITY'!R433)</f>
        <v>22.011974820143884</v>
      </c>
    </row>
    <row r="435" spans="1:29" ht="15.75" x14ac:dyDescent="0.25">
      <c r="A435" s="14">
        <v>54148</v>
      </c>
      <c r="B435" s="17">
        <f>CHOOSE(CONTROL!$C$42, 21.6877, 21.6877) * CHOOSE(CONTROL!$C$21, $C$9, 100%, $E$9)</f>
        <v>21.6877</v>
      </c>
      <c r="C435" s="17">
        <f>CHOOSE(CONTROL!$C$42, 21.6928, 21.6928) * CHOOSE(CONTROL!$C$21, $C$9, 100%, $E$9)</f>
        <v>21.692799999999998</v>
      </c>
      <c r="D435" s="17">
        <f>CHOOSE(CONTROL!$C$42, 21.8112, 21.8112) * CHOOSE(CONTROL!$C$21, $C$9, 100%, $E$9)</f>
        <v>21.811199999999999</v>
      </c>
      <c r="E435" s="17">
        <f>CHOOSE(CONTROL!$C$42, 21.8453, 21.8453) * CHOOSE(CONTROL!$C$21, $C$9, 100%, $E$9)</f>
        <v>21.845300000000002</v>
      </c>
      <c r="F435" s="17">
        <f>CHOOSE(CONTROL!$C$42, 21.7074, 21.7074)*CHOOSE(CONTROL!$C$21, $C$9, 100%, $E$9)</f>
        <v>21.7074</v>
      </c>
      <c r="G435" s="17">
        <f>CHOOSE(CONTROL!$C$42, 21.7241, 21.7241)*CHOOSE(CONTROL!$C$21, $C$9, 100%, $E$9)</f>
        <v>21.7241</v>
      </c>
      <c r="H435" s="17">
        <f>CHOOSE(CONTROL!$C$42, 21.8345, 21.8345) * CHOOSE(CONTROL!$C$21, $C$9, 100%, $E$9)</f>
        <v>21.834499999999998</v>
      </c>
      <c r="I435" s="17">
        <f>CHOOSE(CONTROL!$C$42, 21.7792, 21.7792)* CHOOSE(CONTROL!$C$21, $C$9, 100%, $E$9)</f>
        <v>21.779199999999999</v>
      </c>
      <c r="J435" s="17">
        <f>CHOOSE(CONTROL!$C$42, 21.7004, 21.7004)* CHOOSE(CONTROL!$C$21, $C$9, 100%, $E$9)</f>
        <v>21.700399999999998</v>
      </c>
      <c r="K435" s="52">
        <f>CHOOSE(CONTROL!$C$42, 21.775, 21.775) * CHOOSE(CONTROL!$C$21, $C$9, 100%, $E$9)</f>
        <v>21.774999999999999</v>
      </c>
      <c r="L435" s="17">
        <f>CHOOSE(CONTROL!$C$42, 22.4215, 22.4215) * CHOOSE(CONTROL!$C$21, $C$9, 100%, $E$9)</f>
        <v>22.421500000000002</v>
      </c>
      <c r="M435" s="17">
        <f>CHOOSE(CONTROL!$C$42, 21.3178, 21.3178) * CHOOSE(CONTROL!$C$21, $C$9, 100%, $E$9)</f>
        <v>21.317799999999998</v>
      </c>
      <c r="N435" s="17">
        <f>CHOOSE(CONTROL!$C$42, 21.3341, 21.3341) * CHOOSE(CONTROL!$C$21, $C$9, 100%, $E$9)</f>
        <v>21.334099999999999</v>
      </c>
      <c r="O435" s="17">
        <f>CHOOSE(CONTROL!$C$42, 21.4495, 21.4495) * CHOOSE(CONTROL!$C$21, $C$9, 100%, $E$9)</f>
        <v>21.4495</v>
      </c>
      <c r="P435" s="17">
        <f>CHOOSE(CONTROL!$C$42, 21.3941, 21.3941) * CHOOSE(CONTROL!$C$21, $C$9, 100%, $E$9)</f>
        <v>21.394100000000002</v>
      </c>
      <c r="Q435" s="17">
        <f>CHOOSE(CONTROL!$C$42, 22.0442, 22.0442) * CHOOSE(CONTROL!$C$21, $C$9, 100%, $E$9)</f>
        <v>22.0442</v>
      </c>
      <c r="R435" s="17">
        <f>CHOOSE(CONTROL!$C$42, 22.6863, 22.6863) * CHOOSE(CONTROL!$C$21, $C$9, 100%, $E$9)</f>
        <v>22.686299999999999</v>
      </c>
      <c r="S435" s="17">
        <f>CHOOSE(CONTROL!$C$42, 20.8312, 20.8312) * CHOOSE(CONTROL!$C$21, $C$9, 100%, $E$9)</f>
        <v>20.831199999999999</v>
      </c>
      <c r="T43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35" s="56">
        <f>(1000*CHOOSE(CONTROL!$C$42, 695, 695)*CHOOSE(CONTROL!$C$42, 0.5599, 0.5599)*CHOOSE(CONTROL!$C$42, 31, 31))/1000000</f>
        <v>12.063045499999998</v>
      </c>
      <c r="V435" s="56">
        <f>(1000*CHOOSE(CONTROL!$C$42, 500, 500)*CHOOSE(CONTROL!$C$42, 0.275, 0.275)*CHOOSE(CONTROL!$C$42, 31, 31))/1000000</f>
        <v>4.2625000000000002</v>
      </c>
      <c r="W435" s="56">
        <f>(1000*CHOOSE(CONTROL!$C$42, 0.1146, 0.1146)*CHOOSE(CONTROL!$C$42, 121.5, 121.5)*CHOOSE(CONTROL!$C$42, 31, 31))/1000000</f>
        <v>0.43164089999999994</v>
      </c>
      <c r="X435" s="56">
        <f>(31*0.2374*100000/1000000)</f>
        <v>0.73594000000000004</v>
      </c>
      <c r="Y435" s="56"/>
      <c r="Z435" s="17"/>
      <c r="AA435" s="55"/>
      <c r="AB435" s="48">
        <f>(B435*122.58+C435*297.941+D435*89.177+E435*140.302+F435*40+G435*60+H435*0+I435*100+J435*300)/(122.58+297.941+89.177+140.302+0+40+60+100+300)</f>
        <v>21.731679525043479</v>
      </c>
      <c r="AC435" s="45">
        <f>(M435*'RAP TEMPLATE-GAS AVAILABILITY'!O434+N435*'RAP TEMPLATE-GAS AVAILABILITY'!P434+O435*'RAP TEMPLATE-GAS AVAILABILITY'!Q434+P435*'RAP TEMPLATE-GAS AVAILABILITY'!R434)/('RAP TEMPLATE-GAS AVAILABILITY'!O434+'RAP TEMPLATE-GAS AVAILABILITY'!P434+'RAP TEMPLATE-GAS AVAILABILITY'!Q434+'RAP TEMPLATE-GAS AVAILABILITY'!R434)</f>
        <v>21.389407913669068</v>
      </c>
    </row>
    <row r="436" spans="1:29" ht="15.75" x14ac:dyDescent="0.25">
      <c r="A436" s="14">
        <v>54178</v>
      </c>
      <c r="B436" s="17">
        <f>CHOOSE(CONTROL!$C$42, 21.6238, 21.6238) * CHOOSE(CONTROL!$C$21, $C$9, 100%, $E$9)</f>
        <v>21.623799999999999</v>
      </c>
      <c r="C436" s="17">
        <f>CHOOSE(CONTROL!$C$42, 21.6283, 21.6283) * CHOOSE(CONTROL!$C$21, $C$9, 100%, $E$9)</f>
        <v>21.628299999999999</v>
      </c>
      <c r="D436" s="17">
        <f>CHOOSE(CONTROL!$C$42, 21.9025, 21.9025) * CHOOSE(CONTROL!$C$21, $C$9, 100%, $E$9)</f>
        <v>21.9025</v>
      </c>
      <c r="E436" s="17">
        <f>CHOOSE(CONTROL!$C$42, 21.9346, 21.9346) * CHOOSE(CONTROL!$C$21, $C$9, 100%, $E$9)</f>
        <v>21.9346</v>
      </c>
      <c r="F436" s="17">
        <f>CHOOSE(CONTROL!$C$42, 21.6431, 21.6431)*CHOOSE(CONTROL!$C$21, $C$9, 100%, $E$9)</f>
        <v>21.6431</v>
      </c>
      <c r="G436" s="17">
        <f>CHOOSE(CONTROL!$C$42, 21.6595, 21.6595)*CHOOSE(CONTROL!$C$21, $C$9, 100%, $E$9)</f>
        <v>21.659500000000001</v>
      </c>
      <c r="H436" s="17">
        <f>CHOOSE(CONTROL!$C$42, 21.9244, 21.9244) * CHOOSE(CONTROL!$C$21, $C$9, 100%, $E$9)</f>
        <v>21.924399999999999</v>
      </c>
      <c r="I436" s="17">
        <f>CHOOSE(CONTROL!$C$42, 21.7128, 21.7128)* CHOOSE(CONTROL!$C$21, $C$9, 100%, $E$9)</f>
        <v>21.712800000000001</v>
      </c>
      <c r="J436" s="17">
        <f>CHOOSE(CONTROL!$C$42, 21.6361, 21.6361)* CHOOSE(CONTROL!$C$21, $C$9, 100%, $E$9)</f>
        <v>21.636099999999999</v>
      </c>
      <c r="K436" s="52">
        <f>CHOOSE(CONTROL!$C$42, 21.7086, 21.7086) * CHOOSE(CONTROL!$C$21, $C$9, 100%, $E$9)</f>
        <v>21.708600000000001</v>
      </c>
      <c r="L436" s="17">
        <f>CHOOSE(CONTROL!$C$42, 22.5114, 22.5114) * CHOOSE(CONTROL!$C$21, $C$9, 100%, $E$9)</f>
        <v>22.511399999999998</v>
      </c>
      <c r="M436" s="17">
        <f>CHOOSE(CONTROL!$C$42, 21.2547, 21.2547) * CHOOSE(CONTROL!$C$21, $C$9, 100%, $E$9)</f>
        <v>21.2547</v>
      </c>
      <c r="N436" s="17">
        <f>CHOOSE(CONTROL!$C$42, 21.2707, 21.2707) * CHOOSE(CONTROL!$C$21, $C$9, 100%, $E$9)</f>
        <v>21.270700000000001</v>
      </c>
      <c r="O436" s="17">
        <f>CHOOSE(CONTROL!$C$42, 21.5377, 21.5377) * CHOOSE(CONTROL!$C$21, $C$9, 100%, $E$9)</f>
        <v>21.537700000000001</v>
      </c>
      <c r="P436" s="17">
        <f>CHOOSE(CONTROL!$C$42, 21.3288, 21.3288) * CHOOSE(CONTROL!$C$21, $C$9, 100%, $E$9)</f>
        <v>21.328800000000001</v>
      </c>
      <c r="Q436" s="17">
        <f>CHOOSE(CONTROL!$C$42, 22.1324, 22.1324) * CHOOSE(CONTROL!$C$21, $C$9, 100%, $E$9)</f>
        <v>22.132400000000001</v>
      </c>
      <c r="R436" s="17">
        <f>CHOOSE(CONTROL!$C$42, 22.7748, 22.7748) * CHOOSE(CONTROL!$C$21, $C$9, 100%, $E$9)</f>
        <v>22.774799999999999</v>
      </c>
      <c r="S436" s="17">
        <f>CHOOSE(CONTROL!$C$42, 20.769, 20.769) * CHOOSE(CONTROL!$C$21, $C$9, 100%, $E$9)</f>
        <v>20.768999999999998</v>
      </c>
      <c r="T43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36" s="56">
        <f>(1000*CHOOSE(CONTROL!$C$42, 695, 695)*CHOOSE(CONTROL!$C$42, 0.5599, 0.5599)*CHOOSE(CONTROL!$C$42, 30, 30))/1000000</f>
        <v>11.673914999999997</v>
      </c>
      <c r="V436" s="56">
        <f>(1000*CHOOSE(CONTROL!$C$42, 500, 500)*CHOOSE(CONTROL!$C$42, 0.275, 0.275)*CHOOSE(CONTROL!$C$42, 30, 30))/1000000</f>
        <v>4.125</v>
      </c>
      <c r="W436" s="56">
        <f>(1000*CHOOSE(CONTROL!$C$42, 0.1146, 0.1146)*CHOOSE(CONTROL!$C$42, 121.5, 121.5)*CHOOSE(CONTROL!$C$42, 30, 30))/1000000</f>
        <v>0.417717</v>
      </c>
      <c r="X436" s="56">
        <f>(30*0.1790888*145000/1000000)+(30*0.2374*100000/1000000)</f>
        <v>1.4912362799999999</v>
      </c>
      <c r="Y436" s="56"/>
      <c r="Z436" s="17"/>
      <c r="AA436" s="55"/>
      <c r="AB436" s="48">
        <f>(B436*141.293+C436*267.993+D436*115.016+E436*189.698+F436*40+G436*85+H436*0+I436*100+J436*300)/(141.293+267.993+115.016+189.698+0+40+85+100+300)</f>
        <v>21.71146389515738</v>
      </c>
      <c r="AC436" s="45">
        <f>(M436*'RAP TEMPLATE-GAS AVAILABILITY'!O435+N436*'RAP TEMPLATE-GAS AVAILABILITY'!P435+O436*'RAP TEMPLATE-GAS AVAILABILITY'!Q435+P436*'RAP TEMPLATE-GAS AVAILABILITY'!R435)/('RAP TEMPLATE-GAS AVAILABILITY'!O435+'RAP TEMPLATE-GAS AVAILABILITY'!P435+'RAP TEMPLATE-GAS AVAILABILITY'!Q435+'RAP TEMPLATE-GAS AVAILABILITY'!R435)</f>
        <v>21.348448201438849</v>
      </c>
    </row>
    <row r="437" spans="1:29" ht="15.75" x14ac:dyDescent="0.25">
      <c r="A437" s="14">
        <v>54209</v>
      </c>
      <c r="B437" s="17">
        <f>CHOOSE(CONTROL!$C$42, 21.816, 21.816) * CHOOSE(CONTROL!$C$21, $C$9, 100%, $E$9)</f>
        <v>21.815999999999999</v>
      </c>
      <c r="C437" s="17">
        <f>CHOOSE(CONTROL!$C$42, 21.824, 21.824) * CHOOSE(CONTROL!$C$21, $C$9, 100%, $E$9)</f>
        <v>21.824000000000002</v>
      </c>
      <c r="D437" s="17">
        <f>CHOOSE(CONTROL!$C$42, 22.0951, 22.0951) * CHOOSE(CONTROL!$C$21, $C$9, 100%, $E$9)</f>
        <v>22.095099999999999</v>
      </c>
      <c r="E437" s="17">
        <f>CHOOSE(CONTROL!$C$42, 22.1265, 22.1265) * CHOOSE(CONTROL!$C$21, $C$9, 100%, $E$9)</f>
        <v>22.1265</v>
      </c>
      <c r="F437" s="17">
        <f>CHOOSE(CONTROL!$C$42, 21.8341, 21.8341)*CHOOSE(CONTROL!$C$21, $C$9, 100%, $E$9)</f>
        <v>21.834099999999999</v>
      </c>
      <c r="G437" s="17">
        <f>CHOOSE(CONTROL!$C$42, 21.8508, 21.8508)*CHOOSE(CONTROL!$C$21, $C$9, 100%, $E$9)</f>
        <v>21.8508</v>
      </c>
      <c r="H437" s="17">
        <f>CHOOSE(CONTROL!$C$42, 22.1151, 22.1151) * CHOOSE(CONTROL!$C$21, $C$9, 100%, $E$9)</f>
        <v>22.115100000000002</v>
      </c>
      <c r="I437" s="17">
        <f>CHOOSE(CONTROL!$C$42, 21.9042, 21.9042)* CHOOSE(CONTROL!$C$21, $C$9, 100%, $E$9)</f>
        <v>21.904199999999999</v>
      </c>
      <c r="J437" s="17">
        <f>CHOOSE(CONTROL!$C$42, 21.8271, 21.8271)* CHOOSE(CONTROL!$C$21, $C$9, 100%, $E$9)</f>
        <v>21.827100000000002</v>
      </c>
      <c r="K437" s="52">
        <f>CHOOSE(CONTROL!$C$42, 21.8999, 21.8999) * CHOOSE(CONTROL!$C$21, $C$9, 100%, $E$9)</f>
        <v>21.899899999999999</v>
      </c>
      <c r="L437" s="17">
        <f>CHOOSE(CONTROL!$C$42, 22.7021, 22.7021) * CHOOSE(CONTROL!$C$21, $C$9, 100%, $E$9)</f>
        <v>22.702100000000002</v>
      </c>
      <c r="M437" s="17">
        <f>CHOOSE(CONTROL!$C$42, 21.4422, 21.4422) * CHOOSE(CONTROL!$C$21, $C$9, 100%, $E$9)</f>
        <v>21.4422</v>
      </c>
      <c r="N437" s="17">
        <f>CHOOSE(CONTROL!$C$42, 21.4586, 21.4586) * CHOOSE(CONTROL!$C$21, $C$9, 100%, $E$9)</f>
        <v>21.458600000000001</v>
      </c>
      <c r="O437" s="17">
        <f>CHOOSE(CONTROL!$C$42, 21.7251, 21.7251) * CHOOSE(CONTROL!$C$21, $C$9, 100%, $E$9)</f>
        <v>21.725100000000001</v>
      </c>
      <c r="P437" s="17">
        <f>CHOOSE(CONTROL!$C$42, 21.5167, 21.5167) * CHOOSE(CONTROL!$C$21, $C$9, 100%, $E$9)</f>
        <v>21.5167</v>
      </c>
      <c r="Q437" s="17">
        <f>CHOOSE(CONTROL!$C$42, 22.3198, 22.3198) * CHOOSE(CONTROL!$C$21, $C$9, 100%, $E$9)</f>
        <v>22.319800000000001</v>
      </c>
      <c r="R437" s="17">
        <f>CHOOSE(CONTROL!$C$42, 22.9626, 22.9626) * CHOOSE(CONTROL!$C$21, $C$9, 100%, $E$9)</f>
        <v>22.962599999999998</v>
      </c>
      <c r="S437" s="17">
        <f>CHOOSE(CONTROL!$C$42, 20.9523, 20.9523) * CHOOSE(CONTROL!$C$21, $C$9, 100%, $E$9)</f>
        <v>20.952300000000001</v>
      </c>
      <c r="T43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37" s="56">
        <f>(1000*CHOOSE(CONTROL!$C$42, 695, 695)*CHOOSE(CONTROL!$C$42, 0.5599, 0.5599)*CHOOSE(CONTROL!$C$42, 31, 31))/1000000</f>
        <v>12.063045499999998</v>
      </c>
      <c r="V437" s="56">
        <f>(1000*CHOOSE(CONTROL!$C$42, 500, 500)*CHOOSE(CONTROL!$C$42, 0.275, 0.275)*CHOOSE(CONTROL!$C$42, 31, 31))/1000000</f>
        <v>4.2625000000000002</v>
      </c>
      <c r="W437" s="56">
        <f>(1000*CHOOSE(CONTROL!$C$42, 0.1146, 0.1146)*CHOOSE(CONTROL!$C$42, 121.5, 121.5)*CHOOSE(CONTROL!$C$42, 31, 31))/1000000</f>
        <v>0.43164089999999994</v>
      </c>
      <c r="X437" s="56">
        <f>(31*0.1790888*145000/1000000)+(31*0.2374*100000/1000000)</f>
        <v>1.5409441560000001</v>
      </c>
      <c r="Y437" s="56"/>
      <c r="Z437" s="17"/>
      <c r="AA437" s="55"/>
      <c r="AB437" s="48">
        <f>(B437*194.205+C437*267.466+D437*133.845+E437*153.484+F437*40+G437*85+H437*0+I437*100+J437*300)/(194.205+267.466+133.845+153.484+0+40+85+100+300)</f>
        <v>21.896835674646784</v>
      </c>
      <c r="AC437" s="45">
        <f>(M437*'RAP TEMPLATE-GAS AVAILABILITY'!O436+N437*'RAP TEMPLATE-GAS AVAILABILITY'!P436+O437*'RAP TEMPLATE-GAS AVAILABILITY'!Q436+P437*'RAP TEMPLATE-GAS AVAILABILITY'!R436)/('RAP TEMPLATE-GAS AVAILABILITY'!O436+'RAP TEMPLATE-GAS AVAILABILITY'!P436+'RAP TEMPLATE-GAS AVAILABILITY'!Q436+'RAP TEMPLATE-GAS AVAILABILITY'!R436)</f>
        <v>21.536069784172664</v>
      </c>
    </row>
    <row r="438" spans="1:29" ht="15.75" x14ac:dyDescent="0.25">
      <c r="A438" s="14">
        <v>54239</v>
      </c>
      <c r="B438" s="17">
        <f>CHOOSE(CONTROL!$C$42, 22.4345, 22.4345) * CHOOSE(CONTROL!$C$21, $C$9, 100%, $E$9)</f>
        <v>22.4345</v>
      </c>
      <c r="C438" s="17">
        <f>CHOOSE(CONTROL!$C$42, 22.4425, 22.4425) * CHOOSE(CONTROL!$C$21, $C$9, 100%, $E$9)</f>
        <v>22.442499999999999</v>
      </c>
      <c r="D438" s="17">
        <f>CHOOSE(CONTROL!$C$42, 22.7136, 22.7136) * CHOOSE(CONTROL!$C$21, $C$9, 100%, $E$9)</f>
        <v>22.7136</v>
      </c>
      <c r="E438" s="17">
        <f>CHOOSE(CONTROL!$C$42, 22.745, 22.745) * CHOOSE(CONTROL!$C$21, $C$9, 100%, $E$9)</f>
        <v>22.745000000000001</v>
      </c>
      <c r="F438" s="17">
        <f>CHOOSE(CONTROL!$C$42, 22.4529, 22.4529)*CHOOSE(CONTROL!$C$21, $C$9, 100%, $E$9)</f>
        <v>22.4529</v>
      </c>
      <c r="G438" s="17">
        <f>CHOOSE(CONTROL!$C$42, 22.4696, 22.4696)*CHOOSE(CONTROL!$C$21, $C$9, 100%, $E$9)</f>
        <v>22.4696</v>
      </c>
      <c r="H438" s="17">
        <f>CHOOSE(CONTROL!$C$42, 22.7337, 22.7337) * CHOOSE(CONTROL!$C$21, $C$9, 100%, $E$9)</f>
        <v>22.733699999999999</v>
      </c>
      <c r="I438" s="17">
        <f>CHOOSE(CONTROL!$C$42, 22.5246, 22.5246)* CHOOSE(CONTROL!$C$21, $C$9, 100%, $E$9)</f>
        <v>22.5246</v>
      </c>
      <c r="J438" s="17">
        <f>CHOOSE(CONTROL!$C$42, 22.4459, 22.4459)* CHOOSE(CONTROL!$C$21, $C$9, 100%, $E$9)</f>
        <v>22.445900000000002</v>
      </c>
      <c r="K438" s="52">
        <f>CHOOSE(CONTROL!$C$42, 22.5204, 22.5204) * CHOOSE(CONTROL!$C$21, $C$9, 100%, $E$9)</f>
        <v>22.520399999999999</v>
      </c>
      <c r="L438" s="17">
        <f>CHOOSE(CONTROL!$C$42, 23.3207, 23.3207) * CHOOSE(CONTROL!$C$21, $C$9, 100%, $E$9)</f>
        <v>23.320699999999999</v>
      </c>
      <c r="M438" s="17">
        <f>CHOOSE(CONTROL!$C$42, 22.0499, 22.0499) * CHOOSE(CONTROL!$C$21, $C$9, 100%, $E$9)</f>
        <v>22.049900000000001</v>
      </c>
      <c r="N438" s="17">
        <f>CHOOSE(CONTROL!$C$42, 22.0663, 22.0663) * CHOOSE(CONTROL!$C$21, $C$9, 100%, $E$9)</f>
        <v>22.066299999999998</v>
      </c>
      <c r="O438" s="17">
        <f>CHOOSE(CONTROL!$C$42, 22.3324, 22.3324) * CHOOSE(CONTROL!$C$21, $C$9, 100%, $E$9)</f>
        <v>22.3324</v>
      </c>
      <c r="P438" s="17">
        <f>CHOOSE(CONTROL!$C$42, 22.126, 22.126) * CHOOSE(CONTROL!$C$21, $C$9, 100%, $E$9)</f>
        <v>22.126000000000001</v>
      </c>
      <c r="Q438" s="17">
        <f>CHOOSE(CONTROL!$C$42, 22.9271, 22.9271) * CHOOSE(CONTROL!$C$21, $C$9, 100%, $E$9)</f>
        <v>22.927099999999999</v>
      </c>
      <c r="R438" s="17">
        <f>CHOOSE(CONTROL!$C$42, 23.5715, 23.5715) * CHOOSE(CONTROL!$C$21, $C$9, 100%, $E$9)</f>
        <v>23.5715</v>
      </c>
      <c r="S438" s="17">
        <f>CHOOSE(CONTROL!$C$42, 21.5466, 21.5466) * CHOOSE(CONTROL!$C$21, $C$9, 100%, $E$9)</f>
        <v>21.546600000000002</v>
      </c>
      <c r="T43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38" s="56">
        <f>(1000*CHOOSE(CONTROL!$C$42, 695, 695)*CHOOSE(CONTROL!$C$42, 0.5599, 0.5599)*CHOOSE(CONTROL!$C$42, 30, 30))/1000000</f>
        <v>11.673914999999997</v>
      </c>
      <c r="V438" s="56">
        <f>(1000*CHOOSE(CONTROL!$C$42, 500, 500)*CHOOSE(CONTROL!$C$42, 0.275, 0.275)*CHOOSE(CONTROL!$C$42, 30, 30))/1000000</f>
        <v>4.125</v>
      </c>
      <c r="W438" s="56">
        <f>(1000*CHOOSE(CONTROL!$C$42, 0.1146, 0.1146)*CHOOSE(CONTROL!$C$42, 121.5, 121.5)*CHOOSE(CONTROL!$C$42, 30, 30))/1000000</f>
        <v>0.417717</v>
      </c>
      <c r="X438" s="56">
        <f>(30*0.1790888*145000/1000000)+(30*0.2374*100000/1000000)</f>
        <v>1.4912362799999999</v>
      </c>
      <c r="Y438" s="56"/>
      <c r="Z438" s="17"/>
      <c r="AA438" s="55"/>
      <c r="AB438" s="48">
        <f>(B438*194.205+C438*267.466+D438*133.845+E438*153.484+F438*40+G438*85+H438*0+I438*100+J438*300)/(194.205+267.466+133.845+153.484+0+40+85+100+300)</f>
        <v>22.515584889717424</v>
      </c>
      <c r="AC438" s="45">
        <f>(M438*'RAP TEMPLATE-GAS AVAILABILITY'!O437+N438*'RAP TEMPLATE-GAS AVAILABILITY'!P437+O438*'RAP TEMPLATE-GAS AVAILABILITY'!Q437+P438*'RAP TEMPLATE-GAS AVAILABILITY'!R437)/('RAP TEMPLATE-GAS AVAILABILITY'!O437+'RAP TEMPLATE-GAS AVAILABILITY'!P437+'RAP TEMPLATE-GAS AVAILABILITY'!Q437+'RAP TEMPLATE-GAS AVAILABILITY'!R437)</f>
        <v>22.143887769784175</v>
      </c>
    </row>
    <row r="439" spans="1:29" ht="15.75" x14ac:dyDescent="0.25">
      <c r="A439" s="14">
        <v>54270</v>
      </c>
      <c r="B439" s="17">
        <f>CHOOSE(CONTROL!$C$42, 22.0043, 22.0043) * CHOOSE(CONTROL!$C$21, $C$9, 100%, $E$9)</f>
        <v>22.004300000000001</v>
      </c>
      <c r="C439" s="17">
        <f>CHOOSE(CONTROL!$C$42, 22.0123, 22.0123) * CHOOSE(CONTROL!$C$21, $C$9, 100%, $E$9)</f>
        <v>22.0123</v>
      </c>
      <c r="D439" s="17">
        <f>CHOOSE(CONTROL!$C$42, 22.2834, 22.2834) * CHOOSE(CONTROL!$C$21, $C$9, 100%, $E$9)</f>
        <v>22.2834</v>
      </c>
      <c r="E439" s="17">
        <f>CHOOSE(CONTROL!$C$42, 22.3148, 22.3148) * CHOOSE(CONTROL!$C$21, $C$9, 100%, $E$9)</f>
        <v>22.314800000000002</v>
      </c>
      <c r="F439" s="17">
        <f>CHOOSE(CONTROL!$C$42, 22.0232, 22.0232)*CHOOSE(CONTROL!$C$21, $C$9, 100%, $E$9)</f>
        <v>22.023199999999999</v>
      </c>
      <c r="G439" s="17">
        <f>CHOOSE(CONTROL!$C$42, 22.04, 22.04)*CHOOSE(CONTROL!$C$21, $C$9, 100%, $E$9)</f>
        <v>22.04</v>
      </c>
      <c r="H439" s="17">
        <f>CHOOSE(CONTROL!$C$42, 22.3035, 22.3035) * CHOOSE(CONTROL!$C$21, $C$9, 100%, $E$9)</f>
        <v>22.3035</v>
      </c>
      <c r="I439" s="17">
        <f>CHOOSE(CONTROL!$C$42, 22.0931, 22.0931)* CHOOSE(CONTROL!$C$21, $C$9, 100%, $E$9)</f>
        <v>22.0931</v>
      </c>
      <c r="J439" s="17">
        <f>CHOOSE(CONTROL!$C$42, 22.0162, 22.0162)* CHOOSE(CONTROL!$C$21, $C$9, 100%, $E$9)</f>
        <v>22.016200000000001</v>
      </c>
      <c r="K439" s="52">
        <f>CHOOSE(CONTROL!$C$42, 22.0889, 22.0889) * CHOOSE(CONTROL!$C$21, $C$9, 100%, $E$9)</f>
        <v>22.088899999999999</v>
      </c>
      <c r="L439" s="17">
        <f>CHOOSE(CONTROL!$C$42, 22.8905, 22.8905) * CHOOSE(CONTROL!$C$21, $C$9, 100%, $E$9)</f>
        <v>22.890499999999999</v>
      </c>
      <c r="M439" s="17">
        <f>CHOOSE(CONTROL!$C$42, 21.6279, 21.6279) * CHOOSE(CONTROL!$C$21, $C$9, 100%, $E$9)</f>
        <v>21.6279</v>
      </c>
      <c r="N439" s="17">
        <f>CHOOSE(CONTROL!$C$42, 21.6444, 21.6444) * CHOOSE(CONTROL!$C$21, $C$9, 100%, $E$9)</f>
        <v>21.644400000000001</v>
      </c>
      <c r="O439" s="17">
        <f>CHOOSE(CONTROL!$C$42, 21.91, 21.91) * CHOOSE(CONTROL!$C$21, $C$9, 100%, $E$9)</f>
        <v>21.91</v>
      </c>
      <c r="P439" s="17">
        <f>CHOOSE(CONTROL!$C$42, 21.7022, 21.7022) * CHOOSE(CONTROL!$C$21, $C$9, 100%, $E$9)</f>
        <v>21.702200000000001</v>
      </c>
      <c r="Q439" s="17">
        <f>CHOOSE(CONTROL!$C$42, 22.5047, 22.5047) * CHOOSE(CONTROL!$C$21, $C$9, 100%, $E$9)</f>
        <v>22.5047</v>
      </c>
      <c r="R439" s="17">
        <f>CHOOSE(CONTROL!$C$42, 23.148, 23.148) * CHOOSE(CONTROL!$C$21, $C$9, 100%, $E$9)</f>
        <v>23.148</v>
      </c>
      <c r="S439" s="17">
        <f>CHOOSE(CONTROL!$C$42, 21.1333, 21.1333) * CHOOSE(CONTROL!$C$21, $C$9, 100%, $E$9)</f>
        <v>21.133299999999998</v>
      </c>
      <c r="T43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39" s="56">
        <f>(1000*CHOOSE(CONTROL!$C$42, 695, 695)*CHOOSE(CONTROL!$C$42, 0.5599, 0.5599)*CHOOSE(CONTROL!$C$42, 31, 31))/1000000</f>
        <v>12.063045499999998</v>
      </c>
      <c r="V439" s="56">
        <f>(1000*CHOOSE(CONTROL!$C$42, 500, 500)*CHOOSE(CONTROL!$C$42, 0.275, 0.275)*CHOOSE(CONTROL!$C$42, 31, 31))/1000000</f>
        <v>4.2625000000000002</v>
      </c>
      <c r="W439" s="56">
        <f>(1000*CHOOSE(CONTROL!$C$42, 0.1146, 0.1146)*CHOOSE(CONTROL!$C$42, 121.5, 121.5)*CHOOSE(CONTROL!$C$42, 31, 31))/1000000</f>
        <v>0.43164089999999994</v>
      </c>
      <c r="X439" s="56">
        <f>(31*0.1790888*145000/1000000)+(31*0.2374*100000/1000000)</f>
        <v>1.5409441560000001</v>
      </c>
      <c r="Y439" s="56"/>
      <c r="Z439" s="17"/>
      <c r="AA439" s="55"/>
      <c r="AB439" s="48">
        <f>(B439*194.205+C439*267.466+D439*133.845+E439*153.484+F439*40+G439*85+H439*0+I439*100+J439*300)/(194.205+267.466+133.845+153.484+0+40+85+100+300)</f>
        <v>22.085456318288859</v>
      </c>
      <c r="AC439" s="45">
        <f>(M439*'RAP TEMPLATE-GAS AVAILABILITY'!O438+N439*'RAP TEMPLATE-GAS AVAILABILITY'!P438+O439*'RAP TEMPLATE-GAS AVAILABILITY'!Q438+P439*'RAP TEMPLATE-GAS AVAILABILITY'!R438)/('RAP TEMPLATE-GAS AVAILABILITY'!O438+'RAP TEMPLATE-GAS AVAILABILITY'!P438+'RAP TEMPLATE-GAS AVAILABILITY'!Q438+'RAP TEMPLATE-GAS AVAILABILITY'!R438)</f>
        <v>21.721539568345325</v>
      </c>
    </row>
    <row r="440" spans="1:29" ht="15.75" x14ac:dyDescent="0.25">
      <c r="A440" s="14">
        <v>54301</v>
      </c>
      <c r="B440" s="17">
        <f>CHOOSE(CONTROL!$C$42, 20.918, 20.918) * CHOOSE(CONTROL!$C$21, $C$9, 100%, $E$9)</f>
        <v>20.917999999999999</v>
      </c>
      <c r="C440" s="17">
        <f>CHOOSE(CONTROL!$C$42, 20.926, 20.926) * CHOOSE(CONTROL!$C$21, $C$9, 100%, $E$9)</f>
        <v>20.925999999999998</v>
      </c>
      <c r="D440" s="17">
        <f>CHOOSE(CONTROL!$C$42, 21.1971, 21.1971) * CHOOSE(CONTROL!$C$21, $C$9, 100%, $E$9)</f>
        <v>21.197099999999999</v>
      </c>
      <c r="E440" s="17">
        <f>CHOOSE(CONTROL!$C$42, 21.2285, 21.2285) * CHOOSE(CONTROL!$C$21, $C$9, 100%, $E$9)</f>
        <v>21.2285</v>
      </c>
      <c r="F440" s="17">
        <f>CHOOSE(CONTROL!$C$42, 20.9371, 20.9371)*CHOOSE(CONTROL!$C$21, $C$9, 100%, $E$9)</f>
        <v>20.937100000000001</v>
      </c>
      <c r="G440" s="17">
        <f>CHOOSE(CONTROL!$C$42, 20.954, 20.954)*CHOOSE(CONTROL!$C$21, $C$9, 100%, $E$9)</f>
        <v>20.954000000000001</v>
      </c>
      <c r="H440" s="17">
        <f>CHOOSE(CONTROL!$C$42, 21.2172, 21.2172) * CHOOSE(CONTROL!$C$21, $C$9, 100%, $E$9)</f>
        <v>21.217199999999998</v>
      </c>
      <c r="I440" s="17">
        <f>CHOOSE(CONTROL!$C$42, 21.0034, 21.0034)* CHOOSE(CONTROL!$C$21, $C$9, 100%, $E$9)</f>
        <v>21.003399999999999</v>
      </c>
      <c r="J440" s="17">
        <f>CHOOSE(CONTROL!$C$42, 20.9301, 20.9301)* CHOOSE(CONTROL!$C$21, $C$9, 100%, $E$9)</f>
        <v>20.930099999999999</v>
      </c>
      <c r="K440" s="52">
        <f>CHOOSE(CONTROL!$C$42, 20.9991, 20.9991) * CHOOSE(CONTROL!$C$21, $C$9, 100%, $E$9)</f>
        <v>20.999099999999999</v>
      </c>
      <c r="L440" s="17">
        <f>CHOOSE(CONTROL!$C$42, 21.8042, 21.8042) * CHOOSE(CONTROL!$C$21, $C$9, 100%, $E$9)</f>
        <v>21.804200000000002</v>
      </c>
      <c r="M440" s="17">
        <f>CHOOSE(CONTROL!$C$42, 20.5613, 20.5613) * CHOOSE(CONTROL!$C$21, $C$9, 100%, $E$9)</f>
        <v>20.561299999999999</v>
      </c>
      <c r="N440" s="17">
        <f>CHOOSE(CONTROL!$C$42, 20.5779, 20.5779) * CHOOSE(CONTROL!$C$21, $C$9, 100%, $E$9)</f>
        <v>20.5779</v>
      </c>
      <c r="O440" s="17">
        <f>CHOOSE(CONTROL!$C$42, 20.8432, 20.8432) * CHOOSE(CONTROL!$C$21, $C$9, 100%, $E$9)</f>
        <v>20.8432</v>
      </c>
      <c r="P440" s="17">
        <f>CHOOSE(CONTROL!$C$42, 20.6322, 20.6322) * CHOOSE(CONTROL!$C$21, $C$9, 100%, $E$9)</f>
        <v>20.632200000000001</v>
      </c>
      <c r="Q440" s="17">
        <f>CHOOSE(CONTROL!$C$42, 21.4379, 21.4379) * CHOOSE(CONTROL!$C$21, $C$9, 100%, $E$9)</f>
        <v>21.437899999999999</v>
      </c>
      <c r="R440" s="17">
        <f>CHOOSE(CONTROL!$C$42, 22.0785, 22.0785) * CHOOSE(CONTROL!$C$21, $C$9, 100%, $E$9)</f>
        <v>22.078499999999998</v>
      </c>
      <c r="S440" s="17">
        <f>CHOOSE(CONTROL!$C$42, 20.0895, 20.0895) * CHOOSE(CONTROL!$C$21, $C$9, 100%, $E$9)</f>
        <v>20.089500000000001</v>
      </c>
      <c r="T44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40" s="56">
        <f>(1000*CHOOSE(CONTROL!$C$42, 695, 695)*CHOOSE(CONTROL!$C$42, 0.5599, 0.5599)*CHOOSE(CONTROL!$C$42, 31, 31))/1000000</f>
        <v>12.063045499999998</v>
      </c>
      <c r="V440" s="56">
        <f>(1000*CHOOSE(CONTROL!$C$42, 500, 500)*CHOOSE(CONTROL!$C$42, 0.275, 0.275)*CHOOSE(CONTROL!$C$42, 31, 31))/1000000</f>
        <v>4.2625000000000002</v>
      </c>
      <c r="W440" s="56">
        <f>(1000*CHOOSE(CONTROL!$C$42, 0.1146, 0.1146)*CHOOSE(CONTROL!$C$42, 121.5, 121.5)*CHOOSE(CONTROL!$C$42, 31, 31))/1000000</f>
        <v>0.43164089999999994</v>
      </c>
      <c r="X440" s="56">
        <f>(31*0.1790888*145000/1000000)+(31*0.2374*100000/1000000)</f>
        <v>1.5409441560000001</v>
      </c>
      <c r="Y440" s="56"/>
      <c r="Z440" s="17"/>
      <c r="AA440" s="55"/>
      <c r="AB440" s="48">
        <f>(B440*194.205+C440*267.466+D440*133.845+E440*153.484+F440*40+G440*85+H440*0+I440*100+J440*300)/(194.205+267.466+133.845+153.484+0+40+85+100+300)</f>
        <v>20.998962833202508</v>
      </c>
      <c r="AC440" s="45">
        <f>(M440*'RAP TEMPLATE-GAS AVAILABILITY'!O439+N440*'RAP TEMPLATE-GAS AVAILABILITY'!P439+O440*'RAP TEMPLATE-GAS AVAILABILITY'!Q439+P440*'RAP TEMPLATE-GAS AVAILABILITY'!R439)/('RAP TEMPLATE-GAS AVAILABILITY'!O439+'RAP TEMPLATE-GAS AVAILABILITY'!P439+'RAP TEMPLATE-GAS AVAILABILITY'!Q439+'RAP TEMPLATE-GAS AVAILABILITY'!R439)</f>
        <v>20.65441726618705</v>
      </c>
    </row>
    <row r="441" spans="1:29" ht="15.75" x14ac:dyDescent="0.25">
      <c r="A441" s="14">
        <v>54331</v>
      </c>
      <c r="B441" s="17">
        <f>CHOOSE(CONTROL!$C$42, 19.5905, 19.5905) * CHOOSE(CONTROL!$C$21, $C$9, 100%, $E$9)</f>
        <v>19.590499999999999</v>
      </c>
      <c r="C441" s="17">
        <f>CHOOSE(CONTROL!$C$42, 19.5985, 19.5985) * CHOOSE(CONTROL!$C$21, $C$9, 100%, $E$9)</f>
        <v>19.598500000000001</v>
      </c>
      <c r="D441" s="17">
        <f>CHOOSE(CONTROL!$C$42, 19.8696, 19.8696) * CHOOSE(CONTROL!$C$21, $C$9, 100%, $E$9)</f>
        <v>19.869599999999998</v>
      </c>
      <c r="E441" s="17">
        <f>CHOOSE(CONTROL!$C$42, 19.901, 19.901) * CHOOSE(CONTROL!$C$21, $C$9, 100%, $E$9)</f>
        <v>19.901</v>
      </c>
      <c r="F441" s="17">
        <f>CHOOSE(CONTROL!$C$42, 19.6097, 19.6097)*CHOOSE(CONTROL!$C$21, $C$9, 100%, $E$9)</f>
        <v>19.6097</v>
      </c>
      <c r="G441" s="17">
        <f>CHOOSE(CONTROL!$C$42, 19.6266, 19.6266)*CHOOSE(CONTROL!$C$21, $C$9, 100%, $E$9)</f>
        <v>19.6266</v>
      </c>
      <c r="H441" s="17">
        <f>CHOOSE(CONTROL!$C$42, 19.8897, 19.8897) * CHOOSE(CONTROL!$C$21, $C$9, 100%, $E$9)</f>
        <v>19.889700000000001</v>
      </c>
      <c r="I441" s="17">
        <f>CHOOSE(CONTROL!$C$42, 19.6717, 19.6717)* CHOOSE(CONTROL!$C$21, $C$9, 100%, $E$9)</f>
        <v>19.671700000000001</v>
      </c>
      <c r="J441" s="17">
        <f>CHOOSE(CONTROL!$C$42, 19.6027, 19.6027)* CHOOSE(CONTROL!$C$21, $C$9, 100%, $E$9)</f>
        <v>19.602699999999999</v>
      </c>
      <c r="K441" s="52">
        <f>CHOOSE(CONTROL!$C$42, 19.6675, 19.6675) * CHOOSE(CONTROL!$C$21, $C$9, 100%, $E$9)</f>
        <v>19.6675</v>
      </c>
      <c r="L441" s="17">
        <f>CHOOSE(CONTROL!$C$42, 20.4767, 20.4767) * CHOOSE(CONTROL!$C$21, $C$9, 100%, $E$9)</f>
        <v>20.476700000000001</v>
      </c>
      <c r="M441" s="17">
        <f>CHOOSE(CONTROL!$C$42, 19.2578, 19.2578) * CHOOSE(CONTROL!$C$21, $C$9, 100%, $E$9)</f>
        <v>19.2578</v>
      </c>
      <c r="N441" s="17">
        <f>CHOOSE(CONTROL!$C$42, 19.2744, 19.2744) * CHOOSE(CONTROL!$C$21, $C$9, 100%, $E$9)</f>
        <v>19.2744</v>
      </c>
      <c r="O441" s="17">
        <f>CHOOSE(CONTROL!$C$42, 19.5396, 19.5396) * CHOOSE(CONTROL!$C$21, $C$9, 100%, $E$9)</f>
        <v>19.5396</v>
      </c>
      <c r="P441" s="17">
        <f>CHOOSE(CONTROL!$C$42, 19.3245, 19.3245) * CHOOSE(CONTROL!$C$21, $C$9, 100%, $E$9)</f>
        <v>19.3245</v>
      </c>
      <c r="Q441" s="17">
        <f>CHOOSE(CONTROL!$C$42, 20.1343, 20.1343) * CHOOSE(CONTROL!$C$21, $C$9, 100%, $E$9)</f>
        <v>20.1343</v>
      </c>
      <c r="R441" s="17">
        <f>CHOOSE(CONTROL!$C$42, 20.7716, 20.7716) * CHOOSE(CONTROL!$C$21, $C$9, 100%, $E$9)</f>
        <v>20.771599999999999</v>
      </c>
      <c r="S441" s="17">
        <f>CHOOSE(CONTROL!$C$42, 18.8139, 18.8139) * CHOOSE(CONTROL!$C$21, $C$9, 100%, $E$9)</f>
        <v>18.8139</v>
      </c>
      <c r="T44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41" s="56">
        <f>(1000*CHOOSE(CONTROL!$C$42, 695, 695)*CHOOSE(CONTROL!$C$42, 0.5599, 0.5599)*CHOOSE(CONTROL!$C$42, 30, 30))/1000000</f>
        <v>11.673914999999997</v>
      </c>
      <c r="V441" s="56">
        <f>(1000*CHOOSE(CONTROL!$C$42, 500, 500)*CHOOSE(CONTROL!$C$42, 0.275, 0.275)*CHOOSE(CONTROL!$C$42, 30, 30))/1000000</f>
        <v>4.125</v>
      </c>
      <c r="W441" s="56">
        <f>(1000*CHOOSE(CONTROL!$C$42, 0.1146, 0.1146)*CHOOSE(CONTROL!$C$42, 121.5, 121.5)*CHOOSE(CONTROL!$C$42, 30, 30))/1000000</f>
        <v>0.417717</v>
      </c>
      <c r="X441" s="56">
        <f>(30*0.1790888*145000/1000000)+(30*0.2374*100000/1000000)</f>
        <v>1.4912362799999999</v>
      </c>
      <c r="Y441" s="56"/>
      <c r="Z441" s="17"/>
      <c r="AA441" s="55"/>
      <c r="AB441" s="48">
        <f>(B441*194.205+C441*267.466+D441*133.845+E441*153.484+F441*40+G441*85+H441*0+I441*100+J441*300)/(194.205+267.466+133.845+153.484+0+40+85+100+300)</f>
        <v>19.671166522370488</v>
      </c>
      <c r="AC441" s="45">
        <f>(M441*'RAP TEMPLATE-GAS AVAILABILITY'!O440+N441*'RAP TEMPLATE-GAS AVAILABILITY'!P440+O441*'RAP TEMPLATE-GAS AVAILABILITY'!Q440+P441*'RAP TEMPLATE-GAS AVAILABILITY'!R440)/('RAP TEMPLATE-GAS AVAILABILITY'!O440+'RAP TEMPLATE-GAS AVAILABILITY'!P440+'RAP TEMPLATE-GAS AVAILABILITY'!Q440+'RAP TEMPLATE-GAS AVAILABILITY'!R440)</f>
        <v>19.350284892086332</v>
      </c>
    </row>
    <row r="442" spans="1:29" ht="15.75" x14ac:dyDescent="0.25">
      <c r="A442" s="14">
        <v>54362</v>
      </c>
      <c r="B442" s="17">
        <f>CHOOSE(CONTROL!$C$42, 19.1912, 19.1912) * CHOOSE(CONTROL!$C$21, $C$9, 100%, $E$9)</f>
        <v>19.191199999999998</v>
      </c>
      <c r="C442" s="17">
        <f>CHOOSE(CONTROL!$C$42, 19.1965, 19.1965) * CHOOSE(CONTROL!$C$21, $C$9, 100%, $E$9)</f>
        <v>19.1965</v>
      </c>
      <c r="D442" s="17">
        <f>CHOOSE(CONTROL!$C$42, 19.4725, 19.4725) * CHOOSE(CONTROL!$C$21, $C$9, 100%, $E$9)</f>
        <v>19.4725</v>
      </c>
      <c r="E442" s="17">
        <f>CHOOSE(CONTROL!$C$42, 19.5017, 19.5017) * CHOOSE(CONTROL!$C$21, $C$9, 100%, $E$9)</f>
        <v>19.5017</v>
      </c>
      <c r="F442" s="17">
        <f>CHOOSE(CONTROL!$C$42, 19.2126, 19.2126)*CHOOSE(CONTROL!$C$21, $C$9, 100%, $E$9)</f>
        <v>19.212599999999998</v>
      </c>
      <c r="G442" s="17">
        <f>CHOOSE(CONTROL!$C$42, 19.2294, 19.2294)*CHOOSE(CONTROL!$C$21, $C$9, 100%, $E$9)</f>
        <v>19.229399999999998</v>
      </c>
      <c r="H442" s="17">
        <f>CHOOSE(CONTROL!$C$42, 19.4921, 19.4921) * CHOOSE(CONTROL!$C$21, $C$9, 100%, $E$9)</f>
        <v>19.492100000000001</v>
      </c>
      <c r="I442" s="17">
        <f>CHOOSE(CONTROL!$C$42, 19.2729, 19.2729)* CHOOSE(CONTROL!$C$21, $C$9, 100%, $E$9)</f>
        <v>19.2729</v>
      </c>
      <c r="J442" s="17">
        <f>CHOOSE(CONTROL!$C$42, 19.2056, 19.2056)* CHOOSE(CONTROL!$C$21, $C$9, 100%, $E$9)</f>
        <v>19.2056</v>
      </c>
      <c r="K442" s="52">
        <f>CHOOSE(CONTROL!$C$42, 19.2687, 19.2687) * CHOOSE(CONTROL!$C$21, $C$9, 100%, $E$9)</f>
        <v>19.268699999999999</v>
      </c>
      <c r="L442" s="17">
        <f>CHOOSE(CONTROL!$C$42, 20.0791, 20.0791) * CHOOSE(CONTROL!$C$21, $C$9, 100%, $E$9)</f>
        <v>20.0791</v>
      </c>
      <c r="M442" s="17">
        <f>CHOOSE(CONTROL!$C$42, 18.8678, 18.8678) * CHOOSE(CONTROL!$C$21, $C$9, 100%, $E$9)</f>
        <v>18.867799999999999</v>
      </c>
      <c r="N442" s="17">
        <f>CHOOSE(CONTROL!$C$42, 18.8843, 18.8843) * CHOOSE(CONTROL!$C$21, $C$9, 100%, $E$9)</f>
        <v>18.8843</v>
      </c>
      <c r="O442" s="17">
        <f>CHOOSE(CONTROL!$C$42, 19.1492, 19.1492) * CHOOSE(CONTROL!$C$21, $C$9, 100%, $E$9)</f>
        <v>19.1492</v>
      </c>
      <c r="P442" s="17">
        <f>CHOOSE(CONTROL!$C$42, 18.933, 18.933) * CHOOSE(CONTROL!$C$21, $C$9, 100%, $E$9)</f>
        <v>18.933</v>
      </c>
      <c r="Q442" s="17">
        <f>CHOOSE(CONTROL!$C$42, 19.7439, 19.7439) * CHOOSE(CONTROL!$C$21, $C$9, 100%, $E$9)</f>
        <v>19.7439</v>
      </c>
      <c r="R442" s="17">
        <f>CHOOSE(CONTROL!$C$42, 20.3803, 20.3803) * CHOOSE(CONTROL!$C$21, $C$9, 100%, $E$9)</f>
        <v>20.380299999999998</v>
      </c>
      <c r="S442" s="17">
        <f>CHOOSE(CONTROL!$C$42, 18.4319, 18.4319) * CHOOSE(CONTROL!$C$21, $C$9, 100%, $E$9)</f>
        <v>18.431899999999999</v>
      </c>
      <c r="T44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42" s="56">
        <f>(1000*CHOOSE(CONTROL!$C$42, 695, 695)*CHOOSE(CONTROL!$C$42, 0.5599, 0.5599)*CHOOSE(CONTROL!$C$42, 31, 31))/1000000</f>
        <v>12.063045499999998</v>
      </c>
      <c r="V442" s="56">
        <f>(1000*CHOOSE(CONTROL!$C$42, 500, 500)*CHOOSE(CONTROL!$C$42, 0.275, 0.275)*CHOOSE(CONTROL!$C$42, 31, 31))/1000000</f>
        <v>4.2625000000000002</v>
      </c>
      <c r="W442" s="56">
        <f>(1000*CHOOSE(CONTROL!$C$42, 0.1146, 0.1146)*CHOOSE(CONTROL!$C$42, 121.5, 121.5)*CHOOSE(CONTROL!$C$42, 31, 31))/1000000</f>
        <v>0.43164089999999994</v>
      </c>
      <c r="X442" s="56">
        <f>(31*0.1790888*145000/1000000)+(31*0.2374*100000/1000000)</f>
        <v>1.5409441560000001</v>
      </c>
      <c r="Y442" s="56"/>
      <c r="Z442" s="17"/>
      <c r="AA442" s="55"/>
      <c r="AB442" s="48">
        <f>(B442*131.881+C442*277.167+D442*79.08+E442*225.872+F442*40+G442*85+H442*0+I442*100+J442*300)/(131.881+277.167+79.08+225.872+0+40+85+100+300)</f>
        <v>19.280336759564168</v>
      </c>
      <c r="AC442" s="45">
        <f>(M442*'RAP TEMPLATE-GAS AVAILABILITY'!O441+N442*'RAP TEMPLATE-GAS AVAILABILITY'!P441+O442*'RAP TEMPLATE-GAS AVAILABILITY'!Q441+P442*'RAP TEMPLATE-GAS AVAILABILITY'!R441)/('RAP TEMPLATE-GAS AVAILABILITY'!O441+'RAP TEMPLATE-GAS AVAILABILITY'!P441+'RAP TEMPLATE-GAS AVAILABILITY'!Q441+'RAP TEMPLATE-GAS AVAILABILITY'!R441)</f>
        <v>18.95993381294964</v>
      </c>
    </row>
    <row r="443" spans="1:29" ht="15.75" x14ac:dyDescent="0.25">
      <c r="A443" s="14">
        <v>54392</v>
      </c>
      <c r="B443" s="17">
        <f>CHOOSE(CONTROL!$C$42, 19.6961, 19.6961) * CHOOSE(CONTROL!$C$21, $C$9, 100%, $E$9)</f>
        <v>19.696100000000001</v>
      </c>
      <c r="C443" s="17">
        <f>CHOOSE(CONTROL!$C$42, 19.7012, 19.7012) * CHOOSE(CONTROL!$C$21, $C$9, 100%, $E$9)</f>
        <v>19.7012</v>
      </c>
      <c r="D443" s="17">
        <f>CHOOSE(CONTROL!$C$42, 19.7962, 19.7962) * CHOOSE(CONTROL!$C$21, $C$9, 100%, $E$9)</f>
        <v>19.796199999999999</v>
      </c>
      <c r="E443" s="17">
        <f>CHOOSE(CONTROL!$C$42, 19.8303, 19.8303) * CHOOSE(CONTROL!$C$21, $C$9, 100%, $E$9)</f>
        <v>19.830300000000001</v>
      </c>
      <c r="F443" s="17">
        <f>CHOOSE(CONTROL!$C$42, 19.72, 19.72)*CHOOSE(CONTROL!$C$21, $C$9, 100%, $E$9)</f>
        <v>19.72</v>
      </c>
      <c r="G443" s="17">
        <f>CHOOSE(CONTROL!$C$42, 19.7371, 19.7371)*CHOOSE(CONTROL!$C$21, $C$9, 100%, $E$9)</f>
        <v>19.737100000000002</v>
      </c>
      <c r="H443" s="17">
        <f>CHOOSE(CONTROL!$C$42, 19.8195, 19.8195) * CHOOSE(CONTROL!$C$21, $C$9, 100%, $E$9)</f>
        <v>19.819500000000001</v>
      </c>
      <c r="I443" s="17">
        <f>CHOOSE(CONTROL!$C$42, 19.7777, 19.7777)* CHOOSE(CONTROL!$C$21, $C$9, 100%, $E$9)</f>
        <v>19.777699999999999</v>
      </c>
      <c r="J443" s="17">
        <f>CHOOSE(CONTROL!$C$42, 19.713, 19.713)* CHOOSE(CONTROL!$C$21, $C$9, 100%, $E$9)</f>
        <v>19.713000000000001</v>
      </c>
      <c r="K443" s="52">
        <f>CHOOSE(CONTROL!$C$42, 19.7735, 19.7735) * CHOOSE(CONTROL!$C$21, $C$9, 100%, $E$9)</f>
        <v>19.773499999999999</v>
      </c>
      <c r="L443" s="17">
        <f>CHOOSE(CONTROL!$C$42, 20.4065, 20.4065) * CHOOSE(CONTROL!$C$21, $C$9, 100%, $E$9)</f>
        <v>20.406500000000001</v>
      </c>
      <c r="M443" s="17">
        <f>CHOOSE(CONTROL!$C$42, 19.3661, 19.3661) * CHOOSE(CONTROL!$C$21, $C$9, 100%, $E$9)</f>
        <v>19.366099999999999</v>
      </c>
      <c r="N443" s="17">
        <f>CHOOSE(CONTROL!$C$42, 19.3829, 19.3829) * CHOOSE(CONTROL!$C$21, $C$9, 100%, $E$9)</f>
        <v>19.382899999999999</v>
      </c>
      <c r="O443" s="17">
        <f>CHOOSE(CONTROL!$C$42, 19.4707, 19.4707) * CHOOSE(CONTROL!$C$21, $C$9, 100%, $E$9)</f>
        <v>19.470700000000001</v>
      </c>
      <c r="P443" s="17">
        <f>CHOOSE(CONTROL!$C$42, 19.4287, 19.4287) * CHOOSE(CONTROL!$C$21, $C$9, 100%, $E$9)</f>
        <v>19.428699999999999</v>
      </c>
      <c r="Q443" s="17">
        <f>CHOOSE(CONTROL!$C$42, 20.0654, 20.0654) * CHOOSE(CONTROL!$C$21, $C$9, 100%, $E$9)</f>
        <v>20.0654</v>
      </c>
      <c r="R443" s="17">
        <f>CHOOSE(CONTROL!$C$42, 20.7026, 20.7026) * CHOOSE(CONTROL!$C$21, $C$9, 100%, $E$9)</f>
        <v>20.7026</v>
      </c>
      <c r="S443" s="17">
        <f>CHOOSE(CONTROL!$C$42, 18.9174, 18.9174) * CHOOSE(CONTROL!$C$21, $C$9, 100%, $E$9)</f>
        <v>18.917400000000001</v>
      </c>
      <c r="T44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43" s="56">
        <f>(1000*CHOOSE(CONTROL!$C$42, 695, 695)*CHOOSE(CONTROL!$C$42, 0.5599, 0.5599)*CHOOSE(CONTROL!$C$42, 30, 30))/1000000</f>
        <v>11.673914999999997</v>
      </c>
      <c r="V443" s="56">
        <f>(1000*CHOOSE(CONTROL!$C$42, 500, 500)*CHOOSE(CONTROL!$C$42, 0.275, 0.275)*CHOOSE(CONTROL!$C$42, 30, 30))/1000000</f>
        <v>4.125</v>
      </c>
      <c r="W443" s="56">
        <f>(1000*CHOOSE(CONTROL!$C$42, 0.1146, 0.1146)*CHOOSE(CONTROL!$C$42, 121.5, 121.5)*CHOOSE(CONTROL!$C$42, 30, 30))/1000000</f>
        <v>0.417717</v>
      </c>
      <c r="X443" s="56">
        <f>(30*0.2374*100000/1000000)</f>
        <v>0.71220000000000006</v>
      </c>
      <c r="Y443" s="56"/>
      <c r="Z443" s="17"/>
      <c r="AA443" s="55"/>
      <c r="AB443" s="48">
        <f>(B443*122.58+C443*297.941+D443*89.177+E443*140.302+F443*40+G443*60+H443*0+I443*100+J443*300)/(122.58+297.941+89.177+140.302+0+40+60+100+300)</f>
        <v>19.736030995826088</v>
      </c>
      <c r="AC443" s="45">
        <f>(M443*'RAP TEMPLATE-GAS AVAILABILITY'!O442+N443*'RAP TEMPLATE-GAS AVAILABILITY'!P442+O443*'RAP TEMPLATE-GAS AVAILABILITY'!Q442+P443*'RAP TEMPLATE-GAS AVAILABILITY'!R442)/('RAP TEMPLATE-GAS AVAILABILITY'!O442+'RAP TEMPLATE-GAS AVAILABILITY'!P442+'RAP TEMPLATE-GAS AVAILABILITY'!Q442+'RAP TEMPLATE-GAS AVAILABILITY'!R442)</f>
        <v>19.423482733812946</v>
      </c>
    </row>
    <row r="444" spans="1:29" ht="15.75" x14ac:dyDescent="0.25">
      <c r="A444" s="14">
        <v>54423</v>
      </c>
      <c r="B444" s="17">
        <f>CHOOSE(CONTROL!$C$42, 21.0383, 21.0383) * CHOOSE(CONTROL!$C$21, $C$9, 100%, $E$9)</f>
        <v>21.0383</v>
      </c>
      <c r="C444" s="17">
        <f>CHOOSE(CONTROL!$C$42, 21.0434, 21.0434) * CHOOSE(CONTROL!$C$21, $C$9, 100%, $E$9)</f>
        <v>21.043399999999998</v>
      </c>
      <c r="D444" s="17">
        <f>CHOOSE(CONTROL!$C$42, 21.1384, 21.1384) * CHOOSE(CONTROL!$C$21, $C$9, 100%, $E$9)</f>
        <v>21.138400000000001</v>
      </c>
      <c r="E444" s="17">
        <f>CHOOSE(CONTROL!$C$42, 21.1725, 21.1725) * CHOOSE(CONTROL!$C$21, $C$9, 100%, $E$9)</f>
        <v>21.172499999999999</v>
      </c>
      <c r="F444" s="17">
        <f>CHOOSE(CONTROL!$C$42, 21.0646, 21.0646)*CHOOSE(CONTROL!$C$21, $C$9, 100%, $E$9)</f>
        <v>21.064599999999999</v>
      </c>
      <c r="G444" s="17">
        <f>CHOOSE(CONTROL!$C$42, 21.0822, 21.0822)*CHOOSE(CONTROL!$C$21, $C$9, 100%, $E$9)</f>
        <v>21.0822</v>
      </c>
      <c r="H444" s="17">
        <f>CHOOSE(CONTROL!$C$42, 21.1617, 21.1617) * CHOOSE(CONTROL!$C$21, $C$9, 100%, $E$9)</f>
        <v>21.1617</v>
      </c>
      <c r="I444" s="17">
        <f>CHOOSE(CONTROL!$C$42, 21.1242, 21.1242)* CHOOSE(CONTROL!$C$21, $C$9, 100%, $E$9)</f>
        <v>21.124199999999998</v>
      </c>
      <c r="J444" s="17">
        <f>CHOOSE(CONTROL!$C$42, 21.0576, 21.0576)* CHOOSE(CONTROL!$C$21, $C$9, 100%, $E$9)</f>
        <v>21.057600000000001</v>
      </c>
      <c r="K444" s="52">
        <f>CHOOSE(CONTROL!$C$42, 21.1199, 21.1199) * CHOOSE(CONTROL!$C$21, $C$9, 100%, $E$9)</f>
        <v>21.119900000000001</v>
      </c>
      <c r="L444" s="17">
        <f>CHOOSE(CONTROL!$C$42, 21.7487, 21.7487) * CHOOSE(CONTROL!$C$21, $C$9, 100%, $E$9)</f>
        <v>21.748699999999999</v>
      </c>
      <c r="M444" s="17">
        <f>CHOOSE(CONTROL!$C$42, 20.6865, 20.6865) * CHOOSE(CONTROL!$C$21, $C$9, 100%, $E$9)</f>
        <v>20.686499999999999</v>
      </c>
      <c r="N444" s="17">
        <f>CHOOSE(CONTROL!$C$42, 20.7039, 20.7039) * CHOOSE(CONTROL!$C$21, $C$9, 100%, $E$9)</f>
        <v>20.703900000000001</v>
      </c>
      <c r="O444" s="17">
        <f>CHOOSE(CONTROL!$C$42, 20.7888, 20.7888) * CHOOSE(CONTROL!$C$21, $C$9, 100%, $E$9)</f>
        <v>20.788799999999998</v>
      </c>
      <c r="P444" s="17">
        <f>CHOOSE(CONTROL!$C$42, 20.7508, 20.7508) * CHOOSE(CONTROL!$C$21, $C$9, 100%, $E$9)</f>
        <v>20.750800000000002</v>
      </c>
      <c r="Q444" s="17">
        <f>CHOOSE(CONTROL!$C$42, 21.3835, 21.3835) * CHOOSE(CONTROL!$C$21, $C$9, 100%, $E$9)</f>
        <v>21.383500000000002</v>
      </c>
      <c r="R444" s="17">
        <f>CHOOSE(CONTROL!$C$42, 22.0239, 22.0239) * CHOOSE(CONTROL!$C$21, $C$9, 100%, $E$9)</f>
        <v>22.023900000000001</v>
      </c>
      <c r="S444" s="17">
        <f>CHOOSE(CONTROL!$C$42, 20.2072, 20.2072) * CHOOSE(CONTROL!$C$21, $C$9, 100%, $E$9)</f>
        <v>20.2072</v>
      </c>
      <c r="T44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44" s="56">
        <f>(1000*CHOOSE(CONTROL!$C$42, 695, 695)*CHOOSE(CONTROL!$C$42, 0.5599, 0.5599)*CHOOSE(CONTROL!$C$42, 31, 31))/1000000</f>
        <v>12.063045499999998</v>
      </c>
      <c r="V444" s="56">
        <f>(1000*CHOOSE(CONTROL!$C$42, 500, 500)*CHOOSE(CONTROL!$C$42, 0.275, 0.275)*CHOOSE(CONTROL!$C$42, 31, 31))/1000000</f>
        <v>4.2625000000000002</v>
      </c>
      <c r="W444" s="56">
        <f>(1000*CHOOSE(CONTROL!$C$42, 0.1146, 0.1146)*CHOOSE(CONTROL!$C$42, 121.5, 121.5)*CHOOSE(CONTROL!$C$42, 31, 31))/1000000</f>
        <v>0.43164089999999994</v>
      </c>
      <c r="X444" s="56">
        <f>(31*0.2374*100000/1000000)</f>
        <v>0.73594000000000004</v>
      </c>
      <c r="Y444" s="56"/>
      <c r="Z444" s="17"/>
      <c r="AA444" s="55"/>
      <c r="AB444" s="48">
        <f>(B444*122.58+C444*297.941+D444*89.177+E444*140.302+F444*40+G444*60+H444*0+I444*100+J444*300)/(122.58+297.941+89.177+140.302+0+40+60+100+300)</f>
        <v>21.079465778434781</v>
      </c>
      <c r="AC444" s="45">
        <f>(M444*'RAP TEMPLATE-GAS AVAILABILITY'!O443+N444*'RAP TEMPLATE-GAS AVAILABILITY'!P443+O444*'RAP TEMPLATE-GAS AVAILABILITY'!Q443+P444*'RAP TEMPLATE-GAS AVAILABILITY'!R443)/('RAP TEMPLATE-GAS AVAILABILITY'!O443+'RAP TEMPLATE-GAS AVAILABILITY'!P443+'RAP TEMPLATE-GAS AVAILABILITY'!Q443+'RAP TEMPLATE-GAS AVAILABILITY'!R443)</f>
        <v>20.743119424460431</v>
      </c>
    </row>
    <row r="445" spans="1:29" ht="15.75" x14ac:dyDescent="0.25">
      <c r="A445" s="14">
        <v>54454</v>
      </c>
      <c r="B445" s="17">
        <f>CHOOSE(CONTROL!$C$42, 22.7816, 22.7816) * CHOOSE(CONTROL!$C$21, $C$9, 100%, $E$9)</f>
        <v>22.781600000000001</v>
      </c>
      <c r="C445" s="17">
        <f>CHOOSE(CONTROL!$C$42, 22.7867, 22.7867) * CHOOSE(CONTROL!$C$21, $C$9, 100%, $E$9)</f>
        <v>22.7867</v>
      </c>
      <c r="D445" s="17">
        <f>CHOOSE(CONTROL!$C$42, 22.9051, 22.9051) * CHOOSE(CONTROL!$C$21, $C$9, 100%, $E$9)</f>
        <v>22.905100000000001</v>
      </c>
      <c r="E445" s="17">
        <f>CHOOSE(CONTROL!$C$42, 22.9392, 22.9392) * CHOOSE(CONTROL!$C$21, $C$9, 100%, $E$9)</f>
        <v>22.9392</v>
      </c>
      <c r="F445" s="17">
        <f>CHOOSE(CONTROL!$C$42, 22.802, 22.802)*CHOOSE(CONTROL!$C$21, $C$9, 100%, $E$9)</f>
        <v>22.802</v>
      </c>
      <c r="G445" s="17">
        <f>CHOOSE(CONTROL!$C$42, 22.8188, 22.8188)*CHOOSE(CONTROL!$C$21, $C$9, 100%, $E$9)</f>
        <v>22.8188</v>
      </c>
      <c r="H445" s="17">
        <f>CHOOSE(CONTROL!$C$42, 22.9284, 22.9284) * CHOOSE(CONTROL!$C$21, $C$9, 100%, $E$9)</f>
        <v>22.9284</v>
      </c>
      <c r="I445" s="17">
        <f>CHOOSE(CONTROL!$C$42, 22.8766, 22.8766)* CHOOSE(CONTROL!$C$21, $C$9, 100%, $E$9)</f>
        <v>22.8766</v>
      </c>
      <c r="J445" s="17">
        <f>CHOOSE(CONTROL!$C$42, 22.795, 22.795)* CHOOSE(CONTROL!$C$21, $C$9, 100%, $E$9)</f>
        <v>22.795000000000002</v>
      </c>
      <c r="K445" s="52">
        <f>CHOOSE(CONTROL!$C$42, 22.8723, 22.8723) * CHOOSE(CONTROL!$C$21, $C$9, 100%, $E$9)</f>
        <v>22.872299999999999</v>
      </c>
      <c r="L445" s="17">
        <f>CHOOSE(CONTROL!$C$42, 23.5154, 23.5154) * CHOOSE(CONTROL!$C$21, $C$9, 100%, $E$9)</f>
        <v>23.5154</v>
      </c>
      <c r="M445" s="17">
        <f>CHOOSE(CONTROL!$C$42, 22.3927, 22.3927) * CHOOSE(CONTROL!$C$21, $C$9, 100%, $E$9)</f>
        <v>22.392700000000001</v>
      </c>
      <c r="N445" s="17">
        <f>CHOOSE(CONTROL!$C$42, 22.4092, 22.4092) * CHOOSE(CONTROL!$C$21, $C$9, 100%, $E$9)</f>
        <v>22.409199999999998</v>
      </c>
      <c r="O445" s="17">
        <f>CHOOSE(CONTROL!$C$42, 22.5237, 22.5237) * CHOOSE(CONTROL!$C$21, $C$9, 100%, $E$9)</f>
        <v>22.523700000000002</v>
      </c>
      <c r="P445" s="17">
        <f>CHOOSE(CONTROL!$C$42, 22.4716, 22.4716) * CHOOSE(CONTROL!$C$21, $C$9, 100%, $E$9)</f>
        <v>22.471599999999999</v>
      </c>
      <c r="Q445" s="17">
        <f>CHOOSE(CONTROL!$C$42, 23.1184, 23.1184) * CHOOSE(CONTROL!$C$21, $C$9, 100%, $E$9)</f>
        <v>23.118400000000001</v>
      </c>
      <c r="R445" s="17">
        <f>CHOOSE(CONTROL!$C$42, 23.7632, 23.7632) * CHOOSE(CONTROL!$C$21, $C$9, 100%, $E$9)</f>
        <v>23.763200000000001</v>
      </c>
      <c r="S445" s="17">
        <f>CHOOSE(CONTROL!$C$42, 21.8823, 21.8823) * CHOOSE(CONTROL!$C$21, $C$9, 100%, $E$9)</f>
        <v>21.882300000000001</v>
      </c>
      <c r="T44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45" s="56">
        <f>(1000*CHOOSE(CONTROL!$C$42, 695, 695)*CHOOSE(CONTROL!$C$42, 0.5599, 0.5599)*CHOOSE(CONTROL!$C$42, 31, 31))/1000000</f>
        <v>12.063045499999998</v>
      </c>
      <c r="V445" s="56">
        <f>(1000*CHOOSE(CONTROL!$C$42, 500, 500)*CHOOSE(CONTROL!$C$42, 0.275, 0.275)*CHOOSE(CONTROL!$C$42, 31, 31))/1000000</f>
        <v>4.2625000000000002</v>
      </c>
      <c r="W445" s="56">
        <f>(1000*CHOOSE(CONTROL!$C$42, 0.1146, 0.1146)*CHOOSE(CONTROL!$C$42, 121.5, 121.5)*CHOOSE(CONTROL!$C$42, 31, 31))/1000000</f>
        <v>0.43164089999999994</v>
      </c>
      <c r="X445" s="56">
        <f>(31*0.2374*100000/1000000)</f>
        <v>0.73594000000000004</v>
      </c>
      <c r="Y445" s="56"/>
      <c r="Z445" s="17"/>
      <c r="AA445" s="55"/>
      <c r="AB445" s="48">
        <f>(B445*122.58+C445*297.941+D445*89.177+E445*140.302+F445*40+G445*60+H445*0+I445*100+J445*300)/(122.58+297.941+89.177+140.302+0+40+60+100+300)</f>
        <v>22.826132568521739</v>
      </c>
      <c r="AC445" s="45">
        <f>(M445*'RAP TEMPLATE-GAS AVAILABILITY'!O444+N445*'RAP TEMPLATE-GAS AVAILABILITY'!P444+O445*'RAP TEMPLATE-GAS AVAILABILITY'!Q444+P445*'RAP TEMPLATE-GAS AVAILABILITY'!R444)/('RAP TEMPLATE-GAS AVAILABILITY'!O444+'RAP TEMPLATE-GAS AVAILABILITY'!P444+'RAP TEMPLATE-GAS AVAILABILITY'!Q444+'RAP TEMPLATE-GAS AVAILABILITY'!R444)</f>
        <v>22.464376258992807</v>
      </c>
    </row>
    <row r="446" spans="1:29" ht="15.75" x14ac:dyDescent="0.25">
      <c r="A446" s="14">
        <v>54482</v>
      </c>
      <c r="B446" s="17">
        <f>CHOOSE(CONTROL!$C$42, 23.187, 23.187) * CHOOSE(CONTROL!$C$21, $C$9, 100%, $E$9)</f>
        <v>23.187000000000001</v>
      </c>
      <c r="C446" s="17">
        <f>CHOOSE(CONTROL!$C$42, 23.192, 23.192) * CHOOSE(CONTROL!$C$21, $C$9, 100%, $E$9)</f>
        <v>23.192</v>
      </c>
      <c r="D446" s="17">
        <f>CHOOSE(CONTROL!$C$42, 23.3105, 23.3105) * CHOOSE(CONTROL!$C$21, $C$9, 100%, $E$9)</f>
        <v>23.310500000000001</v>
      </c>
      <c r="E446" s="17">
        <f>CHOOSE(CONTROL!$C$42, 23.3446, 23.3446) * CHOOSE(CONTROL!$C$21, $C$9, 100%, $E$9)</f>
        <v>23.3446</v>
      </c>
      <c r="F446" s="17">
        <f>CHOOSE(CONTROL!$C$42, 23.2074, 23.2074)*CHOOSE(CONTROL!$C$21, $C$9, 100%, $E$9)</f>
        <v>23.2074</v>
      </c>
      <c r="G446" s="17">
        <f>CHOOSE(CONTROL!$C$42, 23.2242, 23.2242)*CHOOSE(CONTROL!$C$21, $C$9, 100%, $E$9)</f>
        <v>23.2242</v>
      </c>
      <c r="H446" s="17">
        <f>CHOOSE(CONTROL!$C$42, 23.3338, 23.3338) * CHOOSE(CONTROL!$C$21, $C$9, 100%, $E$9)</f>
        <v>23.3338</v>
      </c>
      <c r="I446" s="17">
        <f>CHOOSE(CONTROL!$C$42, 23.2832, 23.2832)* CHOOSE(CONTROL!$C$21, $C$9, 100%, $E$9)</f>
        <v>23.283200000000001</v>
      </c>
      <c r="J446" s="17">
        <f>CHOOSE(CONTROL!$C$42, 23.2004, 23.2004)* CHOOSE(CONTROL!$C$21, $C$9, 100%, $E$9)</f>
        <v>23.200399999999998</v>
      </c>
      <c r="K446" s="52">
        <f>CHOOSE(CONTROL!$C$42, 23.279, 23.279) * CHOOSE(CONTROL!$C$21, $C$9, 100%, $E$9)</f>
        <v>23.279</v>
      </c>
      <c r="L446" s="17">
        <f>CHOOSE(CONTROL!$C$42, 23.9208, 23.9208) * CHOOSE(CONTROL!$C$21, $C$9, 100%, $E$9)</f>
        <v>23.9208</v>
      </c>
      <c r="M446" s="17">
        <f>CHOOSE(CONTROL!$C$42, 22.7908, 22.7908) * CHOOSE(CONTROL!$C$21, $C$9, 100%, $E$9)</f>
        <v>22.790800000000001</v>
      </c>
      <c r="N446" s="17">
        <f>CHOOSE(CONTROL!$C$42, 22.8073, 22.8073) * CHOOSE(CONTROL!$C$21, $C$9, 100%, $E$9)</f>
        <v>22.807300000000001</v>
      </c>
      <c r="O446" s="17">
        <f>CHOOSE(CONTROL!$C$42, 22.9218, 22.9218) * CHOOSE(CONTROL!$C$21, $C$9, 100%, $E$9)</f>
        <v>22.921800000000001</v>
      </c>
      <c r="P446" s="17">
        <f>CHOOSE(CONTROL!$C$42, 22.8709, 22.8709) * CHOOSE(CONTROL!$C$21, $C$9, 100%, $E$9)</f>
        <v>22.870899999999999</v>
      </c>
      <c r="Q446" s="17">
        <f>CHOOSE(CONTROL!$C$42, 23.5165, 23.5165) * CHOOSE(CONTROL!$C$21, $C$9, 100%, $E$9)</f>
        <v>23.516500000000001</v>
      </c>
      <c r="R446" s="17">
        <f>CHOOSE(CONTROL!$C$42, 24.1623, 24.1623) * CHOOSE(CONTROL!$C$21, $C$9, 100%, $E$9)</f>
        <v>24.162299999999998</v>
      </c>
      <c r="S446" s="17">
        <f>CHOOSE(CONTROL!$C$42, 22.2718, 22.2718) * CHOOSE(CONTROL!$C$21, $C$9, 100%, $E$9)</f>
        <v>22.271799999999999</v>
      </c>
      <c r="T44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46" s="56">
        <f>(1000*CHOOSE(CONTROL!$C$42, 695, 695)*CHOOSE(CONTROL!$C$42, 0.5599, 0.5599)*CHOOSE(CONTROL!$C$42, 28, 28))/1000000</f>
        <v>10.895653999999999</v>
      </c>
      <c r="V446" s="56">
        <f>(1000*CHOOSE(CONTROL!$C$42, 500, 500)*CHOOSE(CONTROL!$C$42, 0.275, 0.275)*CHOOSE(CONTROL!$C$42, 28, 28))/1000000</f>
        <v>3.85</v>
      </c>
      <c r="W446" s="56">
        <f>(1000*CHOOSE(CONTROL!$C$42, 0.1146, 0.1146)*CHOOSE(CONTROL!$C$42, 121.5, 121.5)*CHOOSE(CONTROL!$C$42, 28, 28))/1000000</f>
        <v>0.38986920000000003</v>
      </c>
      <c r="X446" s="56">
        <f>(28*0.2374*100000/1000000)</f>
        <v>0.66471999999999998</v>
      </c>
      <c r="Y446" s="56"/>
      <c r="Z446" s="17"/>
      <c r="AA446" s="55"/>
      <c r="AB446" s="48">
        <f>(B446*122.58+C446*297.941+D446*89.177+E446*140.302+F446*40+G446*60+H446*0+I446*100+J446*300)/(122.58+297.941+89.177+140.302+0+40+60+100+300)</f>
        <v>23.231611008434783</v>
      </c>
      <c r="AC446" s="45">
        <f>(M446*'RAP TEMPLATE-GAS AVAILABILITY'!O445+N446*'RAP TEMPLATE-GAS AVAILABILITY'!P445+O446*'RAP TEMPLATE-GAS AVAILABILITY'!Q445+P446*'RAP TEMPLATE-GAS AVAILABILITY'!R445)/('RAP TEMPLATE-GAS AVAILABILITY'!O445+'RAP TEMPLATE-GAS AVAILABILITY'!P445+'RAP TEMPLATE-GAS AVAILABILITY'!Q445+'RAP TEMPLATE-GAS AVAILABILITY'!R445)</f>
        <v>22.862648920863311</v>
      </c>
    </row>
    <row r="447" spans="1:29" ht="15.75" x14ac:dyDescent="0.25">
      <c r="A447" s="14">
        <v>54513</v>
      </c>
      <c r="B447" s="17">
        <f>CHOOSE(CONTROL!$C$42, 22.529, 22.529) * CHOOSE(CONTROL!$C$21, $C$9, 100%, $E$9)</f>
        <v>22.529</v>
      </c>
      <c r="C447" s="17">
        <f>CHOOSE(CONTROL!$C$42, 22.534, 22.534) * CHOOSE(CONTROL!$C$21, $C$9, 100%, $E$9)</f>
        <v>22.533999999999999</v>
      </c>
      <c r="D447" s="17">
        <f>CHOOSE(CONTROL!$C$42, 22.6525, 22.6525) * CHOOSE(CONTROL!$C$21, $C$9, 100%, $E$9)</f>
        <v>22.6525</v>
      </c>
      <c r="E447" s="17">
        <f>CHOOSE(CONTROL!$C$42, 22.6866, 22.6866) * CHOOSE(CONTROL!$C$21, $C$9, 100%, $E$9)</f>
        <v>22.686599999999999</v>
      </c>
      <c r="F447" s="17">
        <f>CHOOSE(CONTROL!$C$42, 22.5487, 22.5487)*CHOOSE(CONTROL!$C$21, $C$9, 100%, $E$9)</f>
        <v>22.5487</v>
      </c>
      <c r="G447" s="17">
        <f>CHOOSE(CONTROL!$C$42, 22.5653, 22.5653)*CHOOSE(CONTROL!$C$21, $C$9, 100%, $E$9)</f>
        <v>22.565300000000001</v>
      </c>
      <c r="H447" s="17">
        <f>CHOOSE(CONTROL!$C$42, 22.6758, 22.6758) * CHOOSE(CONTROL!$C$21, $C$9, 100%, $E$9)</f>
        <v>22.675799999999999</v>
      </c>
      <c r="I447" s="17">
        <f>CHOOSE(CONTROL!$C$42, 22.6231, 22.6231)* CHOOSE(CONTROL!$C$21, $C$9, 100%, $E$9)</f>
        <v>22.623100000000001</v>
      </c>
      <c r="J447" s="17">
        <f>CHOOSE(CONTROL!$C$42, 22.5417, 22.5417)* CHOOSE(CONTROL!$C$21, $C$9, 100%, $E$9)</f>
        <v>22.541699999999999</v>
      </c>
      <c r="K447" s="52">
        <f>CHOOSE(CONTROL!$C$42, 22.6189, 22.6189) * CHOOSE(CONTROL!$C$21, $C$9, 100%, $E$9)</f>
        <v>22.6189</v>
      </c>
      <c r="L447" s="17">
        <f>CHOOSE(CONTROL!$C$42, 23.2628, 23.2628) * CHOOSE(CONTROL!$C$21, $C$9, 100%, $E$9)</f>
        <v>23.262799999999999</v>
      </c>
      <c r="M447" s="17">
        <f>CHOOSE(CONTROL!$C$42, 22.1439, 22.1439) * CHOOSE(CONTROL!$C$21, $C$9, 100%, $E$9)</f>
        <v>22.143899999999999</v>
      </c>
      <c r="N447" s="17">
        <f>CHOOSE(CONTROL!$C$42, 22.1603, 22.1603) * CHOOSE(CONTROL!$C$21, $C$9, 100%, $E$9)</f>
        <v>22.160299999999999</v>
      </c>
      <c r="O447" s="17">
        <f>CHOOSE(CONTROL!$C$42, 22.2756, 22.2756) * CHOOSE(CONTROL!$C$21, $C$9, 100%, $E$9)</f>
        <v>22.275600000000001</v>
      </c>
      <c r="P447" s="17">
        <f>CHOOSE(CONTROL!$C$42, 22.2227, 22.2227) * CHOOSE(CONTROL!$C$21, $C$9, 100%, $E$9)</f>
        <v>22.2227</v>
      </c>
      <c r="Q447" s="17">
        <f>CHOOSE(CONTROL!$C$42, 22.8703, 22.8703) * CHOOSE(CONTROL!$C$21, $C$9, 100%, $E$9)</f>
        <v>22.8703</v>
      </c>
      <c r="R447" s="17">
        <f>CHOOSE(CONTROL!$C$42, 23.5145, 23.5145) * CHOOSE(CONTROL!$C$21, $C$9, 100%, $E$9)</f>
        <v>23.514500000000002</v>
      </c>
      <c r="S447" s="17">
        <f>CHOOSE(CONTROL!$C$42, 21.6395, 21.6395) * CHOOSE(CONTROL!$C$21, $C$9, 100%, $E$9)</f>
        <v>21.639500000000002</v>
      </c>
      <c r="T44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47" s="56">
        <f>(1000*CHOOSE(CONTROL!$C$42, 695, 695)*CHOOSE(CONTROL!$C$42, 0.5599, 0.5599)*CHOOSE(CONTROL!$C$42, 31, 31))/1000000</f>
        <v>12.063045499999998</v>
      </c>
      <c r="V447" s="56">
        <f>(1000*CHOOSE(CONTROL!$C$42, 500, 500)*CHOOSE(CONTROL!$C$42, 0.275, 0.275)*CHOOSE(CONTROL!$C$42, 31, 31))/1000000</f>
        <v>4.2625000000000002</v>
      </c>
      <c r="W447" s="56">
        <f>(1000*CHOOSE(CONTROL!$C$42, 0.1146, 0.1146)*CHOOSE(CONTROL!$C$42, 121.5, 121.5)*CHOOSE(CONTROL!$C$42, 31, 31))/1000000</f>
        <v>0.43164089999999994</v>
      </c>
      <c r="X447" s="56">
        <f>(31*0.2374*100000/1000000)</f>
        <v>0.73594000000000004</v>
      </c>
      <c r="Y447" s="56"/>
      <c r="Z447" s="17"/>
      <c r="AA447" s="55"/>
      <c r="AB447" s="48">
        <f>(B447*122.58+C447*297.941+D447*89.177+E447*140.302+F447*40+G447*60+H447*0+I447*100+J447*300)/(122.58+297.941+89.177+140.302+0+40+60+100+300)</f>
        <v>22.573174486695649</v>
      </c>
      <c r="AC447" s="45">
        <f>(M447*'RAP TEMPLATE-GAS AVAILABILITY'!O446+N447*'RAP TEMPLATE-GAS AVAILABILITY'!P446+O447*'RAP TEMPLATE-GAS AVAILABILITY'!Q446+P447*'RAP TEMPLATE-GAS AVAILABILITY'!R446)/('RAP TEMPLATE-GAS AVAILABILITY'!O446+'RAP TEMPLATE-GAS AVAILABILITY'!P446+'RAP TEMPLATE-GAS AVAILABILITY'!Q446+'RAP TEMPLATE-GAS AVAILABILITY'!R446)</f>
        <v>22.215873381294966</v>
      </c>
    </row>
    <row r="448" spans="1:29" ht="15.75" x14ac:dyDescent="0.25">
      <c r="A448" s="14">
        <v>54543</v>
      </c>
      <c r="B448" s="17">
        <f>CHOOSE(CONTROL!$C$42, 22.4625, 22.4625) * CHOOSE(CONTROL!$C$21, $C$9, 100%, $E$9)</f>
        <v>22.462499999999999</v>
      </c>
      <c r="C448" s="17">
        <f>CHOOSE(CONTROL!$C$42, 22.467, 22.467) * CHOOSE(CONTROL!$C$21, $C$9, 100%, $E$9)</f>
        <v>22.466999999999999</v>
      </c>
      <c r="D448" s="17">
        <f>CHOOSE(CONTROL!$C$42, 22.7412, 22.7412) * CHOOSE(CONTROL!$C$21, $C$9, 100%, $E$9)</f>
        <v>22.741199999999999</v>
      </c>
      <c r="E448" s="17">
        <f>CHOOSE(CONTROL!$C$42, 22.7733, 22.7733) * CHOOSE(CONTROL!$C$21, $C$9, 100%, $E$9)</f>
        <v>22.773299999999999</v>
      </c>
      <c r="F448" s="17">
        <f>CHOOSE(CONTROL!$C$42, 22.4819, 22.4819)*CHOOSE(CONTROL!$C$21, $C$9, 100%, $E$9)</f>
        <v>22.4819</v>
      </c>
      <c r="G448" s="17">
        <f>CHOOSE(CONTROL!$C$42, 22.4982, 22.4982)*CHOOSE(CONTROL!$C$21, $C$9, 100%, $E$9)</f>
        <v>22.498200000000001</v>
      </c>
      <c r="H448" s="17">
        <f>CHOOSE(CONTROL!$C$42, 22.7631, 22.7631) * CHOOSE(CONTROL!$C$21, $C$9, 100%, $E$9)</f>
        <v>22.763100000000001</v>
      </c>
      <c r="I448" s="17">
        <f>CHOOSE(CONTROL!$C$42, 22.5542, 22.5542)* CHOOSE(CONTROL!$C$21, $C$9, 100%, $E$9)</f>
        <v>22.554200000000002</v>
      </c>
      <c r="J448" s="17">
        <f>CHOOSE(CONTROL!$C$42, 22.4749, 22.4749)* CHOOSE(CONTROL!$C$21, $C$9, 100%, $E$9)</f>
        <v>22.474900000000002</v>
      </c>
      <c r="K448" s="52">
        <f>CHOOSE(CONTROL!$C$42, 22.5499, 22.5499) * CHOOSE(CONTROL!$C$21, $C$9, 100%, $E$9)</f>
        <v>22.549900000000001</v>
      </c>
      <c r="L448" s="17">
        <f>CHOOSE(CONTROL!$C$42, 23.3501, 23.3501) * CHOOSE(CONTROL!$C$21, $C$9, 100%, $E$9)</f>
        <v>23.350100000000001</v>
      </c>
      <c r="M448" s="17">
        <f>CHOOSE(CONTROL!$C$42, 22.0783, 22.0783) * CHOOSE(CONTROL!$C$21, $C$9, 100%, $E$9)</f>
        <v>22.078299999999999</v>
      </c>
      <c r="N448" s="17">
        <f>CHOOSE(CONTROL!$C$42, 22.0943, 22.0943) * CHOOSE(CONTROL!$C$21, $C$9, 100%, $E$9)</f>
        <v>22.0943</v>
      </c>
      <c r="O448" s="17">
        <f>CHOOSE(CONTROL!$C$42, 22.3614, 22.3614) * CHOOSE(CONTROL!$C$21, $C$9, 100%, $E$9)</f>
        <v>22.3614</v>
      </c>
      <c r="P448" s="17">
        <f>CHOOSE(CONTROL!$C$42, 22.155, 22.155) * CHOOSE(CONTROL!$C$21, $C$9, 100%, $E$9)</f>
        <v>22.155000000000001</v>
      </c>
      <c r="Q448" s="17">
        <f>CHOOSE(CONTROL!$C$42, 22.9561, 22.9561) * CHOOSE(CONTROL!$C$21, $C$9, 100%, $E$9)</f>
        <v>22.956099999999999</v>
      </c>
      <c r="R448" s="17">
        <f>CHOOSE(CONTROL!$C$42, 23.6005, 23.6005) * CHOOSE(CONTROL!$C$21, $C$9, 100%, $E$9)</f>
        <v>23.6005</v>
      </c>
      <c r="S448" s="17">
        <f>CHOOSE(CONTROL!$C$42, 21.575, 21.575) * CHOOSE(CONTROL!$C$21, $C$9, 100%, $E$9)</f>
        <v>21.574999999999999</v>
      </c>
      <c r="T44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48" s="56">
        <f>(1000*CHOOSE(CONTROL!$C$42, 695, 695)*CHOOSE(CONTROL!$C$42, 0.5599, 0.5599)*CHOOSE(CONTROL!$C$42, 30, 30))/1000000</f>
        <v>11.673914999999997</v>
      </c>
      <c r="V448" s="56">
        <f>(1000*CHOOSE(CONTROL!$C$42, 500, 500)*CHOOSE(CONTROL!$C$42, 0.275, 0.275)*CHOOSE(CONTROL!$C$42, 30, 30))/1000000</f>
        <v>4.125</v>
      </c>
      <c r="W448" s="56">
        <f>(1000*CHOOSE(CONTROL!$C$42, 0.1146, 0.1146)*CHOOSE(CONTROL!$C$42, 121.5, 121.5)*CHOOSE(CONTROL!$C$42, 30, 30))/1000000</f>
        <v>0.417717</v>
      </c>
      <c r="X448" s="56">
        <f>(30*0.1790888*145000/1000000)+(30*0.2374*100000/1000000)</f>
        <v>1.4912362799999999</v>
      </c>
      <c r="Y448" s="56"/>
      <c r="Z448" s="17"/>
      <c r="AA448" s="55"/>
      <c r="AB448" s="48">
        <f>(B448*141.293+C448*267.993+D448*115.016+E448*189.698+F448*40+G448*85+H448*0+I448*100+J448*300)/(141.293+267.993+115.016+189.698+0+40+85+100+300)</f>
        <v>22.550409254318001</v>
      </c>
      <c r="AC448" s="45">
        <f>(M448*'RAP TEMPLATE-GAS AVAILABILITY'!O447+N448*'RAP TEMPLATE-GAS AVAILABILITY'!P447+O448*'RAP TEMPLATE-GAS AVAILABILITY'!Q447+P448*'RAP TEMPLATE-GAS AVAILABILITY'!R447)/('RAP TEMPLATE-GAS AVAILABILITY'!O447+'RAP TEMPLATE-GAS AVAILABILITY'!P447+'RAP TEMPLATE-GAS AVAILABILITY'!Q447+'RAP TEMPLATE-GAS AVAILABILITY'!R447)</f>
        <v>22.172450359712229</v>
      </c>
    </row>
    <row r="449" spans="1:29" ht="15.75" x14ac:dyDescent="0.25">
      <c r="A449" s="14">
        <v>54574</v>
      </c>
      <c r="B449" s="17">
        <f>CHOOSE(CONTROL!$C$42, 22.6621, 22.6621) * CHOOSE(CONTROL!$C$21, $C$9, 100%, $E$9)</f>
        <v>22.662099999999999</v>
      </c>
      <c r="C449" s="17">
        <f>CHOOSE(CONTROL!$C$42, 22.6701, 22.6701) * CHOOSE(CONTROL!$C$21, $C$9, 100%, $E$9)</f>
        <v>22.670100000000001</v>
      </c>
      <c r="D449" s="17">
        <f>CHOOSE(CONTROL!$C$42, 22.9412, 22.9412) * CHOOSE(CONTROL!$C$21, $C$9, 100%, $E$9)</f>
        <v>22.941199999999998</v>
      </c>
      <c r="E449" s="17">
        <f>CHOOSE(CONTROL!$C$42, 22.9727, 22.9727) * CHOOSE(CONTROL!$C$21, $C$9, 100%, $E$9)</f>
        <v>22.9727</v>
      </c>
      <c r="F449" s="17">
        <f>CHOOSE(CONTROL!$C$42, 22.6803, 22.6803)*CHOOSE(CONTROL!$C$21, $C$9, 100%, $E$9)</f>
        <v>22.680299999999999</v>
      </c>
      <c r="G449" s="17">
        <f>CHOOSE(CONTROL!$C$42, 22.6969, 22.6969)*CHOOSE(CONTROL!$C$21, $C$9, 100%, $E$9)</f>
        <v>22.696899999999999</v>
      </c>
      <c r="H449" s="17">
        <f>CHOOSE(CONTROL!$C$42, 22.9613, 22.9613) * CHOOSE(CONTROL!$C$21, $C$9, 100%, $E$9)</f>
        <v>22.961300000000001</v>
      </c>
      <c r="I449" s="17">
        <f>CHOOSE(CONTROL!$C$42, 22.7529, 22.7529)* CHOOSE(CONTROL!$C$21, $C$9, 100%, $E$9)</f>
        <v>22.7529</v>
      </c>
      <c r="J449" s="17">
        <f>CHOOSE(CONTROL!$C$42, 22.6733, 22.6733)* CHOOSE(CONTROL!$C$21, $C$9, 100%, $E$9)</f>
        <v>22.673300000000001</v>
      </c>
      <c r="K449" s="52">
        <f>CHOOSE(CONTROL!$C$42, 22.7487, 22.7487) * CHOOSE(CONTROL!$C$21, $C$9, 100%, $E$9)</f>
        <v>22.748699999999999</v>
      </c>
      <c r="L449" s="17">
        <f>CHOOSE(CONTROL!$C$42, 23.5483, 23.5483) * CHOOSE(CONTROL!$C$21, $C$9, 100%, $E$9)</f>
        <v>23.548300000000001</v>
      </c>
      <c r="M449" s="17">
        <f>CHOOSE(CONTROL!$C$42, 22.2731, 22.2731) * CHOOSE(CONTROL!$C$21, $C$9, 100%, $E$9)</f>
        <v>22.273099999999999</v>
      </c>
      <c r="N449" s="17">
        <f>CHOOSE(CONTROL!$C$42, 22.2895, 22.2895) * CHOOSE(CONTROL!$C$21, $C$9, 100%, $E$9)</f>
        <v>22.2895</v>
      </c>
      <c r="O449" s="17">
        <f>CHOOSE(CONTROL!$C$42, 22.556, 22.556) * CHOOSE(CONTROL!$C$21, $C$9, 100%, $E$9)</f>
        <v>22.556000000000001</v>
      </c>
      <c r="P449" s="17">
        <f>CHOOSE(CONTROL!$C$42, 22.3502, 22.3502) * CHOOSE(CONTROL!$C$21, $C$9, 100%, $E$9)</f>
        <v>22.350200000000001</v>
      </c>
      <c r="Q449" s="17">
        <f>CHOOSE(CONTROL!$C$42, 23.1507, 23.1507) * CHOOSE(CONTROL!$C$21, $C$9, 100%, $E$9)</f>
        <v>23.150700000000001</v>
      </c>
      <c r="R449" s="17">
        <f>CHOOSE(CONTROL!$C$42, 23.7956, 23.7956) * CHOOSE(CONTROL!$C$21, $C$9, 100%, $E$9)</f>
        <v>23.7956</v>
      </c>
      <c r="S449" s="17">
        <f>CHOOSE(CONTROL!$C$42, 21.7654, 21.7654) * CHOOSE(CONTROL!$C$21, $C$9, 100%, $E$9)</f>
        <v>21.7654</v>
      </c>
      <c r="T44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49" s="56">
        <f>(1000*CHOOSE(CONTROL!$C$42, 695, 695)*CHOOSE(CONTROL!$C$42, 0.5599, 0.5599)*CHOOSE(CONTROL!$C$42, 31, 31))/1000000</f>
        <v>12.063045499999998</v>
      </c>
      <c r="V449" s="56">
        <f>(1000*CHOOSE(CONTROL!$C$42, 500, 500)*CHOOSE(CONTROL!$C$42, 0.275, 0.275)*CHOOSE(CONTROL!$C$42, 31, 31))/1000000</f>
        <v>4.2625000000000002</v>
      </c>
      <c r="W449" s="56">
        <f>(1000*CHOOSE(CONTROL!$C$42, 0.1146, 0.1146)*CHOOSE(CONTROL!$C$42, 121.5, 121.5)*CHOOSE(CONTROL!$C$42, 31, 31))/1000000</f>
        <v>0.43164089999999994</v>
      </c>
      <c r="X449" s="56">
        <f>(31*0.1790888*145000/1000000)+(31*0.2374*100000/1000000)</f>
        <v>1.5409441560000001</v>
      </c>
      <c r="Y449" s="56"/>
      <c r="Z449" s="17"/>
      <c r="AA449" s="55"/>
      <c r="AB449" s="48">
        <f>(B449*194.205+C449*267.466+D449*133.845+E449*153.484+F449*40+G449*85+H449*0+I449*100+J449*300)/(194.205+267.466+133.845+153.484+0+40+85+100+300)</f>
        <v>22.743178491287285</v>
      </c>
      <c r="AC449" s="45">
        <f>(M449*'RAP TEMPLATE-GAS AVAILABILITY'!O448+N449*'RAP TEMPLATE-GAS AVAILABILITY'!P448+O449*'RAP TEMPLATE-GAS AVAILABILITY'!Q448+P449*'RAP TEMPLATE-GAS AVAILABILITY'!R448)/('RAP TEMPLATE-GAS AVAILABILITY'!O448+'RAP TEMPLATE-GAS AVAILABILITY'!P448+'RAP TEMPLATE-GAS AVAILABILITY'!Q448+'RAP TEMPLATE-GAS AVAILABILITY'!R448)</f>
        <v>22.367343884892087</v>
      </c>
    </row>
    <row r="450" spans="1:29" ht="15.75" x14ac:dyDescent="0.25">
      <c r="A450" s="14">
        <v>54604</v>
      </c>
      <c r="B450" s="17">
        <f>CHOOSE(CONTROL!$C$42, 23.3046, 23.3046) * CHOOSE(CONTROL!$C$21, $C$9, 100%, $E$9)</f>
        <v>23.304600000000001</v>
      </c>
      <c r="C450" s="17">
        <f>CHOOSE(CONTROL!$C$42, 23.3126, 23.3126) * CHOOSE(CONTROL!$C$21, $C$9, 100%, $E$9)</f>
        <v>23.3126</v>
      </c>
      <c r="D450" s="17">
        <f>CHOOSE(CONTROL!$C$42, 23.5837, 23.5837) * CHOOSE(CONTROL!$C$21, $C$9, 100%, $E$9)</f>
        <v>23.5837</v>
      </c>
      <c r="E450" s="17">
        <f>CHOOSE(CONTROL!$C$42, 23.6152, 23.6152) * CHOOSE(CONTROL!$C$21, $C$9, 100%, $E$9)</f>
        <v>23.615200000000002</v>
      </c>
      <c r="F450" s="17">
        <f>CHOOSE(CONTROL!$C$42, 23.3231, 23.3231)*CHOOSE(CONTROL!$C$21, $C$9, 100%, $E$9)</f>
        <v>23.3231</v>
      </c>
      <c r="G450" s="17">
        <f>CHOOSE(CONTROL!$C$42, 23.3398, 23.3398)*CHOOSE(CONTROL!$C$21, $C$9, 100%, $E$9)</f>
        <v>23.3398</v>
      </c>
      <c r="H450" s="17">
        <f>CHOOSE(CONTROL!$C$42, 23.6038, 23.6038) * CHOOSE(CONTROL!$C$21, $C$9, 100%, $E$9)</f>
        <v>23.6038</v>
      </c>
      <c r="I450" s="17">
        <f>CHOOSE(CONTROL!$C$42, 23.3975, 23.3975)* CHOOSE(CONTROL!$C$21, $C$9, 100%, $E$9)</f>
        <v>23.397500000000001</v>
      </c>
      <c r="J450" s="17">
        <f>CHOOSE(CONTROL!$C$42, 23.3161, 23.3161)* CHOOSE(CONTROL!$C$21, $C$9, 100%, $E$9)</f>
        <v>23.316099999999999</v>
      </c>
      <c r="K450" s="52">
        <f>CHOOSE(CONTROL!$C$42, 23.3932, 23.3932) * CHOOSE(CONTROL!$C$21, $C$9, 100%, $E$9)</f>
        <v>23.3932</v>
      </c>
      <c r="L450" s="17">
        <f>CHOOSE(CONTROL!$C$42, 24.1908, 24.1908) * CHOOSE(CONTROL!$C$21, $C$9, 100%, $E$9)</f>
        <v>24.190799999999999</v>
      </c>
      <c r="M450" s="17">
        <f>CHOOSE(CONTROL!$C$42, 22.9044, 22.9044) * CHOOSE(CONTROL!$C$21, $C$9, 100%, $E$9)</f>
        <v>22.904399999999999</v>
      </c>
      <c r="N450" s="17">
        <f>CHOOSE(CONTROL!$C$42, 22.9208, 22.9208) * CHOOSE(CONTROL!$C$21, $C$9, 100%, $E$9)</f>
        <v>22.9208</v>
      </c>
      <c r="O450" s="17">
        <f>CHOOSE(CONTROL!$C$42, 23.1869, 23.1869) * CHOOSE(CONTROL!$C$21, $C$9, 100%, $E$9)</f>
        <v>23.186900000000001</v>
      </c>
      <c r="P450" s="17">
        <f>CHOOSE(CONTROL!$C$42, 22.9831, 22.9831) * CHOOSE(CONTROL!$C$21, $C$9, 100%, $E$9)</f>
        <v>22.9831</v>
      </c>
      <c r="Q450" s="17">
        <f>CHOOSE(CONTROL!$C$42, 23.7816, 23.7816) * CHOOSE(CONTROL!$C$21, $C$9, 100%, $E$9)</f>
        <v>23.781600000000001</v>
      </c>
      <c r="R450" s="17">
        <f>CHOOSE(CONTROL!$C$42, 24.4281, 24.4281) * CHOOSE(CONTROL!$C$21, $C$9, 100%, $E$9)</f>
        <v>24.428100000000001</v>
      </c>
      <c r="S450" s="17">
        <f>CHOOSE(CONTROL!$C$42, 22.3828, 22.3828) * CHOOSE(CONTROL!$C$21, $C$9, 100%, $E$9)</f>
        <v>22.3828</v>
      </c>
      <c r="T45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50" s="56">
        <f>(1000*CHOOSE(CONTROL!$C$42, 695, 695)*CHOOSE(CONTROL!$C$42, 0.5599, 0.5599)*CHOOSE(CONTROL!$C$42, 30, 30))/1000000</f>
        <v>11.673914999999997</v>
      </c>
      <c r="V450" s="56">
        <f>(1000*CHOOSE(CONTROL!$C$42, 500, 500)*CHOOSE(CONTROL!$C$42, 0.275, 0.275)*CHOOSE(CONTROL!$C$42, 30, 30))/1000000</f>
        <v>4.125</v>
      </c>
      <c r="W450" s="56">
        <f>(1000*CHOOSE(CONTROL!$C$42, 0.1146, 0.1146)*CHOOSE(CONTROL!$C$42, 121.5, 121.5)*CHOOSE(CONTROL!$C$42, 30, 30))/1000000</f>
        <v>0.417717</v>
      </c>
      <c r="X450" s="56">
        <f>(30*0.1790888*145000/1000000)+(30*0.2374*100000/1000000)</f>
        <v>1.4912362799999999</v>
      </c>
      <c r="Y450" s="56"/>
      <c r="Z450" s="17"/>
      <c r="AA450" s="55"/>
      <c r="AB450" s="48">
        <f>(B450*194.205+C450*267.466+D450*133.845+E450*153.484+F450*40+G450*85+H450*0+I450*100+J450*300)/(194.205+267.466+133.845+153.484+0+40+85+100+300)</f>
        <v>23.385950076844583</v>
      </c>
      <c r="AC450" s="45">
        <f>(M450*'RAP TEMPLATE-GAS AVAILABILITY'!O449+N450*'RAP TEMPLATE-GAS AVAILABILITY'!P449+O450*'RAP TEMPLATE-GAS AVAILABILITY'!Q449+P450*'RAP TEMPLATE-GAS AVAILABILITY'!R449)/('RAP TEMPLATE-GAS AVAILABILITY'!O449+'RAP TEMPLATE-GAS AVAILABILITY'!P449+'RAP TEMPLATE-GAS AVAILABILITY'!Q449+'RAP TEMPLATE-GAS AVAILABILITY'!R449)</f>
        <v>22.998761870503596</v>
      </c>
    </row>
    <row r="451" spans="1:29" ht="15.75" x14ac:dyDescent="0.25">
      <c r="A451" s="14">
        <v>54635</v>
      </c>
      <c r="B451" s="17">
        <f>CHOOSE(CONTROL!$C$42, 22.8577, 22.8577) * CHOOSE(CONTROL!$C$21, $C$9, 100%, $E$9)</f>
        <v>22.857700000000001</v>
      </c>
      <c r="C451" s="17">
        <f>CHOOSE(CONTROL!$C$42, 22.8658, 22.8658) * CHOOSE(CONTROL!$C$21, $C$9, 100%, $E$9)</f>
        <v>22.8658</v>
      </c>
      <c r="D451" s="17">
        <f>CHOOSE(CONTROL!$C$42, 23.1368, 23.1368) * CHOOSE(CONTROL!$C$21, $C$9, 100%, $E$9)</f>
        <v>23.136800000000001</v>
      </c>
      <c r="E451" s="17">
        <f>CHOOSE(CONTROL!$C$42, 23.1683, 23.1683) * CHOOSE(CONTROL!$C$21, $C$9, 100%, $E$9)</f>
        <v>23.168299999999999</v>
      </c>
      <c r="F451" s="17">
        <f>CHOOSE(CONTROL!$C$42, 22.8766, 22.8766)*CHOOSE(CONTROL!$C$21, $C$9, 100%, $E$9)</f>
        <v>22.8766</v>
      </c>
      <c r="G451" s="17">
        <f>CHOOSE(CONTROL!$C$42, 22.8934, 22.8934)*CHOOSE(CONTROL!$C$21, $C$9, 100%, $E$9)</f>
        <v>22.8934</v>
      </c>
      <c r="H451" s="17">
        <f>CHOOSE(CONTROL!$C$42, 23.1569, 23.1569) * CHOOSE(CONTROL!$C$21, $C$9, 100%, $E$9)</f>
        <v>23.1569</v>
      </c>
      <c r="I451" s="17">
        <f>CHOOSE(CONTROL!$C$42, 22.9492, 22.9492)* CHOOSE(CONTROL!$C$21, $C$9, 100%, $E$9)</f>
        <v>22.949200000000001</v>
      </c>
      <c r="J451" s="17">
        <f>CHOOSE(CONTROL!$C$42, 22.8696, 22.8696)* CHOOSE(CONTROL!$C$21, $C$9, 100%, $E$9)</f>
        <v>22.869599999999998</v>
      </c>
      <c r="K451" s="52">
        <f>CHOOSE(CONTROL!$C$42, 22.945, 22.945) * CHOOSE(CONTROL!$C$21, $C$9, 100%, $E$9)</f>
        <v>22.945</v>
      </c>
      <c r="L451" s="17">
        <f>CHOOSE(CONTROL!$C$42, 23.7439, 23.7439) * CHOOSE(CONTROL!$C$21, $C$9, 100%, $E$9)</f>
        <v>23.7439</v>
      </c>
      <c r="M451" s="17">
        <f>CHOOSE(CONTROL!$C$42, 22.466, 22.466) * CHOOSE(CONTROL!$C$21, $C$9, 100%, $E$9)</f>
        <v>22.466000000000001</v>
      </c>
      <c r="N451" s="17">
        <f>CHOOSE(CONTROL!$C$42, 22.4825, 22.4825) * CHOOSE(CONTROL!$C$21, $C$9, 100%, $E$9)</f>
        <v>22.482500000000002</v>
      </c>
      <c r="O451" s="17">
        <f>CHOOSE(CONTROL!$C$42, 22.7481, 22.7481) * CHOOSE(CONTROL!$C$21, $C$9, 100%, $E$9)</f>
        <v>22.748100000000001</v>
      </c>
      <c r="P451" s="17">
        <f>CHOOSE(CONTROL!$C$42, 22.5429, 22.5429) * CHOOSE(CONTROL!$C$21, $C$9, 100%, $E$9)</f>
        <v>22.542899999999999</v>
      </c>
      <c r="Q451" s="17">
        <f>CHOOSE(CONTROL!$C$42, 23.3428, 23.3428) * CHOOSE(CONTROL!$C$21, $C$9, 100%, $E$9)</f>
        <v>23.3428</v>
      </c>
      <c r="R451" s="17">
        <f>CHOOSE(CONTROL!$C$42, 23.9882, 23.9882) * CHOOSE(CONTROL!$C$21, $C$9, 100%, $E$9)</f>
        <v>23.988199999999999</v>
      </c>
      <c r="S451" s="17">
        <f>CHOOSE(CONTROL!$C$42, 21.9534, 21.9534) * CHOOSE(CONTROL!$C$21, $C$9, 100%, $E$9)</f>
        <v>21.953399999999998</v>
      </c>
      <c r="T45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51" s="56">
        <f>(1000*CHOOSE(CONTROL!$C$42, 695, 695)*CHOOSE(CONTROL!$C$42, 0.5599, 0.5599)*CHOOSE(CONTROL!$C$42, 31, 31))/1000000</f>
        <v>12.063045499999998</v>
      </c>
      <c r="V451" s="56">
        <f>(1000*CHOOSE(CONTROL!$C$42, 500, 500)*CHOOSE(CONTROL!$C$42, 0.275, 0.275)*CHOOSE(CONTROL!$C$42, 31, 31))/1000000</f>
        <v>4.2625000000000002</v>
      </c>
      <c r="W451" s="56">
        <f>(1000*CHOOSE(CONTROL!$C$42, 0.1146, 0.1146)*CHOOSE(CONTROL!$C$42, 121.5, 121.5)*CHOOSE(CONTROL!$C$42, 31, 31))/1000000</f>
        <v>0.43164089999999994</v>
      </c>
      <c r="X451" s="56">
        <f>(31*0.1790888*145000/1000000)+(31*0.2374*100000/1000000)</f>
        <v>1.5409441560000001</v>
      </c>
      <c r="Y451" s="56"/>
      <c r="Z451" s="17"/>
      <c r="AA451" s="55"/>
      <c r="AB451" s="48">
        <f>(B451*194.205+C451*267.466+D451*133.845+E451*153.484+F451*40+G451*85+H451*0+I451*100+J451*300)/(194.205+267.466+133.845+153.484+0+40+85+100+300)</f>
        <v>22.939101290816325</v>
      </c>
      <c r="AC451" s="45">
        <f>(M451*'RAP TEMPLATE-GAS AVAILABILITY'!O450+N451*'RAP TEMPLATE-GAS AVAILABILITY'!P450+O451*'RAP TEMPLATE-GAS AVAILABILITY'!Q450+P451*'RAP TEMPLATE-GAS AVAILABILITY'!R450)/('RAP TEMPLATE-GAS AVAILABILITY'!O450+'RAP TEMPLATE-GAS AVAILABILITY'!P450+'RAP TEMPLATE-GAS AVAILABILITY'!Q450+'RAP TEMPLATE-GAS AVAILABILITY'!R450)</f>
        <v>22.560013669064748</v>
      </c>
    </row>
    <row r="452" spans="1:29" ht="15.75" x14ac:dyDescent="0.25">
      <c r="A452" s="14">
        <v>54666</v>
      </c>
      <c r="B452" s="17">
        <f>CHOOSE(CONTROL!$C$42, 21.7293, 21.7293) * CHOOSE(CONTROL!$C$21, $C$9, 100%, $E$9)</f>
        <v>21.729299999999999</v>
      </c>
      <c r="C452" s="17">
        <f>CHOOSE(CONTROL!$C$42, 21.7373, 21.7373) * CHOOSE(CONTROL!$C$21, $C$9, 100%, $E$9)</f>
        <v>21.737300000000001</v>
      </c>
      <c r="D452" s="17">
        <f>CHOOSE(CONTROL!$C$42, 22.0084, 22.0084) * CHOOSE(CONTROL!$C$21, $C$9, 100%, $E$9)</f>
        <v>22.008400000000002</v>
      </c>
      <c r="E452" s="17">
        <f>CHOOSE(CONTROL!$C$42, 22.0398, 22.0398) * CHOOSE(CONTROL!$C$21, $C$9, 100%, $E$9)</f>
        <v>22.0398</v>
      </c>
      <c r="F452" s="17">
        <f>CHOOSE(CONTROL!$C$42, 21.7484, 21.7484)*CHOOSE(CONTROL!$C$21, $C$9, 100%, $E$9)</f>
        <v>21.7484</v>
      </c>
      <c r="G452" s="17">
        <f>CHOOSE(CONTROL!$C$42, 21.7653, 21.7653)*CHOOSE(CONTROL!$C$21, $C$9, 100%, $E$9)</f>
        <v>21.7653</v>
      </c>
      <c r="H452" s="17">
        <f>CHOOSE(CONTROL!$C$42, 22.0284, 22.0284) * CHOOSE(CONTROL!$C$21, $C$9, 100%, $E$9)</f>
        <v>22.028400000000001</v>
      </c>
      <c r="I452" s="17">
        <f>CHOOSE(CONTROL!$C$42, 21.8172, 21.8172)* CHOOSE(CONTROL!$C$21, $C$9, 100%, $E$9)</f>
        <v>21.8172</v>
      </c>
      <c r="J452" s="17">
        <f>CHOOSE(CONTROL!$C$42, 21.7414, 21.7414)* CHOOSE(CONTROL!$C$21, $C$9, 100%, $E$9)</f>
        <v>21.741399999999999</v>
      </c>
      <c r="K452" s="52">
        <f>CHOOSE(CONTROL!$C$42, 21.813, 21.813) * CHOOSE(CONTROL!$C$21, $C$9, 100%, $E$9)</f>
        <v>21.812999999999999</v>
      </c>
      <c r="L452" s="17">
        <f>CHOOSE(CONTROL!$C$42, 22.6154, 22.6154) * CHOOSE(CONTROL!$C$21, $C$9, 100%, $E$9)</f>
        <v>22.615400000000001</v>
      </c>
      <c r="M452" s="17">
        <f>CHOOSE(CONTROL!$C$42, 21.358, 21.358) * CHOOSE(CONTROL!$C$21, $C$9, 100%, $E$9)</f>
        <v>21.358000000000001</v>
      </c>
      <c r="N452" s="17">
        <f>CHOOSE(CONTROL!$C$42, 21.3746, 21.3746) * CHOOSE(CONTROL!$C$21, $C$9, 100%, $E$9)</f>
        <v>21.374600000000001</v>
      </c>
      <c r="O452" s="17">
        <f>CHOOSE(CONTROL!$C$42, 21.6399, 21.6399) * CHOOSE(CONTROL!$C$21, $C$9, 100%, $E$9)</f>
        <v>21.639900000000001</v>
      </c>
      <c r="P452" s="17">
        <f>CHOOSE(CONTROL!$C$42, 21.4313, 21.4313) * CHOOSE(CONTROL!$C$21, $C$9, 100%, $E$9)</f>
        <v>21.4313</v>
      </c>
      <c r="Q452" s="17">
        <f>CHOOSE(CONTROL!$C$42, 22.2346, 22.2346) * CHOOSE(CONTROL!$C$21, $C$9, 100%, $E$9)</f>
        <v>22.2346</v>
      </c>
      <c r="R452" s="17">
        <f>CHOOSE(CONTROL!$C$42, 22.8772, 22.8772) * CHOOSE(CONTROL!$C$21, $C$9, 100%, $E$9)</f>
        <v>22.877199999999998</v>
      </c>
      <c r="S452" s="17">
        <f>CHOOSE(CONTROL!$C$42, 20.869, 20.869) * CHOOSE(CONTROL!$C$21, $C$9, 100%, $E$9)</f>
        <v>20.869</v>
      </c>
      <c r="T45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52" s="56">
        <f>(1000*CHOOSE(CONTROL!$C$42, 695, 695)*CHOOSE(CONTROL!$C$42, 0.5599, 0.5599)*CHOOSE(CONTROL!$C$42, 31, 31))/1000000</f>
        <v>12.063045499999998</v>
      </c>
      <c r="V452" s="56">
        <f>(1000*CHOOSE(CONTROL!$C$42, 500, 500)*CHOOSE(CONTROL!$C$42, 0.275, 0.275)*CHOOSE(CONTROL!$C$42, 31, 31))/1000000</f>
        <v>4.2625000000000002</v>
      </c>
      <c r="W452" s="56">
        <f>(1000*CHOOSE(CONTROL!$C$42, 0.1146, 0.1146)*CHOOSE(CONTROL!$C$42, 121.5, 121.5)*CHOOSE(CONTROL!$C$42, 31, 31))/1000000</f>
        <v>0.43164089999999994</v>
      </c>
      <c r="X452" s="56">
        <f>(31*0.1790888*145000/1000000)+(31*0.2374*100000/1000000)</f>
        <v>1.5409441560000001</v>
      </c>
      <c r="Y452" s="56"/>
      <c r="Z452" s="17"/>
      <c r="AA452" s="55"/>
      <c r="AB452" s="48">
        <f>(B452*194.205+C452*267.466+D452*133.845+E452*153.484+F452*40+G452*85+H452*0+I452*100+J452*300)/(194.205+267.466+133.845+153.484+0+40+85+100+300)</f>
        <v>21.810459065541604</v>
      </c>
      <c r="AC452" s="45">
        <f>(M452*'RAP TEMPLATE-GAS AVAILABILITY'!O451+N452*'RAP TEMPLATE-GAS AVAILABILITY'!P451+O452*'RAP TEMPLATE-GAS AVAILABILITY'!Q451+P452*'RAP TEMPLATE-GAS AVAILABILITY'!R451)/('RAP TEMPLATE-GAS AVAILABILITY'!O451+'RAP TEMPLATE-GAS AVAILABILITY'!P451+'RAP TEMPLATE-GAS AVAILABILITY'!Q451+'RAP TEMPLATE-GAS AVAILABILITY'!R451)</f>
        <v>21.45146258992806</v>
      </c>
    </row>
    <row r="453" spans="1:29" ht="15.75" x14ac:dyDescent="0.25">
      <c r="A453" s="14">
        <v>54696</v>
      </c>
      <c r="B453" s="17">
        <f>CHOOSE(CONTROL!$C$42, 20.3503, 20.3503) * CHOOSE(CONTROL!$C$21, $C$9, 100%, $E$9)</f>
        <v>20.350300000000001</v>
      </c>
      <c r="C453" s="17">
        <f>CHOOSE(CONTROL!$C$42, 20.3583, 20.3583) * CHOOSE(CONTROL!$C$21, $C$9, 100%, $E$9)</f>
        <v>20.3583</v>
      </c>
      <c r="D453" s="17">
        <f>CHOOSE(CONTROL!$C$42, 20.6293, 20.6293) * CHOOSE(CONTROL!$C$21, $C$9, 100%, $E$9)</f>
        <v>20.629300000000001</v>
      </c>
      <c r="E453" s="17">
        <f>CHOOSE(CONTROL!$C$42, 20.6608, 20.6608) * CHOOSE(CONTROL!$C$21, $C$9, 100%, $E$9)</f>
        <v>20.660799999999998</v>
      </c>
      <c r="F453" s="17">
        <f>CHOOSE(CONTROL!$C$42, 20.3694, 20.3694)*CHOOSE(CONTROL!$C$21, $C$9, 100%, $E$9)</f>
        <v>20.369399999999999</v>
      </c>
      <c r="G453" s="17">
        <f>CHOOSE(CONTROL!$C$42, 20.3863, 20.3863)*CHOOSE(CONTROL!$C$21, $C$9, 100%, $E$9)</f>
        <v>20.386299999999999</v>
      </c>
      <c r="H453" s="17">
        <f>CHOOSE(CONTROL!$C$42, 20.6494, 20.6494) * CHOOSE(CONTROL!$C$21, $C$9, 100%, $E$9)</f>
        <v>20.6494</v>
      </c>
      <c r="I453" s="17">
        <f>CHOOSE(CONTROL!$C$42, 20.4339, 20.4339)* CHOOSE(CONTROL!$C$21, $C$9, 100%, $E$9)</f>
        <v>20.433900000000001</v>
      </c>
      <c r="J453" s="17">
        <f>CHOOSE(CONTROL!$C$42, 20.3624, 20.3624)* CHOOSE(CONTROL!$C$21, $C$9, 100%, $E$9)</f>
        <v>20.362400000000001</v>
      </c>
      <c r="K453" s="52">
        <f>CHOOSE(CONTROL!$C$42, 20.4296, 20.4296) * CHOOSE(CONTROL!$C$21, $C$9, 100%, $E$9)</f>
        <v>20.429600000000001</v>
      </c>
      <c r="L453" s="17">
        <f>CHOOSE(CONTROL!$C$42, 21.2364, 21.2364) * CHOOSE(CONTROL!$C$21, $C$9, 100%, $E$9)</f>
        <v>21.2364</v>
      </c>
      <c r="M453" s="17">
        <f>CHOOSE(CONTROL!$C$42, 20.0039, 20.0039) * CHOOSE(CONTROL!$C$21, $C$9, 100%, $E$9)</f>
        <v>20.003900000000002</v>
      </c>
      <c r="N453" s="17">
        <f>CHOOSE(CONTROL!$C$42, 20.0205, 20.0205) * CHOOSE(CONTROL!$C$21, $C$9, 100%, $E$9)</f>
        <v>20.020499999999998</v>
      </c>
      <c r="O453" s="17">
        <f>CHOOSE(CONTROL!$C$42, 20.2857, 20.2857) * CHOOSE(CONTROL!$C$21, $C$9, 100%, $E$9)</f>
        <v>20.285699999999999</v>
      </c>
      <c r="P453" s="17">
        <f>CHOOSE(CONTROL!$C$42, 20.073, 20.073) * CHOOSE(CONTROL!$C$21, $C$9, 100%, $E$9)</f>
        <v>20.073</v>
      </c>
      <c r="Q453" s="17">
        <f>CHOOSE(CONTROL!$C$42, 20.8804, 20.8804) * CHOOSE(CONTROL!$C$21, $C$9, 100%, $E$9)</f>
        <v>20.880400000000002</v>
      </c>
      <c r="R453" s="17">
        <f>CHOOSE(CONTROL!$C$42, 21.5196, 21.5196) * CHOOSE(CONTROL!$C$21, $C$9, 100%, $E$9)</f>
        <v>21.519600000000001</v>
      </c>
      <c r="S453" s="17">
        <f>CHOOSE(CONTROL!$C$42, 19.5439, 19.5439) * CHOOSE(CONTROL!$C$21, $C$9, 100%, $E$9)</f>
        <v>19.543900000000001</v>
      </c>
      <c r="T45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53" s="56">
        <f>(1000*CHOOSE(CONTROL!$C$42, 695, 695)*CHOOSE(CONTROL!$C$42, 0.5599, 0.5599)*CHOOSE(CONTROL!$C$42, 30, 30))/1000000</f>
        <v>11.673914999999997</v>
      </c>
      <c r="V453" s="56">
        <f>(1000*CHOOSE(CONTROL!$C$42, 500, 500)*CHOOSE(CONTROL!$C$42, 0.275, 0.275)*CHOOSE(CONTROL!$C$42, 30, 30))/1000000</f>
        <v>4.125</v>
      </c>
      <c r="W453" s="56">
        <f>(1000*CHOOSE(CONTROL!$C$42, 0.1146, 0.1146)*CHOOSE(CONTROL!$C$42, 121.5, 121.5)*CHOOSE(CONTROL!$C$42, 30, 30))/1000000</f>
        <v>0.417717</v>
      </c>
      <c r="X453" s="56">
        <f>(30*0.1790888*145000/1000000)+(30*0.2374*100000/1000000)</f>
        <v>1.4912362799999999</v>
      </c>
      <c r="Y453" s="56"/>
      <c r="Z453" s="17"/>
      <c r="AA453" s="55"/>
      <c r="AB453" s="48">
        <f>(B453*194.205+C453*267.466+D453*133.845+E453*153.484+F453*40+G453*85+H453*0+I453*100+J453*300)/(194.205+267.466+133.845+153.484+0+40+85+100+300)</f>
        <v>20.431111040031396</v>
      </c>
      <c r="AC453" s="45">
        <f>(M453*'RAP TEMPLATE-GAS AVAILABILITY'!O452+N453*'RAP TEMPLATE-GAS AVAILABILITY'!P452+O453*'RAP TEMPLATE-GAS AVAILABILITY'!Q452+P453*'RAP TEMPLATE-GAS AVAILABILITY'!R452)/('RAP TEMPLATE-GAS AVAILABILITY'!O452+'RAP TEMPLATE-GAS AVAILABILITY'!P452+'RAP TEMPLATE-GAS AVAILABILITY'!Q452+'RAP TEMPLATE-GAS AVAILABILITY'!R452)</f>
        <v>20.096730215827336</v>
      </c>
    </row>
    <row r="454" spans="1:29" ht="15.75" x14ac:dyDescent="0.25">
      <c r="A454" s="14">
        <v>54727</v>
      </c>
      <c r="B454" s="17">
        <f>CHOOSE(CONTROL!$C$42, 19.9355, 19.9355) * CHOOSE(CONTROL!$C$21, $C$9, 100%, $E$9)</f>
        <v>19.935500000000001</v>
      </c>
      <c r="C454" s="17">
        <f>CHOOSE(CONTROL!$C$42, 19.9409, 19.9409) * CHOOSE(CONTROL!$C$21, $C$9, 100%, $E$9)</f>
        <v>19.940899999999999</v>
      </c>
      <c r="D454" s="17">
        <f>CHOOSE(CONTROL!$C$42, 20.2169, 20.2169) * CHOOSE(CONTROL!$C$21, $C$9, 100%, $E$9)</f>
        <v>20.216899999999999</v>
      </c>
      <c r="E454" s="17">
        <f>CHOOSE(CONTROL!$C$42, 20.246, 20.246) * CHOOSE(CONTROL!$C$21, $C$9, 100%, $E$9)</f>
        <v>20.245999999999999</v>
      </c>
      <c r="F454" s="17">
        <f>CHOOSE(CONTROL!$C$42, 19.9569, 19.9569)*CHOOSE(CONTROL!$C$21, $C$9, 100%, $E$9)</f>
        <v>19.956900000000001</v>
      </c>
      <c r="G454" s="17">
        <f>CHOOSE(CONTROL!$C$42, 19.9737, 19.9737)*CHOOSE(CONTROL!$C$21, $C$9, 100%, $E$9)</f>
        <v>19.973700000000001</v>
      </c>
      <c r="H454" s="17">
        <f>CHOOSE(CONTROL!$C$42, 20.2365, 20.2365) * CHOOSE(CONTROL!$C$21, $C$9, 100%, $E$9)</f>
        <v>20.236499999999999</v>
      </c>
      <c r="I454" s="17">
        <f>CHOOSE(CONTROL!$C$42, 20.0196, 20.0196)* CHOOSE(CONTROL!$C$21, $C$9, 100%, $E$9)</f>
        <v>20.019600000000001</v>
      </c>
      <c r="J454" s="17">
        <f>CHOOSE(CONTROL!$C$42, 19.9499, 19.9499)* CHOOSE(CONTROL!$C$21, $C$9, 100%, $E$9)</f>
        <v>19.9499</v>
      </c>
      <c r="K454" s="52">
        <f>CHOOSE(CONTROL!$C$42, 20.0154, 20.0154) * CHOOSE(CONTROL!$C$21, $C$9, 100%, $E$9)</f>
        <v>20.0154</v>
      </c>
      <c r="L454" s="17">
        <f>CHOOSE(CONTROL!$C$42, 20.8235, 20.8235) * CHOOSE(CONTROL!$C$21, $C$9, 100%, $E$9)</f>
        <v>20.823499999999999</v>
      </c>
      <c r="M454" s="17">
        <f>CHOOSE(CONTROL!$C$42, 19.5988, 19.5988) * CHOOSE(CONTROL!$C$21, $C$9, 100%, $E$9)</f>
        <v>19.598800000000001</v>
      </c>
      <c r="N454" s="17">
        <f>CHOOSE(CONTROL!$C$42, 19.6153, 19.6153) * CHOOSE(CONTROL!$C$21, $C$9, 100%, $E$9)</f>
        <v>19.615300000000001</v>
      </c>
      <c r="O454" s="17">
        <f>CHOOSE(CONTROL!$C$42, 19.8802, 19.8802) * CHOOSE(CONTROL!$C$21, $C$9, 100%, $E$9)</f>
        <v>19.880199999999999</v>
      </c>
      <c r="P454" s="17">
        <f>CHOOSE(CONTROL!$C$42, 19.6662, 19.6662) * CHOOSE(CONTROL!$C$21, $C$9, 100%, $E$9)</f>
        <v>19.6662</v>
      </c>
      <c r="Q454" s="17">
        <f>CHOOSE(CONTROL!$C$42, 20.4749, 20.4749) * CHOOSE(CONTROL!$C$21, $C$9, 100%, $E$9)</f>
        <v>20.474900000000002</v>
      </c>
      <c r="R454" s="17">
        <f>CHOOSE(CONTROL!$C$42, 21.1131, 21.1131) * CHOOSE(CONTROL!$C$21, $C$9, 100%, $E$9)</f>
        <v>21.113099999999999</v>
      </c>
      <c r="S454" s="17">
        <f>CHOOSE(CONTROL!$C$42, 19.1471, 19.1471) * CHOOSE(CONTROL!$C$21, $C$9, 100%, $E$9)</f>
        <v>19.147099999999998</v>
      </c>
      <c r="T45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54" s="56">
        <f>(1000*CHOOSE(CONTROL!$C$42, 695, 695)*CHOOSE(CONTROL!$C$42, 0.5599, 0.5599)*CHOOSE(CONTROL!$C$42, 31, 31))/1000000</f>
        <v>12.063045499999998</v>
      </c>
      <c r="V454" s="56">
        <f>(1000*CHOOSE(CONTROL!$C$42, 500, 500)*CHOOSE(CONTROL!$C$42, 0.275, 0.275)*CHOOSE(CONTROL!$C$42, 31, 31))/1000000</f>
        <v>4.2625000000000002</v>
      </c>
      <c r="W454" s="56">
        <f>(1000*CHOOSE(CONTROL!$C$42, 0.1146, 0.1146)*CHOOSE(CONTROL!$C$42, 121.5, 121.5)*CHOOSE(CONTROL!$C$42, 31, 31))/1000000</f>
        <v>0.43164089999999994</v>
      </c>
      <c r="X454" s="56">
        <f>(31*0.1790888*145000/1000000)+(31*0.2374*100000/1000000)</f>
        <v>1.5409441560000001</v>
      </c>
      <c r="Y454" s="56"/>
      <c r="Z454" s="17"/>
      <c r="AA454" s="55"/>
      <c r="AB454" s="48">
        <f>(B454*131.881+C454*277.167+D454*79.08+E454*225.872+F454*40+G454*85+H454*0+I454*100+J454*300)/(131.881+277.167+79.08+225.872+0+40+85+100+300)</f>
        <v>20.024859216949153</v>
      </c>
      <c r="AC454" s="45">
        <f>(M454*'RAP TEMPLATE-GAS AVAILABILITY'!O453+N454*'RAP TEMPLATE-GAS AVAILABILITY'!P453+O454*'RAP TEMPLATE-GAS AVAILABILITY'!Q453+P454*'RAP TEMPLATE-GAS AVAILABILITY'!R453)/('RAP TEMPLATE-GAS AVAILABILITY'!O453+'RAP TEMPLATE-GAS AVAILABILITY'!P453+'RAP TEMPLATE-GAS AVAILABILITY'!Q453+'RAP TEMPLATE-GAS AVAILABILITY'!R453)</f>
        <v>19.691250359712232</v>
      </c>
    </row>
    <row r="455" spans="1:29" ht="15.75" x14ac:dyDescent="0.25">
      <c r="A455" s="14">
        <v>54757</v>
      </c>
      <c r="B455" s="17">
        <f>CHOOSE(CONTROL!$C$42, 20.4601, 20.4601) * CHOOSE(CONTROL!$C$21, $C$9, 100%, $E$9)</f>
        <v>20.460100000000001</v>
      </c>
      <c r="C455" s="17">
        <f>CHOOSE(CONTROL!$C$42, 20.4651, 20.4651) * CHOOSE(CONTROL!$C$21, $C$9, 100%, $E$9)</f>
        <v>20.4651</v>
      </c>
      <c r="D455" s="17">
        <f>CHOOSE(CONTROL!$C$42, 20.5602, 20.5602) * CHOOSE(CONTROL!$C$21, $C$9, 100%, $E$9)</f>
        <v>20.560199999999998</v>
      </c>
      <c r="E455" s="17">
        <f>CHOOSE(CONTROL!$C$42, 20.5943, 20.5943) * CHOOSE(CONTROL!$C$21, $C$9, 100%, $E$9)</f>
        <v>20.5943</v>
      </c>
      <c r="F455" s="17">
        <f>CHOOSE(CONTROL!$C$42, 20.484, 20.484)*CHOOSE(CONTROL!$C$21, $C$9, 100%, $E$9)</f>
        <v>20.484000000000002</v>
      </c>
      <c r="G455" s="17">
        <f>CHOOSE(CONTROL!$C$42, 20.501, 20.501)*CHOOSE(CONTROL!$C$21, $C$9, 100%, $E$9)</f>
        <v>20.501000000000001</v>
      </c>
      <c r="H455" s="17">
        <f>CHOOSE(CONTROL!$C$42, 20.5835, 20.5835) * CHOOSE(CONTROL!$C$21, $C$9, 100%, $E$9)</f>
        <v>20.583500000000001</v>
      </c>
      <c r="I455" s="17">
        <f>CHOOSE(CONTROL!$C$42, 20.5441, 20.5441)* CHOOSE(CONTROL!$C$21, $C$9, 100%, $E$9)</f>
        <v>20.5441</v>
      </c>
      <c r="J455" s="17">
        <f>CHOOSE(CONTROL!$C$42, 20.477, 20.477)* CHOOSE(CONTROL!$C$21, $C$9, 100%, $E$9)</f>
        <v>20.477</v>
      </c>
      <c r="K455" s="52">
        <f>CHOOSE(CONTROL!$C$42, 20.5399, 20.5399) * CHOOSE(CONTROL!$C$21, $C$9, 100%, $E$9)</f>
        <v>20.539899999999999</v>
      </c>
      <c r="L455" s="17">
        <f>CHOOSE(CONTROL!$C$42, 21.1705, 21.1705) * CHOOSE(CONTROL!$C$21, $C$9, 100%, $E$9)</f>
        <v>21.170500000000001</v>
      </c>
      <c r="M455" s="17">
        <f>CHOOSE(CONTROL!$C$42, 20.1163, 20.1163) * CHOOSE(CONTROL!$C$21, $C$9, 100%, $E$9)</f>
        <v>20.116299999999999</v>
      </c>
      <c r="N455" s="17">
        <f>CHOOSE(CONTROL!$C$42, 20.1331, 20.1331) * CHOOSE(CONTROL!$C$21, $C$9, 100%, $E$9)</f>
        <v>20.133099999999999</v>
      </c>
      <c r="O455" s="17">
        <f>CHOOSE(CONTROL!$C$42, 20.2209, 20.2209) * CHOOSE(CONTROL!$C$21, $C$9, 100%, $E$9)</f>
        <v>20.2209</v>
      </c>
      <c r="P455" s="17">
        <f>CHOOSE(CONTROL!$C$42, 20.1812, 20.1812) * CHOOSE(CONTROL!$C$21, $C$9, 100%, $E$9)</f>
        <v>20.1812</v>
      </c>
      <c r="Q455" s="17">
        <f>CHOOSE(CONTROL!$C$42, 20.8156, 20.8156) * CHOOSE(CONTROL!$C$21, $C$9, 100%, $E$9)</f>
        <v>20.8156</v>
      </c>
      <c r="R455" s="17">
        <f>CHOOSE(CONTROL!$C$42, 21.4547, 21.4547) * CHOOSE(CONTROL!$C$21, $C$9, 100%, $E$9)</f>
        <v>21.454699999999999</v>
      </c>
      <c r="S455" s="17">
        <f>CHOOSE(CONTROL!$C$42, 19.6515, 19.6515) * CHOOSE(CONTROL!$C$21, $C$9, 100%, $E$9)</f>
        <v>19.651499999999999</v>
      </c>
      <c r="T45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55" s="56">
        <f>(1000*CHOOSE(CONTROL!$C$42, 695, 695)*CHOOSE(CONTROL!$C$42, 0.5599, 0.5599)*CHOOSE(CONTROL!$C$42, 30, 30))/1000000</f>
        <v>11.673914999999997</v>
      </c>
      <c r="V455" s="56">
        <f>(1000*CHOOSE(CONTROL!$C$42, 500, 500)*CHOOSE(CONTROL!$C$42, 0.275, 0.275)*CHOOSE(CONTROL!$C$42, 30, 30))/1000000</f>
        <v>4.125</v>
      </c>
      <c r="W455" s="56">
        <f>(1000*CHOOSE(CONTROL!$C$42, 0.1146, 0.1146)*CHOOSE(CONTROL!$C$42, 121.5, 121.5)*CHOOSE(CONTROL!$C$42, 30, 30))/1000000</f>
        <v>0.417717</v>
      </c>
      <c r="X455" s="56">
        <f>(30*0.2374*100000/1000000)</f>
        <v>0.71220000000000006</v>
      </c>
      <c r="Y455" s="56"/>
      <c r="Z455" s="17"/>
      <c r="AA455" s="55"/>
      <c r="AB455" s="48">
        <f>(B455*122.58+C455*297.941+D455*89.177+E455*140.302+F455*40+G455*60+H455*0+I455*100+J455*300)/(122.58+297.941+89.177+140.302+0+40+60+100+300)</f>
        <v>20.500208566173914</v>
      </c>
      <c r="AC455" s="45">
        <f>(M455*'RAP TEMPLATE-GAS AVAILABILITY'!O454+N455*'RAP TEMPLATE-GAS AVAILABILITY'!P454+O455*'RAP TEMPLATE-GAS AVAILABILITY'!Q454+P455*'RAP TEMPLATE-GAS AVAILABILITY'!R454)/('RAP TEMPLATE-GAS AVAILABILITY'!O454+'RAP TEMPLATE-GAS AVAILABILITY'!P454+'RAP TEMPLATE-GAS AVAILABILITY'!Q454+'RAP TEMPLATE-GAS AVAILABILITY'!R454)</f>
        <v>20.174013669064745</v>
      </c>
    </row>
    <row r="456" spans="1:29" ht="15.75" x14ac:dyDescent="0.25">
      <c r="A456" s="14">
        <v>54788</v>
      </c>
      <c r="B456" s="17">
        <f>CHOOSE(CONTROL!$C$42, 21.8544, 21.8544) * CHOOSE(CONTROL!$C$21, $C$9, 100%, $E$9)</f>
        <v>21.854399999999998</v>
      </c>
      <c r="C456" s="17">
        <f>CHOOSE(CONTROL!$C$42, 21.8594, 21.8594) * CHOOSE(CONTROL!$C$21, $C$9, 100%, $E$9)</f>
        <v>21.859400000000001</v>
      </c>
      <c r="D456" s="17">
        <f>CHOOSE(CONTROL!$C$42, 21.9545, 21.9545) * CHOOSE(CONTROL!$C$21, $C$9, 100%, $E$9)</f>
        <v>21.954499999999999</v>
      </c>
      <c r="E456" s="17">
        <f>CHOOSE(CONTROL!$C$42, 21.9886, 21.9886) * CHOOSE(CONTROL!$C$21, $C$9, 100%, $E$9)</f>
        <v>21.988600000000002</v>
      </c>
      <c r="F456" s="17">
        <f>CHOOSE(CONTROL!$C$42, 21.8806, 21.8806)*CHOOSE(CONTROL!$C$21, $C$9, 100%, $E$9)</f>
        <v>21.880600000000001</v>
      </c>
      <c r="G456" s="17">
        <f>CHOOSE(CONTROL!$C$42, 21.8983, 21.8983)*CHOOSE(CONTROL!$C$21, $C$9, 100%, $E$9)</f>
        <v>21.898299999999999</v>
      </c>
      <c r="H456" s="17">
        <f>CHOOSE(CONTROL!$C$42, 21.9778, 21.9778) * CHOOSE(CONTROL!$C$21, $C$9, 100%, $E$9)</f>
        <v>21.977799999999998</v>
      </c>
      <c r="I456" s="17">
        <f>CHOOSE(CONTROL!$C$42, 21.9428, 21.9428)* CHOOSE(CONTROL!$C$21, $C$9, 100%, $E$9)</f>
        <v>21.942799999999998</v>
      </c>
      <c r="J456" s="17">
        <f>CHOOSE(CONTROL!$C$42, 21.8736, 21.8736)* CHOOSE(CONTROL!$C$21, $C$9, 100%, $E$9)</f>
        <v>21.8736</v>
      </c>
      <c r="K456" s="52">
        <f>CHOOSE(CONTROL!$C$42, 21.9385, 21.9385) * CHOOSE(CONTROL!$C$21, $C$9, 100%, $E$9)</f>
        <v>21.938500000000001</v>
      </c>
      <c r="L456" s="17">
        <f>CHOOSE(CONTROL!$C$42, 22.5648, 22.5648) * CHOOSE(CONTROL!$C$21, $C$9, 100%, $E$9)</f>
        <v>22.564800000000002</v>
      </c>
      <c r="M456" s="17">
        <f>CHOOSE(CONTROL!$C$42, 21.4879, 21.4879) * CHOOSE(CONTROL!$C$21, $C$9, 100%, $E$9)</f>
        <v>21.4879</v>
      </c>
      <c r="N456" s="17">
        <f>CHOOSE(CONTROL!$C$42, 21.5052, 21.5052) * CHOOSE(CONTROL!$C$21, $C$9, 100%, $E$9)</f>
        <v>21.505199999999999</v>
      </c>
      <c r="O456" s="17">
        <f>CHOOSE(CONTROL!$C$42, 21.5901, 21.5901) * CHOOSE(CONTROL!$C$21, $C$9, 100%, $E$9)</f>
        <v>21.5901</v>
      </c>
      <c r="P456" s="17">
        <f>CHOOSE(CONTROL!$C$42, 21.5546, 21.5546) * CHOOSE(CONTROL!$C$21, $C$9, 100%, $E$9)</f>
        <v>21.554600000000001</v>
      </c>
      <c r="Q456" s="17">
        <f>CHOOSE(CONTROL!$C$42, 22.1848, 22.1848) * CHOOSE(CONTROL!$C$21, $C$9, 100%, $E$9)</f>
        <v>22.184799999999999</v>
      </c>
      <c r="R456" s="17">
        <f>CHOOSE(CONTROL!$C$42, 22.8273, 22.8273) * CHOOSE(CONTROL!$C$21, $C$9, 100%, $E$9)</f>
        <v>22.827300000000001</v>
      </c>
      <c r="S456" s="17">
        <f>CHOOSE(CONTROL!$C$42, 20.9913, 20.9913) * CHOOSE(CONTROL!$C$21, $C$9, 100%, $E$9)</f>
        <v>20.991299999999999</v>
      </c>
      <c r="T45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56" s="56">
        <f>(1000*CHOOSE(CONTROL!$C$42, 695, 695)*CHOOSE(CONTROL!$C$42, 0.5599, 0.5599)*CHOOSE(CONTROL!$C$42, 31, 31))/1000000</f>
        <v>12.063045499999998</v>
      </c>
      <c r="V456" s="56">
        <f>(1000*CHOOSE(CONTROL!$C$42, 500, 500)*CHOOSE(CONTROL!$C$42, 0.275, 0.275)*CHOOSE(CONTROL!$C$42, 31, 31))/1000000</f>
        <v>4.2625000000000002</v>
      </c>
      <c r="W456" s="56">
        <f>(1000*CHOOSE(CONTROL!$C$42, 0.1146, 0.1146)*CHOOSE(CONTROL!$C$42, 121.5, 121.5)*CHOOSE(CONTROL!$C$42, 31, 31))/1000000</f>
        <v>0.43164089999999994</v>
      </c>
      <c r="X456" s="56">
        <f>(31*0.2374*100000/1000000)</f>
        <v>0.73594000000000004</v>
      </c>
      <c r="Y456" s="56"/>
      <c r="Z456" s="17"/>
      <c r="AA456" s="55"/>
      <c r="AB456" s="48">
        <f>(B456*122.58+C456*297.941+D456*89.177+E456*140.302+F456*40+G456*60+H456*0+I456*100+J456*300)/(122.58+297.941+89.177+140.302+0+40+60+100+300)</f>
        <v>21.895727696608692</v>
      </c>
      <c r="AC456" s="45">
        <f>(M456*'RAP TEMPLATE-GAS AVAILABILITY'!O455+N456*'RAP TEMPLATE-GAS AVAILABILITY'!P455+O456*'RAP TEMPLATE-GAS AVAILABILITY'!Q455+P456*'RAP TEMPLATE-GAS AVAILABILITY'!R455)/('RAP TEMPLATE-GAS AVAILABILITY'!O455+'RAP TEMPLATE-GAS AVAILABILITY'!P455+'RAP TEMPLATE-GAS AVAILABILITY'!Q455+'RAP TEMPLATE-GAS AVAILABILITY'!R455)</f>
        <v>21.544813669064748</v>
      </c>
    </row>
    <row r="457" spans="1:29" ht="15.75" x14ac:dyDescent="0.25">
      <c r="A457" s="14">
        <v>54819</v>
      </c>
      <c r="B457" s="17">
        <f>CHOOSE(CONTROL!$C$42, 23.6653, 23.6653) * CHOOSE(CONTROL!$C$21, $C$9, 100%, $E$9)</f>
        <v>23.665299999999998</v>
      </c>
      <c r="C457" s="17">
        <f>CHOOSE(CONTROL!$C$42, 23.6704, 23.6704) * CHOOSE(CONTROL!$C$21, $C$9, 100%, $E$9)</f>
        <v>23.670400000000001</v>
      </c>
      <c r="D457" s="17">
        <f>CHOOSE(CONTROL!$C$42, 23.7888, 23.7888) * CHOOSE(CONTROL!$C$21, $C$9, 100%, $E$9)</f>
        <v>23.788799999999998</v>
      </c>
      <c r="E457" s="17">
        <f>CHOOSE(CONTROL!$C$42, 23.8229, 23.8229) * CHOOSE(CONTROL!$C$21, $C$9, 100%, $E$9)</f>
        <v>23.822900000000001</v>
      </c>
      <c r="F457" s="17">
        <f>CHOOSE(CONTROL!$C$42, 23.6857, 23.6857)*CHOOSE(CONTROL!$C$21, $C$9, 100%, $E$9)</f>
        <v>23.685700000000001</v>
      </c>
      <c r="G457" s="17">
        <f>CHOOSE(CONTROL!$C$42, 23.7025, 23.7025)*CHOOSE(CONTROL!$C$21, $C$9, 100%, $E$9)</f>
        <v>23.702500000000001</v>
      </c>
      <c r="H457" s="17">
        <f>CHOOSE(CONTROL!$C$42, 23.8121, 23.8121) * CHOOSE(CONTROL!$C$21, $C$9, 100%, $E$9)</f>
        <v>23.812100000000001</v>
      </c>
      <c r="I457" s="17">
        <f>CHOOSE(CONTROL!$C$42, 23.763, 23.763)* CHOOSE(CONTROL!$C$21, $C$9, 100%, $E$9)</f>
        <v>23.763000000000002</v>
      </c>
      <c r="J457" s="17">
        <f>CHOOSE(CONTROL!$C$42, 23.6787, 23.6787)* CHOOSE(CONTROL!$C$21, $C$9, 100%, $E$9)</f>
        <v>23.678699999999999</v>
      </c>
      <c r="K457" s="52">
        <f>CHOOSE(CONTROL!$C$42, 23.7588, 23.7588) * CHOOSE(CONTROL!$C$21, $C$9, 100%, $E$9)</f>
        <v>23.758800000000001</v>
      </c>
      <c r="L457" s="17">
        <f>CHOOSE(CONTROL!$C$42, 24.3991, 24.3991) * CHOOSE(CONTROL!$C$21, $C$9, 100%, $E$9)</f>
        <v>24.399100000000001</v>
      </c>
      <c r="M457" s="17">
        <f>CHOOSE(CONTROL!$C$42, 23.2605, 23.2605) * CHOOSE(CONTROL!$C$21, $C$9, 100%, $E$9)</f>
        <v>23.2605</v>
      </c>
      <c r="N457" s="17">
        <f>CHOOSE(CONTROL!$C$42, 23.277, 23.277) * CHOOSE(CONTROL!$C$21, $C$9, 100%, $E$9)</f>
        <v>23.277000000000001</v>
      </c>
      <c r="O457" s="17">
        <f>CHOOSE(CONTROL!$C$42, 23.3915, 23.3915) * CHOOSE(CONTROL!$C$21, $C$9, 100%, $E$9)</f>
        <v>23.391500000000001</v>
      </c>
      <c r="P457" s="17">
        <f>CHOOSE(CONTROL!$C$42, 23.3421, 23.3421) * CHOOSE(CONTROL!$C$21, $C$9, 100%, $E$9)</f>
        <v>23.342099999999999</v>
      </c>
      <c r="Q457" s="17">
        <f>CHOOSE(CONTROL!$C$42, 23.9862, 23.9862) * CHOOSE(CONTROL!$C$21, $C$9, 100%, $E$9)</f>
        <v>23.9862</v>
      </c>
      <c r="R457" s="17">
        <f>CHOOSE(CONTROL!$C$42, 24.6332, 24.6332) * CHOOSE(CONTROL!$C$21, $C$9, 100%, $E$9)</f>
        <v>24.633199999999999</v>
      </c>
      <c r="S457" s="17">
        <f>CHOOSE(CONTROL!$C$42, 22.7315, 22.7315) * CHOOSE(CONTROL!$C$21, $C$9, 100%, $E$9)</f>
        <v>22.7315</v>
      </c>
      <c r="T45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57" s="56">
        <f>(1000*CHOOSE(CONTROL!$C$42, 695, 695)*CHOOSE(CONTROL!$C$42, 0.5599, 0.5599)*CHOOSE(CONTROL!$C$42, 31, 31))/1000000</f>
        <v>12.063045499999998</v>
      </c>
      <c r="V457" s="56">
        <f>(1000*CHOOSE(CONTROL!$C$42, 500, 500)*CHOOSE(CONTROL!$C$42, 0.275, 0.275)*CHOOSE(CONTROL!$C$42, 31, 31))/1000000</f>
        <v>4.2625000000000002</v>
      </c>
      <c r="W457" s="56">
        <f>(1000*CHOOSE(CONTROL!$C$42, 0.1146, 0.1146)*CHOOSE(CONTROL!$C$42, 121.5, 121.5)*CHOOSE(CONTROL!$C$42, 31, 31))/1000000</f>
        <v>0.43164089999999994</v>
      </c>
      <c r="X457" s="56">
        <f>(31*0.2374*100000/1000000)</f>
        <v>0.73594000000000004</v>
      </c>
      <c r="Y457" s="56"/>
      <c r="Z457" s="17"/>
      <c r="AA457" s="55"/>
      <c r="AB457" s="48">
        <f>(B457*122.58+C457*297.941+D457*89.177+E457*140.302+F457*40+G457*60+H457*0+I457*100+J457*300)/(122.58+297.941+89.177+140.302+0+40+60+100+300)</f>
        <v>23.710067351130434</v>
      </c>
      <c r="AC457" s="45">
        <f>(M457*'RAP TEMPLATE-GAS AVAILABILITY'!O456+N457*'RAP TEMPLATE-GAS AVAILABILITY'!P456+O457*'RAP TEMPLATE-GAS AVAILABILITY'!Q456+P457*'RAP TEMPLATE-GAS AVAILABILITY'!R456)/('RAP TEMPLATE-GAS AVAILABILITY'!O456+'RAP TEMPLATE-GAS AVAILABILITY'!P456+'RAP TEMPLATE-GAS AVAILABILITY'!Q456+'RAP TEMPLATE-GAS AVAILABILITY'!R456)</f>
        <v>23.332564748201438</v>
      </c>
    </row>
    <row r="458" spans="1:29" ht="15.75" x14ac:dyDescent="0.25">
      <c r="A458" s="14">
        <v>54847</v>
      </c>
      <c r="B458" s="17">
        <f>CHOOSE(CONTROL!$C$42, 24.0864, 24.0864) * CHOOSE(CONTROL!$C$21, $C$9, 100%, $E$9)</f>
        <v>24.086400000000001</v>
      </c>
      <c r="C458" s="17">
        <f>CHOOSE(CONTROL!$C$42, 24.0915, 24.0915) * CHOOSE(CONTROL!$C$21, $C$9, 100%, $E$9)</f>
        <v>24.0915</v>
      </c>
      <c r="D458" s="17">
        <f>CHOOSE(CONTROL!$C$42, 24.2099, 24.2099) * CHOOSE(CONTROL!$C$21, $C$9, 100%, $E$9)</f>
        <v>24.209900000000001</v>
      </c>
      <c r="E458" s="17">
        <f>CHOOSE(CONTROL!$C$42, 24.244, 24.244) * CHOOSE(CONTROL!$C$21, $C$9, 100%, $E$9)</f>
        <v>24.244</v>
      </c>
      <c r="F458" s="17">
        <f>CHOOSE(CONTROL!$C$42, 24.1068, 24.1068)*CHOOSE(CONTROL!$C$21, $C$9, 100%, $E$9)</f>
        <v>24.1068</v>
      </c>
      <c r="G458" s="17">
        <f>CHOOSE(CONTROL!$C$42, 24.1236, 24.1236)*CHOOSE(CONTROL!$C$21, $C$9, 100%, $E$9)</f>
        <v>24.1236</v>
      </c>
      <c r="H458" s="17">
        <f>CHOOSE(CONTROL!$C$42, 24.2332, 24.2332) * CHOOSE(CONTROL!$C$21, $C$9, 100%, $E$9)</f>
        <v>24.2332</v>
      </c>
      <c r="I458" s="17">
        <f>CHOOSE(CONTROL!$C$42, 24.1855, 24.1855)* CHOOSE(CONTROL!$C$21, $C$9, 100%, $E$9)</f>
        <v>24.185500000000001</v>
      </c>
      <c r="J458" s="17">
        <f>CHOOSE(CONTROL!$C$42, 24.0998, 24.0998)* CHOOSE(CONTROL!$C$21, $C$9, 100%, $E$9)</f>
        <v>24.099799999999998</v>
      </c>
      <c r="K458" s="52">
        <f>CHOOSE(CONTROL!$C$42, 24.1812, 24.1812) * CHOOSE(CONTROL!$C$21, $C$9, 100%, $E$9)</f>
        <v>24.1812</v>
      </c>
      <c r="L458" s="17">
        <f>CHOOSE(CONTROL!$C$42, 24.8202, 24.8202) * CHOOSE(CONTROL!$C$21, $C$9, 100%, $E$9)</f>
        <v>24.8202</v>
      </c>
      <c r="M458" s="17">
        <f>CHOOSE(CONTROL!$C$42, 23.674, 23.674) * CHOOSE(CONTROL!$C$21, $C$9, 100%, $E$9)</f>
        <v>23.673999999999999</v>
      </c>
      <c r="N458" s="17">
        <f>CHOOSE(CONTROL!$C$42, 23.6905, 23.6905) * CHOOSE(CONTROL!$C$21, $C$9, 100%, $E$9)</f>
        <v>23.6905</v>
      </c>
      <c r="O458" s="17">
        <f>CHOOSE(CONTROL!$C$42, 23.805, 23.805) * CHOOSE(CONTROL!$C$21, $C$9, 100%, $E$9)</f>
        <v>23.805</v>
      </c>
      <c r="P458" s="17">
        <f>CHOOSE(CONTROL!$C$42, 23.7569, 23.7569) * CHOOSE(CONTROL!$C$21, $C$9, 100%, $E$9)</f>
        <v>23.756900000000002</v>
      </c>
      <c r="Q458" s="17">
        <f>CHOOSE(CONTROL!$C$42, 24.3997, 24.3997) * CHOOSE(CONTROL!$C$21, $C$9, 100%, $E$9)</f>
        <v>24.399699999999999</v>
      </c>
      <c r="R458" s="17">
        <f>CHOOSE(CONTROL!$C$42, 25.0477, 25.0477) * CHOOSE(CONTROL!$C$21, $C$9, 100%, $E$9)</f>
        <v>25.047699999999999</v>
      </c>
      <c r="S458" s="17">
        <f>CHOOSE(CONTROL!$C$42, 23.1361, 23.1361) * CHOOSE(CONTROL!$C$21, $C$9, 100%, $E$9)</f>
        <v>23.136099999999999</v>
      </c>
      <c r="T45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58" s="56">
        <f>(1000*CHOOSE(CONTROL!$C$42, 695, 695)*CHOOSE(CONTROL!$C$42, 0.5599, 0.5599)*CHOOSE(CONTROL!$C$42, 28, 28))/1000000</f>
        <v>10.895653999999999</v>
      </c>
      <c r="V458" s="56">
        <f>(1000*CHOOSE(CONTROL!$C$42, 500, 500)*CHOOSE(CONTROL!$C$42, 0.275, 0.275)*CHOOSE(CONTROL!$C$42, 28, 28))/1000000</f>
        <v>3.85</v>
      </c>
      <c r="W458" s="56">
        <f>(1000*CHOOSE(CONTROL!$C$42, 0.1146, 0.1146)*CHOOSE(CONTROL!$C$42, 121.5, 121.5)*CHOOSE(CONTROL!$C$42, 28, 28))/1000000</f>
        <v>0.38986920000000003</v>
      </c>
      <c r="X458" s="56">
        <f>(28*0.2374*100000/1000000)</f>
        <v>0.66471999999999998</v>
      </c>
      <c r="Y458" s="56"/>
      <c r="Z458" s="17"/>
      <c r="AA458" s="55"/>
      <c r="AB458" s="48">
        <f>(B458*122.58+C458*297.941+D458*89.177+E458*140.302+F458*40+G458*60+H458*0+I458*100+J458*300)/(122.58+297.941+89.177+140.302+0+40+60+100+300)</f>
        <v>24.131289090260868</v>
      </c>
      <c r="AC458" s="45">
        <f>(M458*'RAP TEMPLATE-GAS AVAILABILITY'!O457+N458*'RAP TEMPLATE-GAS AVAILABILITY'!P457+O458*'RAP TEMPLATE-GAS AVAILABILITY'!Q457+P458*'RAP TEMPLATE-GAS AVAILABILITY'!R457)/('RAP TEMPLATE-GAS AVAILABILITY'!O457+'RAP TEMPLATE-GAS AVAILABILITY'!P457+'RAP TEMPLATE-GAS AVAILABILITY'!Q457+'RAP TEMPLATE-GAS AVAILABILITY'!R457)</f>
        <v>23.746251798561151</v>
      </c>
    </row>
    <row r="459" spans="1:29" ht="15.75" x14ac:dyDescent="0.25">
      <c r="A459" s="14">
        <v>54878</v>
      </c>
      <c r="B459" s="17">
        <f>CHOOSE(CONTROL!$C$42, 23.4029, 23.4029) * CHOOSE(CONTROL!$C$21, $C$9, 100%, $E$9)</f>
        <v>23.402899999999999</v>
      </c>
      <c r="C459" s="17">
        <f>CHOOSE(CONTROL!$C$42, 23.4079, 23.4079) * CHOOSE(CONTROL!$C$21, $C$9, 100%, $E$9)</f>
        <v>23.407900000000001</v>
      </c>
      <c r="D459" s="17">
        <f>CHOOSE(CONTROL!$C$42, 23.5264, 23.5264) * CHOOSE(CONTROL!$C$21, $C$9, 100%, $E$9)</f>
        <v>23.526399999999999</v>
      </c>
      <c r="E459" s="17">
        <f>CHOOSE(CONTROL!$C$42, 23.5605, 23.5605) * CHOOSE(CONTROL!$C$21, $C$9, 100%, $E$9)</f>
        <v>23.560500000000001</v>
      </c>
      <c r="F459" s="17">
        <f>CHOOSE(CONTROL!$C$42, 23.4226, 23.4226)*CHOOSE(CONTROL!$C$21, $C$9, 100%, $E$9)</f>
        <v>23.422599999999999</v>
      </c>
      <c r="G459" s="17">
        <f>CHOOSE(CONTROL!$C$42, 23.4392, 23.4392)*CHOOSE(CONTROL!$C$21, $C$9, 100%, $E$9)</f>
        <v>23.4392</v>
      </c>
      <c r="H459" s="17">
        <f>CHOOSE(CONTROL!$C$42, 23.5497, 23.5497) * CHOOSE(CONTROL!$C$21, $C$9, 100%, $E$9)</f>
        <v>23.549700000000001</v>
      </c>
      <c r="I459" s="17">
        <f>CHOOSE(CONTROL!$C$42, 23.4998, 23.4998)* CHOOSE(CONTROL!$C$21, $C$9, 100%, $E$9)</f>
        <v>23.4998</v>
      </c>
      <c r="J459" s="17">
        <f>CHOOSE(CONTROL!$C$42, 23.4156, 23.4156)* CHOOSE(CONTROL!$C$21, $C$9, 100%, $E$9)</f>
        <v>23.415600000000001</v>
      </c>
      <c r="K459" s="52">
        <f>CHOOSE(CONTROL!$C$42, 23.4955, 23.4955) * CHOOSE(CONTROL!$C$21, $C$9, 100%, $E$9)</f>
        <v>23.4955</v>
      </c>
      <c r="L459" s="17">
        <f>CHOOSE(CONTROL!$C$42, 24.1367, 24.1367) * CHOOSE(CONTROL!$C$21, $C$9, 100%, $E$9)</f>
        <v>24.136700000000001</v>
      </c>
      <c r="M459" s="17">
        <f>CHOOSE(CONTROL!$C$42, 23.0021, 23.0021) * CHOOSE(CONTROL!$C$21, $C$9, 100%, $E$9)</f>
        <v>23.002099999999999</v>
      </c>
      <c r="N459" s="17">
        <f>CHOOSE(CONTROL!$C$42, 23.0184, 23.0184) * CHOOSE(CONTROL!$C$21, $C$9, 100%, $E$9)</f>
        <v>23.0184</v>
      </c>
      <c r="O459" s="17">
        <f>CHOOSE(CONTROL!$C$42, 23.1338, 23.1338) * CHOOSE(CONTROL!$C$21, $C$9, 100%, $E$9)</f>
        <v>23.133800000000001</v>
      </c>
      <c r="P459" s="17">
        <f>CHOOSE(CONTROL!$C$42, 23.0835, 23.0835) * CHOOSE(CONTROL!$C$21, $C$9, 100%, $E$9)</f>
        <v>23.083500000000001</v>
      </c>
      <c r="Q459" s="17">
        <f>CHOOSE(CONTROL!$C$42, 23.7285, 23.7285) * CHOOSE(CONTROL!$C$21, $C$9, 100%, $E$9)</f>
        <v>23.7285</v>
      </c>
      <c r="R459" s="17">
        <f>CHOOSE(CONTROL!$C$42, 24.3748, 24.3748) * CHOOSE(CONTROL!$C$21, $C$9, 100%, $E$9)</f>
        <v>24.3748</v>
      </c>
      <c r="S459" s="17">
        <f>CHOOSE(CONTROL!$C$42, 22.4793, 22.4793) * CHOOSE(CONTROL!$C$21, $C$9, 100%, $E$9)</f>
        <v>22.479299999999999</v>
      </c>
      <c r="T45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59" s="56">
        <f>(1000*CHOOSE(CONTROL!$C$42, 695, 695)*CHOOSE(CONTROL!$C$42, 0.5599, 0.5599)*CHOOSE(CONTROL!$C$42, 31, 31))/1000000</f>
        <v>12.063045499999998</v>
      </c>
      <c r="V459" s="56">
        <f>(1000*CHOOSE(CONTROL!$C$42, 500, 500)*CHOOSE(CONTROL!$C$42, 0.275, 0.275)*CHOOSE(CONTROL!$C$42, 31, 31))/1000000</f>
        <v>4.2625000000000002</v>
      </c>
      <c r="W459" s="56">
        <f>(1000*CHOOSE(CONTROL!$C$42, 0.1146, 0.1146)*CHOOSE(CONTROL!$C$42, 121.5, 121.5)*CHOOSE(CONTROL!$C$42, 31, 31))/1000000</f>
        <v>0.43164089999999994</v>
      </c>
      <c r="X459" s="56">
        <f>(31*0.2374*100000/1000000)</f>
        <v>0.73594000000000004</v>
      </c>
      <c r="Y459" s="56"/>
      <c r="Z459" s="17"/>
      <c r="AA459" s="55"/>
      <c r="AB459" s="48">
        <f>(B459*122.58+C459*297.941+D459*89.177+E459*140.302+F459*40+G459*60+H459*0+I459*100+J459*300)/(122.58+297.941+89.177+140.302+0+40+60+100+300)</f>
        <v>23.447317964956522</v>
      </c>
      <c r="AC459" s="45">
        <f>(M459*'RAP TEMPLATE-GAS AVAILABILITY'!O458+N459*'RAP TEMPLATE-GAS AVAILABILITY'!P458+O459*'RAP TEMPLATE-GAS AVAILABILITY'!Q458+P459*'RAP TEMPLATE-GAS AVAILABILITY'!R458)/('RAP TEMPLATE-GAS AVAILABILITY'!O458+'RAP TEMPLATE-GAS AVAILABILITY'!P458+'RAP TEMPLATE-GAS AVAILABILITY'!Q458+'RAP TEMPLATE-GAS AVAILABILITY'!R458)</f>
        <v>23.074441726618705</v>
      </c>
    </row>
    <row r="460" spans="1:29" ht="15.75" x14ac:dyDescent="0.25">
      <c r="A460" s="14">
        <v>54908</v>
      </c>
      <c r="B460" s="17">
        <f>CHOOSE(CONTROL!$C$42, 23.3338, 23.3338) * CHOOSE(CONTROL!$C$21, $C$9, 100%, $E$9)</f>
        <v>23.3338</v>
      </c>
      <c r="C460" s="17">
        <f>CHOOSE(CONTROL!$C$42, 23.3383, 23.3383) * CHOOSE(CONTROL!$C$21, $C$9, 100%, $E$9)</f>
        <v>23.3383</v>
      </c>
      <c r="D460" s="17">
        <f>CHOOSE(CONTROL!$C$42, 23.6125, 23.6125) * CHOOSE(CONTROL!$C$21, $C$9, 100%, $E$9)</f>
        <v>23.612500000000001</v>
      </c>
      <c r="E460" s="17">
        <f>CHOOSE(CONTROL!$C$42, 23.6446, 23.6446) * CHOOSE(CONTROL!$C$21, $C$9, 100%, $E$9)</f>
        <v>23.644600000000001</v>
      </c>
      <c r="F460" s="17">
        <f>CHOOSE(CONTROL!$C$42, 23.3531, 23.3531)*CHOOSE(CONTROL!$C$21, $C$9, 100%, $E$9)</f>
        <v>23.353100000000001</v>
      </c>
      <c r="G460" s="17">
        <f>CHOOSE(CONTROL!$C$42, 23.3695, 23.3695)*CHOOSE(CONTROL!$C$21, $C$9, 100%, $E$9)</f>
        <v>23.369499999999999</v>
      </c>
      <c r="H460" s="17">
        <f>CHOOSE(CONTROL!$C$42, 23.6344, 23.6344) * CHOOSE(CONTROL!$C$21, $C$9, 100%, $E$9)</f>
        <v>23.634399999999999</v>
      </c>
      <c r="I460" s="17">
        <f>CHOOSE(CONTROL!$C$42, 23.4282, 23.4282)* CHOOSE(CONTROL!$C$21, $C$9, 100%, $E$9)</f>
        <v>23.4282</v>
      </c>
      <c r="J460" s="17">
        <f>CHOOSE(CONTROL!$C$42, 23.3461, 23.3461)* CHOOSE(CONTROL!$C$21, $C$9, 100%, $E$9)</f>
        <v>23.3461</v>
      </c>
      <c r="K460" s="52">
        <f>CHOOSE(CONTROL!$C$42, 23.4239, 23.4239) * CHOOSE(CONTROL!$C$21, $C$9, 100%, $E$9)</f>
        <v>23.4239</v>
      </c>
      <c r="L460" s="17">
        <f>CHOOSE(CONTROL!$C$42, 24.2214, 24.2214) * CHOOSE(CONTROL!$C$21, $C$9, 100%, $E$9)</f>
        <v>24.221399999999999</v>
      </c>
      <c r="M460" s="17">
        <f>CHOOSE(CONTROL!$C$42, 22.9339, 22.9339) * CHOOSE(CONTROL!$C$21, $C$9, 100%, $E$9)</f>
        <v>22.933900000000001</v>
      </c>
      <c r="N460" s="17">
        <f>CHOOSE(CONTROL!$C$42, 22.95, 22.95) * CHOOSE(CONTROL!$C$21, $C$9, 100%, $E$9)</f>
        <v>22.95</v>
      </c>
      <c r="O460" s="17">
        <f>CHOOSE(CONTROL!$C$42, 23.217, 23.217) * CHOOSE(CONTROL!$C$21, $C$9, 100%, $E$9)</f>
        <v>23.216999999999999</v>
      </c>
      <c r="P460" s="17">
        <f>CHOOSE(CONTROL!$C$42, 23.0132, 23.0132) * CHOOSE(CONTROL!$C$21, $C$9, 100%, $E$9)</f>
        <v>23.013200000000001</v>
      </c>
      <c r="Q460" s="17">
        <f>CHOOSE(CONTROL!$C$42, 23.8117, 23.8117) * CHOOSE(CONTROL!$C$21, $C$9, 100%, $E$9)</f>
        <v>23.811699999999998</v>
      </c>
      <c r="R460" s="17">
        <f>CHOOSE(CONTROL!$C$42, 24.4582, 24.4582) * CHOOSE(CONTROL!$C$21, $C$9, 100%, $E$9)</f>
        <v>24.458200000000001</v>
      </c>
      <c r="S460" s="17">
        <f>CHOOSE(CONTROL!$C$42, 22.4122, 22.4122) * CHOOSE(CONTROL!$C$21, $C$9, 100%, $E$9)</f>
        <v>22.412199999999999</v>
      </c>
      <c r="T46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60" s="56">
        <f>(1000*CHOOSE(CONTROL!$C$42, 695, 695)*CHOOSE(CONTROL!$C$42, 0.5599, 0.5599)*CHOOSE(CONTROL!$C$42, 30, 30))/1000000</f>
        <v>11.673914999999997</v>
      </c>
      <c r="V460" s="56">
        <f>(1000*CHOOSE(CONTROL!$C$42, 500, 500)*CHOOSE(CONTROL!$C$42, 0.275, 0.275)*CHOOSE(CONTROL!$C$42, 30, 30))/1000000</f>
        <v>4.125</v>
      </c>
      <c r="W460" s="56">
        <f>(1000*CHOOSE(CONTROL!$C$42, 0.1146, 0.1146)*CHOOSE(CONTROL!$C$42, 121.5, 121.5)*CHOOSE(CONTROL!$C$42, 30, 30))/1000000</f>
        <v>0.417717</v>
      </c>
      <c r="X460" s="56">
        <f>(30*0.1790888*145000/1000000)+(30*0.2374*100000/1000000)</f>
        <v>1.4912362799999999</v>
      </c>
      <c r="Y460" s="56"/>
      <c r="Z460" s="17"/>
      <c r="AA460" s="55"/>
      <c r="AB460" s="48">
        <f>(B460*141.293+C460*267.993+D460*115.016+E460*189.698+F460*40+G460*85+H460*0+I460*100+J460*300)/(141.293+267.993+115.016+189.698+0+40+85+100+300)</f>
        <v>23.421899730508475</v>
      </c>
      <c r="AC460" s="45">
        <f>(M460*'RAP TEMPLATE-GAS AVAILABILITY'!O459+N460*'RAP TEMPLATE-GAS AVAILABILITY'!P459+O460*'RAP TEMPLATE-GAS AVAILABILITY'!Q459+P460*'RAP TEMPLATE-GAS AVAILABILITY'!R459)/('RAP TEMPLATE-GAS AVAILABILITY'!O459+'RAP TEMPLATE-GAS AVAILABILITY'!P459+'RAP TEMPLATE-GAS AVAILABILITY'!Q459+'RAP TEMPLATE-GAS AVAILABILITY'!R459)</f>
        <v>23.028447482014389</v>
      </c>
    </row>
    <row r="461" spans="1:29" ht="15.75" x14ac:dyDescent="0.25">
      <c r="A461" s="14">
        <v>54939</v>
      </c>
      <c r="B461" s="17">
        <f>CHOOSE(CONTROL!$C$42, 23.5411, 23.5411) * CHOOSE(CONTROL!$C$21, $C$9, 100%, $E$9)</f>
        <v>23.5411</v>
      </c>
      <c r="C461" s="17">
        <f>CHOOSE(CONTROL!$C$42, 23.5491, 23.5491) * CHOOSE(CONTROL!$C$21, $C$9, 100%, $E$9)</f>
        <v>23.549099999999999</v>
      </c>
      <c r="D461" s="17">
        <f>CHOOSE(CONTROL!$C$42, 23.8202, 23.8202) * CHOOSE(CONTROL!$C$21, $C$9, 100%, $E$9)</f>
        <v>23.8202</v>
      </c>
      <c r="E461" s="17">
        <f>CHOOSE(CONTROL!$C$42, 23.8516, 23.8516) * CHOOSE(CONTROL!$C$21, $C$9, 100%, $E$9)</f>
        <v>23.851600000000001</v>
      </c>
      <c r="F461" s="17">
        <f>CHOOSE(CONTROL!$C$42, 23.5592, 23.5592)*CHOOSE(CONTROL!$C$21, $C$9, 100%, $E$9)</f>
        <v>23.559200000000001</v>
      </c>
      <c r="G461" s="17">
        <f>CHOOSE(CONTROL!$C$42, 23.5759, 23.5759)*CHOOSE(CONTROL!$C$21, $C$9, 100%, $E$9)</f>
        <v>23.575900000000001</v>
      </c>
      <c r="H461" s="17">
        <f>CHOOSE(CONTROL!$C$42, 23.8403, 23.8403) * CHOOSE(CONTROL!$C$21, $C$9, 100%, $E$9)</f>
        <v>23.840299999999999</v>
      </c>
      <c r="I461" s="17">
        <f>CHOOSE(CONTROL!$C$42, 23.6347, 23.6347)* CHOOSE(CONTROL!$C$21, $C$9, 100%, $E$9)</f>
        <v>23.634699999999999</v>
      </c>
      <c r="J461" s="17">
        <f>CHOOSE(CONTROL!$C$42, 23.5522, 23.5522)* CHOOSE(CONTROL!$C$21, $C$9, 100%, $E$9)</f>
        <v>23.552199999999999</v>
      </c>
      <c r="K461" s="52">
        <f>CHOOSE(CONTROL!$C$42, 23.6304, 23.6304) * CHOOSE(CONTROL!$C$21, $C$9, 100%, $E$9)</f>
        <v>23.630400000000002</v>
      </c>
      <c r="L461" s="17">
        <f>CHOOSE(CONTROL!$C$42, 24.4273, 24.4273) * CHOOSE(CONTROL!$C$21, $C$9, 100%, $E$9)</f>
        <v>24.427299999999999</v>
      </c>
      <c r="M461" s="17">
        <f>CHOOSE(CONTROL!$C$42, 23.1363, 23.1363) * CHOOSE(CONTROL!$C$21, $C$9, 100%, $E$9)</f>
        <v>23.136299999999999</v>
      </c>
      <c r="N461" s="17">
        <f>CHOOSE(CONTROL!$C$42, 23.1526, 23.1526) * CHOOSE(CONTROL!$C$21, $C$9, 100%, $E$9)</f>
        <v>23.1526</v>
      </c>
      <c r="O461" s="17">
        <f>CHOOSE(CONTROL!$C$42, 23.4191, 23.4191) * CHOOSE(CONTROL!$C$21, $C$9, 100%, $E$9)</f>
        <v>23.4191</v>
      </c>
      <c r="P461" s="17">
        <f>CHOOSE(CONTROL!$C$42, 23.216, 23.216) * CHOOSE(CONTROL!$C$21, $C$9, 100%, $E$9)</f>
        <v>23.216000000000001</v>
      </c>
      <c r="Q461" s="17">
        <f>CHOOSE(CONTROL!$C$42, 24.0138, 24.0138) * CHOOSE(CONTROL!$C$21, $C$9, 100%, $E$9)</f>
        <v>24.0138</v>
      </c>
      <c r="R461" s="17">
        <f>CHOOSE(CONTROL!$C$42, 24.6609, 24.6609) * CHOOSE(CONTROL!$C$21, $C$9, 100%, $E$9)</f>
        <v>24.660900000000002</v>
      </c>
      <c r="S461" s="17">
        <f>CHOOSE(CONTROL!$C$42, 22.61, 22.61) * CHOOSE(CONTROL!$C$21, $C$9, 100%, $E$9)</f>
        <v>22.61</v>
      </c>
      <c r="T46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61" s="56">
        <f>(1000*CHOOSE(CONTROL!$C$42, 695, 695)*CHOOSE(CONTROL!$C$42, 0.5599, 0.5599)*CHOOSE(CONTROL!$C$42, 31, 31))/1000000</f>
        <v>12.063045499999998</v>
      </c>
      <c r="V461" s="56">
        <f>(1000*CHOOSE(CONTROL!$C$42, 500, 500)*CHOOSE(CONTROL!$C$42, 0.275, 0.275)*CHOOSE(CONTROL!$C$42, 31, 31))/1000000</f>
        <v>4.2625000000000002</v>
      </c>
      <c r="W461" s="56">
        <f>(1000*CHOOSE(CONTROL!$C$42, 0.1146, 0.1146)*CHOOSE(CONTROL!$C$42, 121.5, 121.5)*CHOOSE(CONTROL!$C$42, 31, 31))/1000000</f>
        <v>0.43164089999999994</v>
      </c>
      <c r="X461" s="56">
        <f>(31*0.1790888*145000/1000000)+(31*0.2374*100000/1000000)</f>
        <v>1.5409441560000001</v>
      </c>
      <c r="Y461" s="56"/>
      <c r="Z461" s="17"/>
      <c r="AA461" s="55"/>
      <c r="AB461" s="48">
        <f>(B461*194.205+C461*267.466+D461*133.845+E461*153.484+F461*40+G461*85+H461*0+I461*100+J461*300)/(194.205+267.466+133.845+153.484+0+40+85+100+300)</f>
        <v>23.622359536499214</v>
      </c>
      <c r="AC461" s="45">
        <f>(M461*'RAP TEMPLATE-GAS AVAILABILITY'!O460+N461*'RAP TEMPLATE-GAS AVAILABILITY'!P460+O461*'RAP TEMPLATE-GAS AVAILABILITY'!Q460+P461*'RAP TEMPLATE-GAS AVAILABILITY'!R460)/('RAP TEMPLATE-GAS AVAILABILITY'!O460+'RAP TEMPLATE-GAS AVAILABILITY'!P460+'RAP TEMPLATE-GAS AVAILABILITY'!Q460+'RAP TEMPLATE-GAS AVAILABILITY'!R460)</f>
        <v>23.230866906474823</v>
      </c>
    </row>
    <row r="462" spans="1:29" ht="15.75" x14ac:dyDescent="0.25">
      <c r="A462" s="14">
        <v>54969</v>
      </c>
      <c r="B462" s="17">
        <f>CHOOSE(CONTROL!$C$42, 24.2085, 24.2085) * CHOOSE(CONTROL!$C$21, $C$9, 100%, $E$9)</f>
        <v>24.208500000000001</v>
      </c>
      <c r="C462" s="17">
        <f>CHOOSE(CONTROL!$C$42, 24.2165, 24.2165) * CHOOSE(CONTROL!$C$21, $C$9, 100%, $E$9)</f>
        <v>24.2165</v>
      </c>
      <c r="D462" s="17">
        <f>CHOOSE(CONTROL!$C$42, 24.4876, 24.4876) * CHOOSE(CONTROL!$C$21, $C$9, 100%, $E$9)</f>
        <v>24.4876</v>
      </c>
      <c r="E462" s="17">
        <f>CHOOSE(CONTROL!$C$42, 24.5191, 24.5191) * CHOOSE(CONTROL!$C$21, $C$9, 100%, $E$9)</f>
        <v>24.519100000000002</v>
      </c>
      <c r="F462" s="17">
        <f>CHOOSE(CONTROL!$C$42, 24.227, 24.227)*CHOOSE(CONTROL!$C$21, $C$9, 100%, $E$9)</f>
        <v>24.227</v>
      </c>
      <c r="G462" s="17">
        <f>CHOOSE(CONTROL!$C$42, 24.2437, 24.2437)*CHOOSE(CONTROL!$C$21, $C$9, 100%, $E$9)</f>
        <v>24.2437</v>
      </c>
      <c r="H462" s="17">
        <f>CHOOSE(CONTROL!$C$42, 24.5077, 24.5077) * CHOOSE(CONTROL!$C$21, $C$9, 100%, $E$9)</f>
        <v>24.5077</v>
      </c>
      <c r="I462" s="17">
        <f>CHOOSE(CONTROL!$C$42, 24.3042, 24.3042)* CHOOSE(CONTROL!$C$21, $C$9, 100%, $E$9)</f>
        <v>24.304200000000002</v>
      </c>
      <c r="J462" s="17">
        <f>CHOOSE(CONTROL!$C$42, 24.22, 24.22)* CHOOSE(CONTROL!$C$21, $C$9, 100%, $E$9)</f>
        <v>24.22</v>
      </c>
      <c r="K462" s="52">
        <f>CHOOSE(CONTROL!$C$42, 24.3, 24.3) * CHOOSE(CONTROL!$C$21, $C$9, 100%, $E$9)</f>
        <v>24.3</v>
      </c>
      <c r="L462" s="17">
        <f>CHOOSE(CONTROL!$C$42, 25.0947, 25.0947) * CHOOSE(CONTROL!$C$21, $C$9, 100%, $E$9)</f>
        <v>25.0947</v>
      </c>
      <c r="M462" s="17">
        <f>CHOOSE(CONTROL!$C$42, 23.792, 23.792) * CHOOSE(CONTROL!$C$21, $C$9, 100%, $E$9)</f>
        <v>23.792000000000002</v>
      </c>
      <c r="N462" s="17">
        <f>CHOOSE(CONTROL!$C$42, 23.8084, 23.8084) * CHOOSE(CONTROL!$C$21, $C$9, 100%, $E$9)</f>
        <v>23.808399999999999</v>
      </c>
      <c r="O462" s="17">
        <f>CHOOSE(CONTROL!$C$42, 24.0746, 24.0746) * CHOOSE(CONTROL!$C$21, $C$9, 100%, $E$9)</f>
        <v>24.0746</v>
      </c>
      <c r="P462" s="17">
        <f>CHOOSE(CONTROL!$C$42, 23.8735, 23.8735) * CHOOSE(CONTROL!$C$21, $C$9, 100%, $E$9)</f>
        <v>23.8735</v>
      </c>
      <c r="Q462" s="17">
        <f>CHOOSE(CONTROL!$C$42, 24.6693, 24.6693) * CHOOSE(CONTROL!$C$21, $C$9, 100%, $E$9)</f>
        <v>24.6693</v>
      </c>
      <c r="R462" s="17">
        <f>CHOOSE(CONTROL!$C$42, 25.3179, 25.3179) * CHOOSE(CONTROL!$C$21, $C$9, 100%, $E$9)</f>
        <v>25.317900000000002</v>
      </c>
      <c r="S462" s="17">
        <f>CHOOSE(CONTROL!$C$42, 23.2513, 23.2513) * CHOOSE(CONTROL!$C$21, $C$9, 100%, $E$9)</f>
        <v>23.251300000000001</v>
      </c>
      <c r="T46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62" s="56">
        <f>(1000*CHOOSE(CONTROL!$C$42, 695, 695)*CHOOSE(CONTROL!$C$42, 0.5599, 0.5599)*CHOOSE(CONTROL!$C$42, 30, 30))/1000000</f>
        <v>11.673914999999997</v>
      </c>
      <c r="V462" s="56">
        <f>(1000*CHOOSE(CONTROL!$C$42, 500, 500)*CHOOSE(CONTROL!$C$42, 0.275, 0.275)*CHOOSE(CONTROL!$C$42, 30, 30))/1000000</f>
        <v>4.125</v>
      </c>
      <c r="W462" s="56">
        <f>(1000*CHOOSE(CONTROL!$C$42, 0.1146, 0.1146)*CHOOSE(CONTROL!$C$42, 121.5, 121.5)*CHOOSE(CONTROL!$C$42, 30, 30))/1000000</f>
        <v>0.417717</v>
      </c>
      <c r="X462" s="56">
        <f>(30*0.1790888*145000/1000000)+(30*0.2374*100000/1000000)</f>
        <v>1.4912362799999999</v>
      </c>
      <c r="Y462" s="56"/>
      <c r="Z462" s="17"/>
      <c r="AA462" s="55"/>
      <c r="AB462" s="48">
        <f>(B462*194.205+C462*267.466+D462*133.845+E462*153.484+F462*40+G462*85+H462*0+I462*100+J462*300)/(194.205+267.466+133.845+153.484+0+40+85+100+300)</f>
        <v>24.290069857064367</v>
      </c>
      <c r="AC462" s="45">
        <f>(M462*'RAP TEMPLATE-GAS AVAILABILITY'!O461+N462*'RAP TEMPLATE-GAS AVAILABILITY'!P461+O462*'RAP TEMPLATE-GAS AVAILABILITY'!Q461+P462*'RAP TEMPLATE-GAS AVAILABILITY'!R461)/('RAP TEMPLATE-GAS AVAILABILITY'!O461+'RAP TEMPLATE-GAS AVAILABILITY'!P461+'RAP TEMPLATE-GAS AVAILABILITY'!Q461+'RAP TEMPLATE-GAS AVAILABILITY'!R461)</f>
        <v>23.886792805755395</v>
      </c>
    </row>
    <row r="463" spans="1:29" ht="15.75" x14ac:dyDescent="0.25">
      <c r="A463" s="14">
        <v>55000</v>
      </c>
      <c r="B463" s="17">
        <f>CHOOSE(CONTROL!$C$42, 23.7443, 23.7443) * CHOOSE(CONTROL!$C$21, $C$9, 100%, $E$9)</f>
        <v>23.744299999999999</v>
      </c>
      <c r="C463" s="17">
        <f>CHOOSE(CONTROL!$C$42, 23.7523, 23.7523) * CHOOSE(CONTROL!$C$21, $C$9, 100%, $E$9)</f>
        <v>23.752300000000002</v>
      </c>
      <c r="D463" s="17">
        <f>CHOOSE(CONTROL!$C$42, 24.0234, 24.0234) * CHOOSE(CONTROL!$C$21, $C$9, 100%, $E$9)</f>
        <v>24.023399999999999</v>
      </c>
      <c r="E463" s="17">
        <f>CHOOSE(CONTROL!$C$42, 24.0549, 24.0549) * CHOOSE(CONTROL!$C$21, $C$9, 100%, $E$9)</f>
        <v>24.0549</v>
      </c>
      <c r="F463" s="17">
        <f>CHOOSE(CONTROL!$C$42, 23.7632, 23.7632)*CHOOSE(CONTROL!$C$21, $C$9, 100%, $E$9)</f>
        <v>23.763200000000001</v>
      </c>
      <c r="G463" s="17">
        <f>CHOOSE(CONTROL!$C$42, 23.78, 23.78)*CHOOSE(CONTROL!$C$21, $C$9, 100%, $E$9)</f>
        <v>23.78</v>
      </c>
      <c r="H463" s="17">
        <f>CHOOSE(CONTROL!$C$42, 24.0435, 24.0435) * CHOOSE(CONTROL!$C$21, $C$9, 100%, $E$9)</f>
        <v>24.043500000000002</v>
      </c>
      <c r="I463" s="17">
        <f>CHOOSE(CONTROL!$C$42, 23.8385, 23.8385)* CHOOSE(CONTROL!$C$21, $C$9, 100%, $E$9)</f>
        <v>23.8385</v>
      </c>
      <c r="J463" s="17">
        <f>CHOOSE(CONTROL!$C$42, 23.7562, 23.7562)* CHOOSE(CONTROL!$C$21, $C$9, 100%, $E$9)</f>
        <v>23.7562</v>
      </c>
      <c r="K463" s="52">
        <f>CHOOSE(CONTROL!$C$42, 23.8343, 23.8343) * CHOOSE(CONTROL!$C$21, $C$9, 100%, $E$9)</f>
        <v>23.834299999999999</v>
      </c>
      <c r="L463" s="17">
        <f>CHOOSE(CONTROL!$C$42, 24.6305, 24.6305) * CHOOSE(CONTROL!$C$21, $C$9, 100%, $E$9)</f>
        <v>24.630500000000001</v>
      </c>
      <c r="M463" s="17">
        <f>CHOOSE(CONTROL!$C$42, 23.3366, 23.3366) * CHOOSE(CONTROL!$C$21, $C$9, 100%, $E$9)</f>
        <v>23.336600000000001</v>
      </c>
      <c r="N463" s="17">
        <f>CHOOSE(CONTROL!$C$42, 23.3531, 23.3531) * CHOOSE(CONTROL!$C$21, $C$9, 100%, $E$9)</f>
        <v>23.353100000000001</v>
      </c>
      <c r="O463" s="17">
        <f>CHOOSE(CONTROL!$C$42, 23.6187, 23.6187) * CHOOSE(CONTROL!$C$21, $C$9, 100%, $E$9)</f>
        <v>23.6187</v>
      </c>
      <c r="P463" s="17">
        <f>CHOOSE(CONTROL!$C$42, 23.4162, 23.4162) * CHOOSE(CONTROL!$C$21, $C$9, 100%, $E$9)</f>
        <v>23.4162</v>
      </c>
      <c r="Q463" s="17">
        <f>CHOOSE(CONTROL!$C$42, 24.2134, 24.2134) * CHOOSE(CONTROL!$C$21, $C$9, 100%, $E$9)</f>
        <v>24.2134</v>
      </c>
      <c r="R463" s="17">
        <f>CHOOSE(CONTROL!$C$42, 24.8609, 24.8609) * CHOOSE(CONTROL!$C$21, $C$9, 100%, $E$9)</f>
        <v>24.860900000000001</v>
      </c>
      <c r="S463" s="17">
        <f>CHOOSE(CONTROL!$C$42, 22.8053, 22.8053) * CHOOSE(CONTROL!$C$21, $C$9, 100%, $E$9)</f>
        <v>22.805299999999999</v>
      </c>
      <c r="T46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63" s="56">
        <f>(1000*CHOOSE(CONTROL!$C$42, 695, 695)*CHOOSE(CONTROL!$C$42, 0.5599, 0.5599)*CHOOSE(CONTROL!$C$42, 31, 31))/1000000</f>
        <v>12.063045499999998</v>
      </c>
      <c r="V463" s="56">
        <f>(1000*CHOOSE(CONTROL!$C$42, 500, 500)*CHOOSE(CONTROL!$C$42, 0.275, 0.275)*CHOOSE(CONTROL!$C$42, 31, 31))/1000000</f>
        <v>4.2625000000000002</v>
      </c>
      <c r="W463" s="56">
        <f>(1000*CHOOSE(CONTROL!$C$42, 0.1146, 0.1146)*CHOOSE(CONTROL!$C$42, 121.5, 121.5)*CHOOSE(CONTROL!$C$42, 31, 31))/1000000</f>
        <v>0.43164089999999994</v>
      </c>
      <c r="X463" s="56">
        <f>(31*0.1790888*145000/1000000)+(31*0.2374*100000/1000000)</f>
        <v>1.5409441560000001</v>
      </c>
      <c r="Y463" s="56"/>
      <c r="Z463" s="17"/>
      <c r="AA463" s="55"/>
      <c r="AB463" s="48">
        <f>(B463*194.205+C463*267.466+D463*133.845+E463*153.484+F463*40+G463*85+H463*0+I463*100+J463*300)/(194.205+267.466+133.845+153.484+0+40+85+100+300)</f>
        <v>23.825892227551019</v>
      </c>
      <c r="AC463" s="45">
        <f>(M463*'RAP TEMPLATE-GAS AVAILABILITY'!O462+N463*'RAP TEMPLATE-GAS AVAILABILITY'!P462+O463*'RAP TEMPLATE-GAS AVAILABILITY'!Q462+P463*'RAP TEMPLATE-GAS AVAILABILITY'!R462)/('RAP TEMPLATE-GAS AVAILABILITY'!O462+'RAP TEMPLATE-GAS AVAILABILITY'!P462+'RAP TEMPLATE-GAS AVAILABILITY'!Q462+'RAP TEMPLATE-GAS AVAILABILITY'!R462)</f>
        <v>23.431002158273383</v>
      </c>
    </row>
    <row r="464" spans="1:29" ht="15.75" x14ac:dyDescent="0.25">
      <c r="A464" s="14">
        <v>55031</v>
      </c>
      <c r="B464" s="17">
        <f>CHOOSE(CONTROL!$C$42, 22.572, 22.572) * CHOOSE(CONTROL!$C$21, $C$9, 100%, $E$9)</f>
        <v>22.571999999999999</v>
      </c>
      <c r="C464" s="17">
        <f>CHOOSE(CONTROL!$C$42, 22.5801, 22.5801) * CHOOSE(CONTROL!$C$21, $C$9, 100%, $E$9)</f>
        <v>22.580100000000002</v>
      </c>
      <c r="D464" s="17">
        <f>CHOOSE(CONTROL!$C$42, 22.8511, 22.8511) * CHOOSE(CONTROL!$C$21, $C$9, 100%, $E$9)</f>
        <v>22.851099999999999</v>
      </c>
      <c r="E464" s="17">
        <f>CHOOSE(CONTROL!$C$42, 22.8826, 22.8826) * CHOOSE(CONTROL!$C$21, $C$9, 100%, $E$9)</f>
        <v>22.8826</v>
      </c>
      <c r="F464" s="17">
        <f>CHOOSE(CONTROL!$C$42, 22.5912, 22.5912)*CHOOSE(CONTROL!$C$21, $C$9, 100%, $E$9)</f>
        <v>22.591200000000001</v>
      </c>
      <c r="G464" s="17">
        <f>CHOOSE(CONTROL!$C$42, 22.608, 22.608)*CHOOSE(CONTROL!$C$21, $C$9, 100%, $E$9)</f>
        <v>22.608000000000001</v>
      </c>
      <c r="H464" s="17">
        <f>CHOOSE(CONTROL!$C$42, 22.8712, 22.8712) * CHOOSE(CONTROL!$C$21, $C$9, 100%, $E$9)</f>
        <v>22.871200000000002</v>
      </c>
      <c r="I464" s="17">
        <f>CHOOSE(CONTROL!$C$42, 22.6626, 22.6626)* CHOOSE(CONTROL!$C$21, $C$9, 100%, $E$9)</f>
        <v>22.662600000000001</v>
      </c>
      <c r="J464" s="17">
        <f>CHOOSE(CONTROL!$C$42, 22.5842, 22.5842)* CHOOSE(CONTROL!$C$21, $C$9, 100%, $E$9)</f>
        <v>22.584199999999999</v>
      </c>
      <c r="K464" s="52">
        <f>CHOOSE(CONTROL!$C$42, 22.6584, 22.6584) * CHOOSE(CONTROL!$C$21, $C$9, 100%, $E$9)</f>
        <v>22.6584</v>
      </c>
      <c r="L464" s="17">
        <f>CHOOSE(CONTROL!$C$42, 23.4582, 23.4582) * CHOOSE(CONTROL!$C$21, $C$9, 100%, $E$9)</f>
        <v>23.458200000000001</v>
      </c>
      <c r="M464" s="17">
        <f>CHOOSE(CONTROL!$C$42, 22.1856, 22.1856) * CHOOSE(CONTROL!$C$21, $C$9, 100%, $E$9)</f>
        <v>22.185600000000001</v>
      </c>
      <c r="N464" s="17">
        <f>CHOOSE(CONTROL!$C$42, 22.2022, 22.2022) * CHOOSE(CONTROL!$C$21, $C$9, 100%, $E$9)</f>
        <v>22.202200000000001</v>
      </c>
      <c r="O464" s="17">
        <f>CHOOSE(CONTROL!$C$42, 22.4675, 22.4675) * CHOOSE(CONTROL!$C$21, $C$9, 100%, $E$9)</f>
        <v>22.467500000000001</v>
      </c>
      <c r="P464" s="17">
        <f>CHOOSE(CONTROL!$C$42, 22.2615, 22.2615) * CHOOSE(CONTROL!$C$21, $C$9, 100%, $E$9)</f>
        <v>22.261500000000002</v>
      </c>
      <c r="Q464" s="17">
        <f>CHOOSE(CONTROL!$C$42, 23.0622, 23.0622) * CHOOSE(CONTROL!$C$21, $C$9, 100%, $E$9)</f>
        <v>23.062200000000001</v>
      </c>
      <c r="R464" s="17">
        <f>CHOOSE(CONTROL!$C$42, 23.7069, 23.7069) * CHOOSE(CONTROL!$C$21, $C$9, 100%, $E$9)</f>
        <v>23.706900000000001</v>
      </c>
      <c r="S464" s="17">
        <f>CHOOSE(CONTROL!$C$42, 21.6788, 21.6788) * CHOOSE(CONTROL!$C$21, $C$9, 100%, $E$9)</f>
        <v>21.678799999999999</v>
      </c>
      <c r="T46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64" s="56">
        <f>(1000*CHOOSE(CONTROL!$C$42, 695, 695)*CHOOSE(CONTROL!$C$42, 0.5599, 0.5599)*CHOOSE(CONTROL!$C$42, 31, 31))/1000000</f>
        <v>12.063045499999998</v>
      </c>
      <c r="V464" s="56">
        <f>(1000*CHOOSE(CONTROL!$C$42, 500, 500)*CHOOSE(CONTROL!$C$42, 0.275, 0.275)*CHOOSE(CONTROL!$C$42, 31, 31))/1000000</f>
        <v>4.2625000000000002</v>
      </c>
      <c r="W464" s="56">
        <f>(1000*CHOOSE(CONTROL!$C$42, 0.1146, 0.1146)*CHOOSE(CONTROL!$C$42, 121.5, 121.5)*CHOOSE(CONTROL!$C$42, 31, 31))/1000000</f>
        <v>0.43164089999999994</v>
      </c>
      <c r="X464" s="56">
        <f>(31*0.1790888*145000/1000000)+(31*0.2374*100000/1000000)</f>
        <v>1.5409441560000001</v>
      </c>
      <c r="Y464" s="56"/>
      <c r="Z464" s="17"/>
      <c r="AA464" s="55"/>
      <c r="AB464" s="48">
        <f>(B464*194.205+C464*267.466+D464*133.845+E464*153.484+F464*40+G464*85+H464*0+I464*100+J464*300)/(194.205+267.466+133.845+153.484+0+40+85+100+300)</f>
        <v>22.653430725667189</v>
      </c>
      <c r="AC464" s="45">
        <f>(M464*'RAP TEMPLATE-GAS AVAILABILITY'!O463+N464*'RAP TEMPLATE-GAS AVAILABILITY'!P463+O464*'RAP TEMPLATE-GAS AVAILABILITY'!Q463+P464*'RAP TEMPLATE-GAS AVAILABILITY'!R463)/('RAP TEMPLATE-GAS AVAILABILITY'!O463+'RAP TEMPLATE-GAS AVAILABILITY'!P463+'RAP TEMPLATE-GAS AVAILABILITY'!Q463+'RAP TEMPLATE-GAS AVAILABILITY'!R463)</f>
        <v>22.279436690647483</v>
      </c>
    </row>
    <row r="465" spans="1:29" ht="15.75" x14ac:dyDescent="0.25">
      <c r="A465" s="14">
        <v>55061</v>
      </c>
      <c r="B465" s="17">
        <f>CHOOSE(CONTROL!$C$42, 21.1395, 21.1395) * CHOOSE(CONTROL!$C$21, $C$9, 100%, $E$9)</f>
        <v>21.139500000000002</v>
      </c>
      <c r="C465" s="17">
        <f>CHOOSE(CONTROL!$C$42, 21.1475, 21.1475) * CHOOSE(CONTROL!$C$21, $C$9, 100%, $E$9)</f>
        <v>21.147500000000001</v>
      </c>
      <c r="D465" s="17">
        <f>CHOOSE(CONTROL!$C$42, 21.4186, 21.4186) * CHOOSE(CONTROL!$C$21, $C$9, 100%, $E$9)</f>
        <v>21.418600000000001</v>
      </c>
      <c r="E465" s="17">
        <f>CHOOSE(CONTROL!$C$42, 21.4501, 21.4501) * CHOOSE(CONTROL!$C$21, $C$9, 100%, $E$9)</f>
        <v>21.450099999999999</v>
      </c>
      <c r="F465" s="17">
        <f>CHOOSE(CONTROL!$C$42, 21.1587, 21.1587)*CHOOSE(CONTROL!$C$21, $C$9, 100%, $E$9)</f>
        <v>21.1587</v>
      </c>
      <c r="G465" s="17">
        <f>CHOOSE(CONTROL!$C$42, 21.1756, 21.1756)*CHOOSE(CONTROL!$C$21, $C$9, 100%, $E$9)</f>
        <v>21.175599999999999</v>
      </c>
      <c r="H465" s="17">
        <f>CHOOSE(CONTROL!$C$42, 21.4387, 21.4387) * CHOOSE(CONTROL!$C$21, $C$9, 100%, $E$9)</f>
        <v>21.438700000000001</v>
      </c>
      <c r="I465" s="17">
        <f>CHOOSE(CONTROL!$C$42, 21.2256, 21.2256)* CHOOSE(CONTROL!$C$21, $C$9, 100%, $E$9)</f>
        <v>21.2256</v>
      </c>
      <c r="J465" s="17">
        <f>CHOOSE(CONTROL!$C$42, 21.1517, 21.1517)* CHOOSE(CONTROL!$C$21, $C$9, 100%, $E$9)</f>
        <v>21.151700000000002</v>
      </c>
      <c r="K465" s="52">
        <f>CHOOSE(CONTROL!$C$42, 21.2214, 21.2214) * CHOOSE(CONTROL!$C$21, $C$9, 100%, $E$9)</f>
        <v>21.221399999999999</v>
      </c>
      <c r="L465" s="17">
        <f>CHOOSE(CONTROL!$C$42, 22.0257, 22.0257) * CHOOSE(CONTROL!$C$21, $C$9, 100%, $E$9)</f>
        <v>22.025700000000001</v>
      </c>
      <c r="M465" s="17">
        <f>CHOOSE(CONTROL!$C$42, 20.779, 20.779) * CHOOSE(CONTROL!$C$21, $C$9, 100%, $E$9)</f>
        <v>20.779</v>
      </c>
      <c r="N465" s="17">
        <f>CHOOSE(CONTROL!$C$42, 20.7955, 20.7955) * CHOOSE(CONTROL!$C$21, $C$9, 100%, $E$9)</f>
        <v>20.795500000000001</v>
      </c>
      <c r="O465" s="17">
        <f>CHOOSE(CONTROL!$C$42, 21.0608, 21.0608) * CHOOSE(CONTROL!$C$21, $C$9, 100%, $E$9)</f>
        <v>21.0608</v>
      </c>
      <c r="P465" s="17">
        <f>CHOOSE(CONTROL!$C$42, 20.8504, 20.8504) * CHOOSE(CONTROL!$C$21, $C$9, 100%, $E$9)</f>
        <v>20.8504</v>
      </c>
      <c r="Q465" s="17">
        <f>CHOOSE(CONTROL!$C$42, 21.6555, 21.6555) * CHOOSE(CONTROL!$C$21, $C$9, 100%, $E$9)</f>
        <v>21.6555</v>
      </c>
      <c r="R465" s="17">
        <f>CHOOSE(CONTROL!$C$42, 22.2966, 22.2966) * CHOOSE(CONTROL!$C$21, $C$9, 100%, $E$9)</f>
        <v>22.296600000000002</v>
      </c>
      <c r="S465" s="17">
        <f>CHOOSE(CONTROL!$C$42, 20.3023, 20.3023) * CHOOSE(CONTROL!$C$21, $C$9, 100%, $E$9)</f>
        <v>20.302299999999999</v>
      </c>
      <c r="T46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65" s="56">
        <f>(1000*CHOOSE(CONTROL!$C$42, 695, 695)*CHOOSE(CONTROL!$C$42, 0.5599, 0.5599)*CHOOSE(CONTROL!$C$42, 30, 30))/1000000</f>
        <v>11.673914999999997</v>
      </c>
      <c r="V465" s="56">
        <f>(1000*CHOOSE(CONTROL!$C$42, 500, 500)*CHOOSE(CONTROL!$C$42, 0.275, 0.275)*CHOOSE(CONTROL!$C$42, 30, 30))/1000000</f>
        <v>4.125</v>
      </c>
      <c r="W465" s="56">
        <f>(1000*CHOOSE(CONTROL!$C$42, 0.1146, 0.1146)*CHOOSE(CONTROL!$C$42, 121.5, 121.5)*CHOOSE(CONTROL!$C$42, 30, 30))/1000000</f>
        <v>0.417717</v>
      </c>
      <c r="X465" s="56">
        <f>(30*0.1790888*145000/1000000)+(30*0.2374*100000/1000000)</f>
        <v>1.4912362799999999</v>
      </c>
      <c r="Y465" s="56"/>
      <c r="Z465" s="17"/>
      <c r="AA465" s="55"/>
      <c r="AB465" s="48">
        <f>(B465*194.205+C465*267.466+D465*133.845+E465*153.484+F465*40+G465*85+H465*0+I465*100+J465*300)/(194.205+267.466+133.845+153.484+0+40+85+100+300)</f>
        <v>21.220563185164838</v>
      </c>
      <c r="AC465" s="45">
        <f>(M465*'RAP TEMPLATE-GAS AVAILABILITY'!O464+N465*'RAP TEMPLATE-GAS AVAILABILITY'!P464+O465*'RAP TEMPLATE-GAS AVAILABILITY'!Q464+P465*'RAP TEMPLATE-GAS AVAILABILITY'!R464)/('RAP TEMPLATE-GAS AVAILABILITY'!O464+'RAP TEMPLATE-GAS AVAILABILITY'!P464+'RAP TEMPLATE-GAS AVAILABILITY'!Q464+'RAP TEMPLATE-GAS AVAILABILITY'!R464)</f>
        <v>20.872138129496403</v>
      </c>
    </row>
    <row r="466" spans="1:29" ht="15.75" x14ac:dyDescent="0.25">
      <c r="A466" s="14">
        <v>55092</v>
      </c>
      <c r="B466" s="17">
        <f>CHOOSE(CONTROL!$C$42, 20.7088, 20.7088) * CHOOSE(CONTROL!$C$21, $C$9, 100%, $E$9)</f>
        <v>20.7088</v>
      </c>
      <c r="C466" s="17">
        <f>CHOOSE(CONTROL!$C$42, 20.7141, 20.7141) * CHOOSE(CONTROL!$C$21, $C$9, 100%, $E$9)</f>
        <v>20.714099999999998</v>
      </c>
      <c r="D466" s="17">
        <f>CHOOSE(CONTROL!$C$42, 20.9901, 20.9901) * CHOOSE(CONTROL!$C$21, $C$9, 100%, $E$9)</f>
        <v>20.990100000000002</v>
      </c>
      <c r="E466" s="17">
        <f>CHOOSE(CONTROL!$C$42, 21.0193, 21.0193) * CHOOSE(CONTROL!$C$21, $C$9, 100%, $E$9)</f>
        <v>21.019300000000001</v>
      </c>
      <c r="F466" s="17">
        <f>CHOOSE(CONTROL!$C$42, 20.7302, 20.7302)*CHOOSE(CONTROL!$C$21, $C$9, 100%, $E$9)</f>
        <v>20.7302</v>
      </c>
      <c r="G466" s="17">
        <f>CHOOSE(CONTROL!$C$42, 20.747, 20.747)*CHOOSE(CONTROL!$C$21, $C$9, 100%, $E$9)</f>
        <v>20.747</v>
      </c>
      <c r="H466" s="17">
        <f>CHOOSE(CONTROL!$C$42, 21.0097, 21.0097) * CHOOSE(CONTROL!$C$21, $C$9, 100%, $E$9)</f>
        <v>21.009699999999999</v>
      </c>
      <c r="I466" s="17">
        <f>CHOOSE(CONTROL!$C$42, 20.7953, 20.7953)* CHOOSE(CONTROL!$C$21, $C$9, 100%, $E$9)</f>
        <v>20.795300000000001</v>
      </c>
      <c r="J466" s="17">
        <f>CHOOSE(CONTROL!$C$42, 20.7232, 20.7232)* CHOOSE(CONTROL!$C$21, $C$9, 100%, $E$9)</f>
        <v>20.723199999999999</v>
      </c>
      <c r="K466" s="52">
        <f>CHOOSE(CONTROL!$C$42, 20.791, 20.791) * CHOOSE(CONTROL!$C$21, $C$9, 100%, $E$9)</f>
        <v>20.791</v>
      </c>
      <c r="L466" s="17">
        <f>CHOOSE(CONTROL!$C$42, 21.5967, 21.5967) * CHOOSE(CONTROL!$C$21, $C$9, 100%, $E$9)</f>
        <v>21.596699999999998</v>
      </c>
      <c r="M466" s="17">
        <f>CHOOSE(CONTROL!$C$42, 20.3581, 20.3581) * CHOOSE(CONTROL!$C$21, $C$9, 100%, $E$9)</f>
        <v>20.3581</v>
      </c>
      <c r="N466" s="17">
        <f>CHOOSE(CONTROL!$C$42, 20.3746, 20.3746) * CHOOSE(CONTROL!$C$21, $C$9, 100%, $E$9)</f>
        <v>20.374600000000001</v>
      </c>
      <c r="O466" s="17">
        <f>CHOOSE(CONTROL!$C$42, 20.6395, 20.6395) * CHOOSE(CONTROL!$C$21, $C$9, 100%, $E$9)</f>
        <v>20.639500000000002</v>
      </c>
      <c r="P466" s="17">
        <f>CHOOSE(CONTROL!$C$42, 20.4278, 20.4278) * CHOOSE(CONTROL!$C$21, $C$9, 100%, $E$9)</f>
        <v>20.427800000000001</v>
      </c>
      <c r="Q466" s="17">
        <f>CHOOSE(CONTROL!$C$42, 21.2342, 21.2342) * CHOOSE(CONTROL!$C$21, $C$9, 100%, $E$9)</f>
        <v>21.234200000000001</v>
      </c>
      <c r="R466" s="17">
        <f>CHOOSE(CONTROL!$C$42, 21.8743, 21.8743) * CHOOSE(CONTROL!$C$21, $C$9, 100%, $E$9)</f>
        <v>21.874300000000002</v>
      </c>
      <c r="S466" s="17">
        <f>CHOOSE(CONTROL!$C$42, 19.8901, 19.8901) * CHOOSE(CONTROL!$C$21, $C$9, 100%, $E$9)</f>
        <v>19.8901</v>
      </c>
      <c r="T46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66" s="56">
        <f>(1000*CHOOSE(CONTROL!$C$42, 695, 695)*CHOOSE(CONTROL!$C$42, 0.5599, 0.5599)*CHOOSE(CONTROL!$C$42, 31, 31))/1000000</f>
        <v>12.063045499999998</v>
      </c>
      <c r="V466" s="56">
        <f>(1000*CHOOSE(CONTROL!$C$42, 500, 500)*CHOOSE(CONTROL!$C$42, 0.275, 0.275)*CHOOSE(CONTROL!$C$42, 31, 31))/1000000</f>
        <v>4.2625000000000002</v>
      </c>
      <c r="W466" s="56">
        <f>(1000*CHOOSE(CONTROL!$C$42, 0.1146, 0.1146)*CHOOSE(CONTROL!$C$42, 121.5, 121.5)*CHOOSE(CONTROL!$C$42, 31, 31))/1000000</f>
        <v>0.43164089999999994</v>
      </c>
      <c r="X466" s="56">
        <f>(31*0.1790888*145000/1000000)+(31*0.2374*100000/1000000)</f>
        <v>1.5409441560000001</v>
      </c>
      <c r="Y466" s="56"/>
      <c r="Z466" s="17"/>
      <c r="AA466" s="55"/>
      <c r="AB466" s="48">
        <f>(B466*131.881+C466*277.167+D466*79.08+E466*225.872+F466*40+G466*85+H466*0+I466*100+J466*300)/(131.881+277.167+79.08+225.872+0+40+85+100+300)</f>
        <v>20.798324168765134</v>
      </c>
      <c r="AC466" s="45">
        <f>(M466*'RAP TEMPLATE-GAS AVAILABILITY'!O465+N466*'RAP TEMPLATE-GAS AVAILABILITY'!P465+O466*'RAP TEMPLATE-GAS AVAILABILITY'!Q465+P466*'RAP TEMPLATE-GAS AVAILABILITY'!R465)/('RAP TEMPLATE-GAS AVAILABILITY'!O465+'RAP TEMPLATE-GAS AVAILABILITY'!P465+'RAP TEMPLATE-GAS AVAILABILITY'!Q465+'RAP TEMPLATE-GAS AVAILABILITY'!R465)</f>
        <v>20.450881294964031</v>
      </c>
    </row>
    <row r="467" spans="1:29" ht="15.75" x14ac:dyDescent="0.25">
      <c r="A467" s="14">
        <v>55122</v>
      </c>
      <c r="B467" s="17">
        <f>CHOOSE(CONTROL!$C$42, 21.2537, 21.2537) * CHOOSE(CONTROL!$C$21, $C$9, 100%, $E$9)</f>
        <v>21.253699999999998</v>
      </c>
      <c r="C467" s="17">
        <f>CHOOSE(CONTROL!$C$42, 21.2587, 21.2587) * CHOOSE(CONTROL!$C$21, $C$9, 100%, $E$9)</f>
        <v>21.258700000000001</v>
      </c>
      <c r="D467" s="17">
        <f>CHOOSE(CONTROL!$C$42, 21.3538, 21.3538) * CHOOSE(CONTROL!$C$21, $C$9, 100%, $E$9)</f>
        <v>21.3538</v>
      </c>
      <c r="E467" s="17">
        <f>CHOOSE(CONTROL!$C$42, 21.3879, 21.3879) * CHOOSE(CONTROL!$C$21, $C$9, 100%, $E$9)</f>
        <v>21.387899999999998</v>
      </c>
      <c r="F467" s="17">
        <f>CHOOSE(CONTROL!$C$42, 21.2776, 21.2776)*CHOOSE(CONTROL!$C$21, $C$9, 100%, $E$9)</f>
        <v>21.2776</v>
      </c>
      <c r="G467" s="17">
        <f>CHOOSE(CONTROL!$C$42, 21.2946, 21.2946)*CHOOSE(CONTROL!$C$21, $C$9, 100%, $E$9)</f>
        <v>21.294599999999999</v>
      </c>
      <c r="H467" s="17">
        <f>CHOOSE(CONTROL!$C$42, 21.3771, 21.3771) * CHOOSE(CONTROL!$C$21, $C$9, 100%, $E$9)</f>
        <v>21.377099999999999</v>
      </c>
      <c r="I467" s="17">
        <f>CHOOSE(CONTROL!$C$42, 21.3402, 21.3402)* CHOOSE(CONTROL!$C$21, $C$9, 100%, $E$9)</f>
        <v>21.340199999999999</v>
      </c>
      <c r="J467" s="17">
        <f>CHOOSE(CONTROL!$C$42, 21.2706, 21.2706)* CHOOSE(CONTROL!$C$21, $C$9, 100%, $E$9)</f>
        <v>21.270600000000002</v>
      </c>
      <c r="K467" s="52">
        <f>CHOOSE(CONTROL!$C$42, 21.336, 21.336) * CHOOSE(CONTROL!$C$21, $C$9, 100%, $E$9)</f>
        <v>21.335999999999999</v>
      </c>
      <c r="L467" s="17">
        <f>CHOOSE(CONTROL!$C$42, 21.9641, 21.9641) * CHOOSE(CONTROL!$C$21, $C$9, 100%, $E$9)</f>
        <v>21.964099999999998</v>
      </c>
      <c r="M467" s="17">
        <f>CHOOSE(CONTROL!$C$42, 20.8957, 20.8957) * CHOOSE(CONTROL!$C$21, $C$9, 100%, $E$9)</f>
        <v>20.895700000000001</v>
      </c>
      <c r="N467" s="17">
        <f>CHOOSE(CONTROL!$C$42, 20.9124, 20.9124) * CHOOSE(CONTROL!$C$21, $C$9, 100%, $E$9)</f>
        <v>20.912400000000002</v>
      </c>
      <c r="O467" s="17">
        <f>CHOOSE(CONTROL!$C$42, 21.0003, 21.0003) * CHOOSE(CONTROL!$C$21, $C$9, 100%, $E$9)</f>
        <v>21.000299999999999</v>
      </c>
      <c r="P467" s="17">
        <f>CHOOSE(CONTROL!$C$42, 20.9629, 20.9629) * CHOOSE(CONTROL!$C$21, $C$9, 100%, $E$9)</f>
        <v>20.962900000000001</v>
      </c>
      <c r="Q467" s="17">
        <f>CHOOSE(CONTROL!$C$42, 21.595, 21.595) * CHOOSE(CONTROL!$C$21, $C$9, 100%, $E$9)</f>
        <v>21.594999999999999</v>
      </c>
      <c r="R467" s="17">
        <f>CHOOSE(CONTROL!$C$42, 22.2359, 22.2359) * CHOOSE(CONTROL!$C$21, $C$9, 100%, $E$9)</f>
        <v>22.235900000000001</v>
      </c>
      <c r="S467" s="17">
        <f>CHOOSE(CONTROL!$C$42, 20.4141, 20.4141) * CHOOSE(CONTROL!$C$21, $C$9, 100%, $E$9)</f>
        <v>20.414100000000001</v>
      </c>
      <c r="T46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67" s="56">
        <f>(1000*CHOOSE(CONTROL!$C$42, 695, 695)*CHOOSE(CONTROL!$C$42, 0.5599, 0.5599)*CHOOSE(CONTROL!$C$42, 30, 30))/1000000</f>
        <v>11.673914999999997</v>
      </c>
      <c r="V467" s="56">
        <f>(1000*CHOOSE(CONTROL!$C$42, 500, 500)*CHOOSE(CONTROL!$C$42, 0.275, 0.275)*CHOOSE(CONTROL!$C$42, 30, 30))/1000000</f>
        <v>4.125</v>
      </c>
      <c r="W467" s="56">
        <f>(1000*CHOOSE(CONTROL!$C$42, 0.1146, 0.1146)*CHOOSE(CONTROL!$C$42, 121.5, 121.5)*CHOOSE(CONTROL!$C$42, 30, 30))/1000000</f>
        <v>0.417717</v>
      </c>
      <c r="X467" s="56">
        <f>(30*0.2374*100000/1000000)</f>
        <v>0.71220000000000006</v>
      </c>
      <c r="Y467" s="56"/>
      <c r="Z467" s="17"/>
      <c r="AA467" s="55"/>
      <c r="AB467" s="48">
        <f>(B467*122.58+C467*297.941+D467*89.177+E467*140.302+F467*40+G467*60+H467*0+I467*100+J467*300)/(122.58+297.941+89.177+140.302+0+40+60+100+300)</f>
        <v>21.294025957478258</v>
      </c>
      <c r="AC467" s="45">
        <f>(M467*'RAP TEMPLATE-GAS AVAILABILITY'!O466+N467*'RAP TEMPLATE-GAS AVAILABILITY'!P466+O467*'RAP TEMPLATE-GAS AVAILABILITY'!Q466+P467*'RAP TEMPLATE-GAS AVAILABILITY'!R466)/('RAP TEMPLATE-GAS AVAILABILITY'!O466+'RAP TEMPLATE-GAS AVAILABILITY'!P466+'RAP TEMPLATE-GAS AVAILABILITY'!Q466+'RAP TEMPLATE-GAS AVAILABILITY'!R466)</f>
        <v>20.953738848920864</v>
      </c>
    </row>
    <row r="468" spans="1:29" ht="15.75" x14ac:dyDescent="0.25">
      <c r="A468" s="14">
        <v>55153</v>
      </c>
      <c r="B468" s="17">
        <f>CHOOSE(CONTROL!$C$42, 22.7021, 22.7021) * CHOOSE(CONTROL!$C$21, $C$9, 100%, $E$9)</f>
        <v>22.702100000000002</v>
      </c>
      <c r="C468" s="17">
        <f>CHOOSE(CONTROL!$C$42, 22.7071, 22.7071) * CHOOSE(CONTROL!$C$21, $C$9, 100%, $E$9)</f>
        <v>22.707100000000001</v>
      </c>
      <c r="D468" s="17">
        <f>CHOOSE(CONTROL!$C$42, 22.8022, 22.8022) * CHOOSE(CONTROL!$C$21, $C$9, 100%, $E$9)</f>
        <v>22.802199999999999</v>
      </c>
      <c r="E468" s="17">
        <f>CHOOSE(CONTROL!$C$42, 22.8363, 22.8363) * CHOOSE(CONTROL!$C$21, $C$9, 100%, $E$9)</f>
        <v>22.836300000000001</v>
      </c>
      <c r="F468" s="17">
        <f>CHOOSE(CONTROL!$C$42, 22.7283, 22.7283)*CHOOSE(CONTROL!$C$21, $C$9, 100%, $E$9)</f>
        <v>22.728300000000001</v>
      </c>
      <c r="G468" s="17">
        <f>CHOOSE(CONTROL!$C$42, 22.746, 22.746)*CHOOSE(CONTROL!$C$21, $C$9, 100%, $E$9)</f>
        <v>22.745999999999999</v>
      </c>
      <c r="H468" s="17">
        <f>CHOOSE(CONTROL!$C$42, 22.8255, 22.8255) * CHOOSE(CONTROL!$C$21, $C$9, 100%, $E$9)</f>
        <v>22.825500000000002</v>
      </c>
      <c r="I468" s="17">
        <f>CHOOSE(CONTROL!$C$42, 22.7931, 22.7931)* CHOOSE(CONTROL!$C$21, $C$9, 100%, $E$9)</f>
        <v>22.793099999999999</v>
      </c>
      <c r="J468" s="17">
        <f>CHOOSE(CONTROL!$C$42, 22.7213, 22.7213)* CHOOSE(CONTROL!$C$21, $C$9, 100%, $E$9)</f>
        <v>22.721299999999999</v>
      </c>
      <c r="K468" s="52">
        <f>CHOOSE(CONTROL!$C$42, 22.7889, 22.7889) * CHOOSE(CONTROL!$C$21, $C$9, 100%, $E$9)</f>
        <v>22.788900000000002</v>
      </c>
      <c r="L468" s="17">
        <f>CHOOSE(CONTROL!$C$42, 23.4125, 23.4125) * CHOOSE(CONTROL!$C$21, $C$9, 100%, $E$9)</f>
        <v>23.412500000000001</v>
      </c>
      <c r="M468" s="17">
        <f>CHOOSE(CONTROL!$C$42, 22.3203, 22.3203) * CHOOSE(CONTROL!$C$21, $C$9, 100%, $E$9)</f>
        <v>22.3203</v>
      </c>
      <c r="N468" s="17">
        <f>CHOOSE(CONTROL!$C$42, 22.3377, 22.3377) * CHOOSE(CONTROL!$C$21, $C$9, 100%, $E$9)</f>
        <v>22.337700000000002</v>
      </c>
      <c r="O468" s="17">
        <f>CHOOSE(CONTROL!$C$42, 22.4226, 22.4226) * CHOOSE(CONTROL!$C$21, $C$9, 100%, $E$9)</f>
        <v>22.422599999999999</v>
      </c>
      <c r="P468" s="17">
        <f>CHOOSE(CONTROL!$C$42, 22.3897, 22.3897) * CHOOSE(CONTROL!$C$21, $C$9, 100%, $E$9)</f>
        <v>22.389700000000001</v>
      </c>
      <c r="Q468" s="17">
        <f>CHOOSE(CONTROL!$C$42, 23.0173, 23.0173) * CHOOSE(CONTROL!$C$21, $C$9, 100%, $E$9)</f>
        <v>23.017299999999999</v>
      </c>
      <c r="R468" s="17">
        <f>CHOOSE(CONTROL!$C$42, 23.6619, 23.6619) * CHOOSE(CONTROL!$C$21, $C$9, 100%, $E$9)</f>
        <v>23.661899999999999</v>
      </c>
      <c r="S468" s="17">
        <f>CHOOSE(CONTROL!$C$42, 21.8059, 21.8059) * CHOOSE(CONTROL!$C$21, $C$9, 100%, $E$9)</f>
        <v>21.805900000000001</v>
      </c>
      <c r="T46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68" s="56">
        <f>(1000*CHOOSE(CONTROL!$C$42, 695, 695)*CHOOSE(CONTROL!$C$42, 0.5599, 0.5599)*CHOOSE(CONTROL!$C$42, 31, 31))/1000000</f>
        <v>12.063045499999998</v>
      </c>
      <c r="V468" s="56">
        <f>(1000*CHOOSE(CONTROL!$C$42, 500, 500)*CHOOSE(CONTROL!$C$42, 0.275, 0.275)*CHOOSE(CONTROL!$C$42, 31, 31))/1000000</f>
        <v>4.2625000000000002</v>
      </c>
      <c r="W468" s="56">
        <f>(1000*CHOOSE(CONTROL!$C$42, 0.1146, 0.1146)*CHOOSE(CONTROL!$C$42, 121.5, 121.5)*CHOOSE(CONTROL!$C$42, 31, 31))/1000000</f>
        <v>0.43164089999999994</v>
      </c>
      <c r="X468" s="56">
        <f>(31*0.2374*100000/1000000)</f>
        <v>0.73594000000000004</v>
      </c>
      <c r="Y468" s="56"/>
      <c r="Z468" s="17"/>
      <c r="AA468" s="55"/>
      <c r="AB468" s="48">
        <f>(B468*122.58+C468*297.941+D468*89.177+E468*140.302+F468*40+G468*60+H468*0+I468*100+J468*300)/(122.58+297.941+89.177+140.302+0+40+60+100+300)</f>
        <v>22.743653783565215</v>
      </c>
      <c r="AC468" s="45">
        <f>(M468*'RAP TEMPLATE-GAS AVAILABILITY'!O467+N468*'RAP TEMPLATE-GAS AVAILABILITY'!P467+O468*'RAP TEMPLATE-GAS AVAILABILITY'!Q467+P468*'RAP TEMPLATE-GAS AVAILABILITY'!R467)/('RAP TEMPLATE-GAS AVAILABILITY'!O467+'RAP TEMPLATE-GAS AVAILABILITY'!P467+'RAP TEMPLATE-GAS AVAILABILITY'!Q467+'RAP TEMPLATE-GAS AVAILABILITY'!R467)</f>
        <v>22.377653237410073</v>
      </c>
    </row>
    <row r="469" spans="1:29" ht="15.75" x14ac:dyDescent="0.25">
      <c r="A469" s="14">
        <v>55184</v>
      </c>
      <c r="B469" s="17">
        <f>CHOOSE(CONTROL!$C$42, 24.5833, 24.5833) * CHOOSE(CONTROL!$C$21, $C$9, 100%, $E$9)</f>
        <v>24.583300000000001</v>
      </c>
      <c r="C469" s="17">
        <f>CHOOSE(CONTROL!$C$42, 24.5884, 24.5884) * CHOOSE(CONTROL!$C$21, $C$9, 100%, $E$9)</f>
        <v>24.5884</v>
      </c>
      <c r="D469" s="17">
        <f>CHOOSE(CONTROL!$C$42, 24.7068, 24.7068) * CHOOSE(CONTROL!$C$21, $C$9, 100%, $E$9)</f>
        <v>24.706800000000001</v>
      </c>
      <c r="E469" s="17">
        <f>CHOOSE(CONTROL!$C$42, 24.7409, 24.7409) * CHOOSE(CONTROL!$C$21, $C$9, 100%, $E$9)</f>
        <v>24.7409</v>
      </c>
      <c r="F469" s="17">
        <f>CHOOSE(CONTROL!$C$42, 24.6037, 24.6037)*CHOOSE(CONTROL!$C$21, $C$9, 100%, $E$9)</f>
        <v>24.6037</v>
      </c>
      <c r="G469" s="17">
        <f>CHOOSE(CONTROL!$C$42, 24.6205, 24.6205)*CHOOSE(CONTROL!$C$21, $C$9, 100%, $E$9)</f>
        <v>24.6205</v>
      </c>
      <c r="H469" s="17">
        <f>CHOOSE(CONTROL!$C$42, 24.7301, 24.7301) * CHOOSE(CONTROL!$C$21, $C$9, 100%, $E$9)</f>
        <v>24.7301</v>
      </c>
      <c r="I469" s="17">
        <f>CHOOSE(CONTROL!$C$42, 24.6839, 24.6839)* CHOOSE(CONTROL!$C$21, $C$9, 100%, $E$9)</f>
        <v>24.683900000000001</v>
      </c>
      <c r="J469" s="17">
        <f>CHOOSE(CONTROL!$C$42, 24.5967, 24.5967)* CHOOSE(CONTROL!$C$21, $C$9, 100%, $E$9)</f>
        <v>24.596699999999998</v>
      </c>
      <c r="K469" s="52">
        <f>CHOOSE(CONTROL!$C$42, 24.6797, 24.6797) * CHOOSE(CONTROL!$C$21, $C$9, 100%, $E$9)</f>
        <v>24.6797</v>
      </c>
      <c r="L469" s="17">
        <f>CHOOSE(CONTROL!$C$42, 25.3171, 25.3171) * CHOOSE(CONTROL!$C$21, $C$9, 100%, $E$9)</f>
        <v>25.3171</v>
      </c>
      <c r="M469" s="17">
        <f>CHOOSE(CONTROL!$C$42, 24.162, 24.162) * CHOOSE(CONTROL!$C$21, $C$9, 100%, $E$9)</f>
        <v>24.161999999999999</v>
      </c>
      <c r="N469" s="17">
        <f>CHOOSE(CONTROL!$C$42, 24.1785, 24.1785) * CHOOSE(CONTROL!$C$21, $C$9, 100%, $E$9)</f>
        <v>24.1785</v>
      </c>
      <c r="O469" s="17">
        <f>CHOOSE(CONTROL!$C$42, 24.293, 24.293) * CHOOSE(CONTROL!$C$21, $C$9, 100%, $E$9)</f>
        <v>24.292999999999999</v>
      </c>
      <c r="P469" s="17">
        <f>CHOOSE(CONTROL!$C$42, 24.2463, 24.2463) * CHOOSE(CONTROL!$C$21, $C$9, 100%, $E$9)</f>
        <v>24.246300000000002</v>
      </c>
      <c r="Q469" s="17">
        <f>CHOOSE(CONTROL!$C$42, 24.8877, 24.8877) * CHOOSE(CONTROL!$C$21, $C$9, 100%, $E$9)</f>
        <v>24.887699999999999</v>
      </c>
      <c r="R469" s="17">
        <f>CHOOSE(CONTROL!$C$42, 25.5369, 25.5369) * CHOOSE(CONTROL!$C$21, $C$9, 100%, $E$9)</f>
        <v>25.536899999999999</v>
      </c>
      <c r="S469" s="17">
        <f>CHOOSE(CONTROL!$C$42, 23.6136, 23.6136) * CHOOSE(CONTROL!$C$21, $C$9, 100%, $E$9)</f>
        <v>23.613600000000002</v>
      </c>
      <c r="T46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69" s="56">
        <f>(1000*CHOOSE(CONTROL!$C$42, 695, 695)*CHOOSE(CONTROL!$C$42, 0.5599, 0.5599)*CHOOSE(CONTROL!$C$42, 31, 31))/1000000</f>
        <v>12.063045499999998</v>
      </c>
      <c r="V469" s="56">
        <f>(1000*CHOOSE(CONTROL!$C$42, 500, 500)*CHOOSE(CONTROL!$C$42, 0.275, 0.275)*CHOOSE(CONTROL!$C$42, 31, 31))/1000000</f>
        <v>4.2625000000000002</v>
      </c>
      <c r="W469" s="56">
        <f>(1000*CHOOSE(CONTROL!$C$42, 0.1146, 0.1146)*CHOOSE(CONTROL!$C$42, 121.5, 121.5)*CHOOSE(CONTROL!$C$42, 31, 31))/1000000</f>
        <v>0.43164089999999994</v>
      </c>
      <c r="X469" s="56">
        <f>(31*0.2374*100000/1000000)</f>
        <v>0.73594000000000004</v>
      </c>
      <c r="Y469" s="56"/>
      <c r="Z469" s="17"/>
      <c r="AA469" s="55"/>
      <c r="AB469" s="48">
        <f>(B469*122.58+C469*297.941+D469*89.177+E469*140.302+F469*40+G469*60+H469*0+I469*100+J469*300)/(122.58+297.941+89.177+140.302+0+40+60+100+300)</f>
        <v>24.628319525043477</v>
      </c>
      <c r="AC469" s="45">
        <f>(M469*'RAP TEMPLATE-GAS AVAILABILITY'!O468+N469*'RAP TEMPLATE-GAS AVAILABILITY'!P468+O469*'RAP TEMPLATE-GAS AVAILABILITY'!Q468+P469*'RAP TEMPLATE-GAS AVAILABILITY'!R468)/('RAP TEMPLATE-GAS AVAILABILITY'!O468+'RAP TEMPLATE-GAS AVAILABILITY'!P468+'RAP TEMPLATE-GAS AVAILABILITY'!Q468+'RAP TEMPLATE-GAS AVAILABILITY'!R468)</f>
        <v>24.234453237410072</v>
      </c>
    </row>
    <row r="470" spans="1:29" ht="15.75" x14ac:dyDescent="0.25">
      <c r="A470" s="14">
        <v>55212</v>
      </c>
      <c r="B470" s="17">
        <f>CHOOSE(CONTROL!$C$42, 25.0208, 25.0208) * CHOOSE(CONTROL!$C$21, $C$9, 100%, $E$9)</f>
        <v>25.020800000000001</v>
      </c>
      <c r="C470" s="17">
        <f>CHOOSE(CONTROL!$C$42, 25.0258, 25.0258) * CHOOSE(CONTROL!$C$21, $C$9, 100%, $E$9)</f>
        <v>25.0258</v>
      </c>
      <c r="D470" s="17">
        <f>CHOOSE(CONTROL!$C$42, 25.1443, 25.1443) * CHOOSE(CONTROL!$C$21, $C$9, 100%, $E$9)</f>
        <v>25.144300000000001</v>
      </c>
      <c r="E470" s="17">
        <f>CHOOSE(CONTROL!$C$42, 25.1784, 25.1784) * CHOOSE(CONTROL!$C$21, $C$9, 100%, $E$9)</f>
        <v>25.1784</v>
      </c>
      <c r="F470" s="17">
        <f>CHOOSE(CONTROL!$C$42, 25.0411, 25.0411)*CHOOSE(CONTROL!$C$21, $C$9, 100%, $E$9)</f>
        <v>25.0411</v>
      </c>
      <c r="G470" s="17">
        <f>CHOOSE(CONTROL!$C$42, 25.0579, 25.0579)*CHOOSE(CONTROL!$C$21, $C$9, 100%, $E$9)</f>
        <v>25.0579</v>
      </c>
      <c r="H470" s="17">
        <f>CHOOSE(CONTROL!$C$42, 25.1676, 25.1676) * CHOOSE(CONTROL!$C$21, $C$9, 100%, $E$9)</f>
        <v>25.1676</v>
      </c>
      <c r="I470" s="17">
        <f>CHOOSE(CONTROL!$C$42, 25.1227, 25.1227)* CHOOSE(CONTROL!$C$21, $C$9, 100%, $E$9)</f>
        <v>25.122699999999998</v>
      </c>
      <c r="J470" s="17">
        <f>CHOOSE(CONTROL!$C$42, 25.0341, 25.0341)* CHOOSE(CONTROL!$C$21, $C$9, 100%, $E$9)</f>
        <v>25.034099999999999</v>
      </c>
      <c r="K470" s="52">
        <f>CHOOSE(CONTROL!$C$42, 25.1185, 25.1185) * CHOOSE(CONTROL!$C$21, $C$9, 100%, $E$9)</f>
        <v>25.118500000000001</v>
      </c>
      <c r="L470" s="17">
        <f>CHOOSE(CONTROL!$C$42, 25.7546, 25.7546) * CHOOSE(CONTROL!$C$21, $C$9, 100%, $E$9)</f>
        <v>25.7546</v>
      </c>
      <c r="M470" s="17">
        <f>CHOOSE(CONTROL!$C$42, 24.5915, 24.5915) * CHOOSE(CONTROL!$C$21, $C$9, 100%, $E$9)</f>
        <v>24.5915</v>
      </c>
      <c r="N470" s="17">
        <f>CHOOSE(CONTROL!$C$42, 24.6081, 24.6081) * CHOOSE(CONTROL!$C$21, $C$9, 100%, $E$9)</f>
        <v>24.6081</v>
      </c>
      <c r="O470" s="17">
        <f>CHOOSE(CONTROL!$C$42, 24.7226, 24.7226) * CHOOSE(CONTROL!$C$21, $C$9, 100%, $E$9)</f>
        <v>24.7226</v>
      </c>
      <c r="P470" s="17">
        <f>CHOOSE(CONTROL!$C$42, 24.6772, 24.6772) * CHOOSE(CONTROL!$C$21, $C$9, 100%, $E$9)</f>
        <v>24.677199999999999</v>
      </c>
      <c r="Q470" s="17">
        <f>CHOOSE(CONTROL!$C$42, 25.3173, 25.3173) * CHOOSE(CONTROL!$C$21, $C$9, 100%, $E$9)</f>
        <v>25.317299999999999</v>
      </c>
      <c r="R470" s="17">
        <f>CHOOSE(CONTROL!$C$42, 25.9676, 25.9676) * CHOOSE(CONTROL!$C$21, $C$9, 100%, $E$9)</f>
        <v>25.967600000000001</v>
      </c>
      <c r="S470" s="17">
        <f>CHOOSE(CONTROL!$C$42, 24.0339, 24.0339) * CHOOSE(CONTROL!$C$21, $C$9, 100%, $E$9)</f>
        <v>24.033899999999999</v>
      </c>
      <c r="T47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70" s="56">
        <f>(1000*CHOOSE(CONTROL!$C$42, 695, 695)*CHOOSE(CONTROL!$C$42, 0.5599, 0.5599)*CHOOSE(CONTROL!$C$42, 28, 28))/1000000</f>
        <v>10.895653999999999</v>
      </c>
      <c r="V470" s="56">
        <f>(1000*CHOOSE(CONTROL!$C$42, 500, 500)*CHOOSE(CONTROL!$C$42, 0.275, 0.275)*CHOOSE(CONTROL!$C$42, 28, 28))/1000000</f>
        <v>3.85</v>
      </c>
      <c r="W470" s="56">
        <f>(1000*CHOOSE(CONTROL!$C$42, 0.1146, 0.1146)*CHOOSE(CONTROL!$C$42, 121.5, 121.5)*CHOOSE(CONTROL!$C$42, 28, 28))/1000000</f>
        <v>0.38986920000000003</v>
      </c>
      <c r="X470" s="56">
        <f>(28*0.2374*100000/1000000)</f>
        <v>0.66471999999999998</v>
      </c>
      <c r="Y470" s="56"/>
      <c r="Z470" s="17"/>
      <c r="AA470" s="55"/>
      <c r="AB470" s="48">
        <f>(B470*122.58+C470*297.941+D470*89.177+E470*140.302+F470*40+G470*60+H470*0+I470*100+J470*300)/(122.58+297.941+89.177+140.302+0+40+60+100+300)</f>
        <v>25.065871877999996</v>
      </c>
      <c r="AC470" s="45">
        <f>(M470*'RAP TEMPLATE-GAS AVAILABILITY'!O469+N470*'RAP TEMPLATE-GAS AVAILABILITY'!P469+O470*'RAP TEMPLATE-GAS AVAILABILITY'!Q469+P470*'RAP TEMPLATE-GAS AVAILABILITY'!R469)/('RAP TEMPLATE-GAS AVAILABILITY'!O469+'RAP TEMPLATE-GAS AVAILABILITY'!P469+'RAP TEMPLATE-GAS AVAILABILITY'!Q469+'RAP TEMPLATE-GAS AVAILABILITY'!R469)</f>
        <v>24.664205755395685</v>
      </c>
    </row>
    <row r="471" spans="1:29" ht="15.75" x14ac:dyDescent="0.25">
      <c r="A471" s="14">
        <v>55243</v>
      </c>
      <c r="B471" s="17">
        <f>CHOOSE(CONTROL!$C$42, 24.3107, 24.3107) * CHOOSE(CONTROL!$C$21, $C$9, 100%, $E$9)</f>
        <v>24.310700000000001</v>
      </c>
      <c r="C471" s="17">
        <f>CHOOSE(CONTROL!$C$42, 24.3157, 24.3157) * CHOOSE(CONTROL!$C$21, $C$9, 100%, $E$9)</f>
        <v>24.3157</v>
      </c>
      <c r="D471" s="17">
        <f>CHOOSE(CONTROL!$C$42, 24.4342, 24.4342) * CHOOSE(CONTROL!$C$21, $C$9, 100%, $E$9)</f>
        <v>24.434200000000001</v>
      </c>
      <c r="E471" s="17">
        <f>CHOOSE(CONTROL!$C$42, 24.4683, 24.4683) * CHOOSE(CONTROL!$C$21, $C$9, 100%, $E$9)</f>
        <v>24.468299999999999</v>
      </c>
      <c r="F471" s="17">
        <f>CHOOSE(CONTROL!$C$42, 24.3304, 24.3304)*CHOOSE(CONTROL!$C$21, $C$9, 100%, $E$9)</f>
        <v>24.330400000000001</v>
      </c>
      <c r="G471" s="17">
        <f>CHOOSE(CONTROL!$C$42, 24.347, 24.347)*CHOOSE(CONTROL!$C$21, $C$9, 100%, $E$9)</f>
        <v>24.347000000000001</v>
      </c>
      <c r="H471" s="17">
        <f>CHOOSE(CONTROL!$C$42, 24.4575, 24.4575) * CHOOSE(CONTROL!$C$21, $C$9, 100%, $E$9)</f>
        <v>24.4575</v>
      </c>
      <c r="I471" s="17">
        <f>CHOOSE(CONTROL!$C$42, 24.4104, 24.4104)* CHOOSE(CONTROL!$C$21, $C$9, 100%, $E$9)</f>
        <v>24.410399999999999</v>
      </c>
      <c r="J471" s="17">
        <f>CHOOSE(CONTROL!$C$42, 24.3234, 24.3234)* CHOOSE(CONTROL!$C$21, $C$9, 100%, $E$9)</f>
        <v>24.323399999999999</v>
      </c>
      <c r="K471" s="52">
        <f>CHOOSE(CONTROL!$C$42, 24.4062, 24.4062) * CHOOSE(CONTROL!$C$21, $C$9, 100%, $E$9)</f>
        <v>24.406199999999998</v>
      </c>
      <c r="L471" s="17">
        <f>CHOOSE(CONTROL!$C$42, 25.0445, 25.0445) * CHOOSE(CONTROL!$C$21, $C$9, 100%, $E$9)</f>
        <v>25.044499999999999</v>
      </c>
      <c r="M471" s="17">
        <f>CHOOSE(CONTROL!$C$42, 23.8936, 23.8936) * CHOOSE(CONTROL!$C$21, $C$9, 100%, $E$9)</f>
        <v>23.893599999999999</v>
      </c>
      <c r="N471" s="17">
        <f>CHOOSE(CONTROL!$C$42, 23.9099, 23.9099) * CHOOSE(CONTROL!$C$21, $C$9, 100%, $E$9)</f>
        <v>23.9099</v>
      </c>
      <c r="O471" s="17">
        <f>CHOOSE(CONTROL!$C$42, 24.0253, 24.0253) * CHOOSE(CONTROL!$C$21, $C$9, 100%, $E$9)</f>
        <v>24.025300000000001</v>
      </c>
      <c r="P471" s="17">
        <f>CHOOSE(CONTROL!$C$42, 23.9778, 23.9778) * CHOOSE(CONTROL!$C$21, $C$9, 100%, $E$9)</f>
        <v>23.977799999999998</v>
      </c>
      <c r="Q471" s="17">
        <f>CHOOSE(CONTROL!$C$42, 24.62, 24.62) * CHOOSE(CONTROL!$C$21, $C$9, 100%, $E$9)</f>
        <v>24.62</v>
      </c>
      <c r="R471" s="17">
        <f>CHOOSE(CONTROL!$C$42, 25.2685, 25.2685) * CHOOSE(CONTROL!$C$21, $C$9, 100%, $E$9)</f>
        <v>25.2685</v>
      </c>
      <c r="S471" s="17">
        <f>CHOOSE(CONTROL!$C$42, 23.3516, 23.3516) * CHOOSE(CONTROL!$C$21, $C$9, 100%, $E$9)</f>
        <v>23.351600000000001</v>
      </c>
      <c r="T47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71" s="56">
        <f>(1000*CHOOSE(CONTROL!$C$42, 695, 695)*CHOOSE(CONTROL!$C$42, 0.5599, 0.5599)*CHOOSE(CONTROL!$C$42, 31, 31))/1000000</f>
        <v>12.063045499999998</v>
      </c>
      <c r="V471" s="56">
        <f>(1000*CHOOSE(CONTROL!$C$42, 500, 500)*CHOOSE(CONTROL!$C$42, 0.275, 0.275)*CHOOSE(CONTROL!$C$42, 31, 31))/1000000</f>
        <v>4.2625000000000002</v>
      </c>
      <c r="W471" s="56">
        <f>(1000*CHOOSE(CONTROL!$C$42, 0.1146, 0.1146)*CHOOSE(CONTROL!$C$42, 121.5, 121.5)*CHOOSE(CONTROL!$C$42, 31, 31))/1000000</f>
        <v>0.43164089999999994</v>
      </c>
      <c r="X471" s="56">
        <f>(31*0.2374*100000/1000000)</f>
        <v>0.73594000000000004</v>
      </c>
      <c r="Y471" s="56"/>
      <c r="Z471" s="17"/>
      <c r="AA471" s="55"/>
      <c r="AB471" s="48">
        <f>(B471*122.58+C471*297.941+D471*89.177+E471*140.302+F471*40+G471*60+H471*0+I471*100+J471*300)/(122.58+297.941+89.177+140.302+0+40+60+100+300)</f>
        <v>24.35536144321739</v>
      </c>
      <c r="AC471" s="45">
        <f>(M471*'RAP TEMPLATE-GAS AVAILABILITY'!O470+N471*'RAP TEMPLATE-GAS AVAILABILITY'!P470+O471*'RAP TEMPLATE-GAS AVAILABILITY'!Q470+P471*'RAP TEMPLATE-GAS AVAILABILITY'!R470)/('RAP TEMPLATE-GAS AVAILABILITY'!O470+'RAP TEMPLATE-GAS AVAILABILITY'!P470+'RAP TEMPLATE-GAS AVAILABILITY'!Q470+'RAP TEMPLATE-GAS AVAILABILITY'!R470)</f>
        <v>23.966344604316546</v>
      </c>
    </row>
    <row r="472" spans="1:29" ht="15.75" x14ac:dyDescent="0.25">
      <c r="A472" s="14">
        <v>55273</v>
      </c>
      <c r="B472" s="17">
        <f>CHOOSE(CONTROL!$C$42, 24.2389, 24.2389) * CHOOSE(CONTROL!$C$21, $C$9, 100%, $E$9)</f>
        <v>24.238900000000001</v>
      </c>
      <c r="C472" s="17">
        <f>CHOOSE(CONTROL!$C$42, 24.2434, 24.2434) * CHOOSE(CONTROL!$C$21, $C$9, 100%, $E$9)</f>
        <v>24.243400000000001</v>
      </c>
      <c r="D472" s="17">
        <f>CHOOSE(CONTROL!$C$42, 24.5176, 24.5176) * CHOOSE(CONTROL!$C$21, $C$9, 100%, $E$9)</f>
        <v>24.517600000000002</v>
      </c>
      <c r="E472" s="17">
        <f>CHOOSE(CONTROL!$C$42, 24.5497, 24.5497) * CHOOSE(CONTROL!$C$21, $C$9, 100%, $E$9)</f>
        <v>24.549700000000001</v>
      </c>
      <c r="F472" s="17">
        <f>CHOOSE(CONTROL!$C$42, 24.2582, 24.2582)*CHOOSE(CONTROL!$C$21, $C$9, 100%, $E$9)</f>
        <v>24.258199999999999</v>
      </c>
      <c r="G472" s="17">
        <f>CHOOSE(CONTROL!$C$42, 24.2746, 24.2746)*CHOOSE(CONTROL!$C$21, $C$9, 100%, $E$9)</f>
        <v>24.2746</v>
      </c>
      <c r="H472" s="17">
        <f>CHOOSE(CONTROL!$C$42, 24.5395, 24.5395) * CHOOSE(CONTROL!$C$21, $C$9, 100%, $E$9)</f>
        <v>24.5395</v>
      </c>
      <c r="I472" s="17">
        <f>CHOOSE(CONTROL!$C$42, 24.3361, 24.3361)* CHOOSE(CONTROL!$C$21, $C$9, 100%, $E$9)</f>
        <v>24.336099999999998</v>
      </c>
      <c r="J472" s="17">
        <f>CHOOSE(CONTROL!$C$42, 24.2512, 24.2512)* CHOOSE(CONTROL!$C$21, $C$9, 100%, $E$9)</f>
        <v>24.251200000000001</v>
      </c>
      <c r="K472" s="52">
        <f>CHOOSE(CONTROL!$C$42, 24.3319, 24.3319) * CHOOSE(CONTROL!$C$21, $C$9, 100%, $E$9)</f>
        <v>24.331900000000001</v>
      </c>
      <c r="L472" s="17">
        <f>CHOOSE(CONTROL!$C$42, 25.1265, 25.1265) * CHOOSE(CONTROL!$C$21, $C$9, 100%, $E$9)</f>
        <v>25.1265</v>
      </c>
      <c r="M472" s="17">
        <f>CHOOSE(CONTROL!$C$42, 23.8227, 23.8227) * CHOOSE(CONTROL!$C$21, $C$9, 100%, $E$9)</f>
        <v>23.822700000000001</v>
      </c>
      <c r="N472" s="17">
        <f>CHOOSE(CONTROL!$C$42, 23.8388, 23.8388) * CHOOSE(CONTROL!$C$21, $C$9, 100%, $E$9)</f>
        <v>23.838799999999999</v>
      </c>
      <c r="O472" s="17">
        <f>CHOOSE(CONTROL!$C$42, 24.1058, 24.1058) * CHOOSE(CONTROL!$C$21, $C$9, 100%, $E$9)</f>
        <v>24.105799999999999</v>
      </c>
      <c r="P472" s="17">
        <f>CHOOSE(CONTROL!$C$42, 23.9048, 23.9048) * CHOOSE(CONTROL!$C$21, $C$9, 100%, $E$9)</f>
        <v>23.904800000000002</v>
      </c>
      <c r="Q472" s="17">
        <f>CHOOSE(CONTROL!$C$42, 24.7005, 24.7005) * CHOOSE(CONTROL!$C$21, $C$9, 100%, $E$9)</f>
        <v>24.700500000000002</v>
      </c>
      <c r="R472" s="17">
        <f>CHOOSE(CONTROL!$C$42, 25.3493, 25.3493) * CHOOSE(CONTROL!$C$21, $C$9, 100%, $E$9)</f>
        <v>25.349299999999999</v>
      </c>
      <c r="S472" s="17">
        <f>CHOOSE(CONTROL!$C$42, 23.2819, 23.2819) * CHOOSE(CONTROL!$C$21, $C$9, 100%, $E$9)</f>
        <v>23.2819</v>
      </c>
      <c r="T47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72" s="56">
        <f>(1000*CHOOSE(CONTROL!$C$42, 695, 695)*CHOOSE(CONTROL!$C$42, 0.5599, 0.5599)*CHOOSE(CONTROL!$C$42, 30, 30))/1000000</f>
        <v>11.673914999999997</v>
      </c>
      <c r="V472" s="56">
        <f>(1000*CHOOSE(CONTROL!$C$42, 500, 500)*CHOOSE(CONTROL!$C$42, 0.275, 0.275)*CHOOSE(CONTROL!$C$42, 30, 30))/1000000</f>
        <v>4.125</v>
      </c>
      <c r="W472" s="56">
        <f>(1000*CHOOSE(CONTROL!$C$42, 0.1146, 0.1146)*CHOOSE(CONTROL!$C$42, 121.5, 121.5)*CHOOSE(CONTROL!$C$42, 30, 30))/1000000</f>
        <v>0.417717</v>
      </c>
      <c r="X472" s="56">
        <f>(30*0.1790888*145000/1000000)+(30*0.2374*100000/1000000)</f>
        <v>1.4912362799999999</v>
      </c>
      <c r="Y472" s="56"/>
      <c r="Z472" s="17"/>
      <c r="AA472" s="55"/>
      <c r="AB472" s="48">
        <f>(B472*141.293+C472*267.993+D472*115.016+E472*189.698+F472*40+G472*85+H472*0+I472*100+J472*300)/(141.293+267.993+115.016+189.698+0+40+85+100+300)</f>
        <v>24.327225719209043</v>
      </c>
      <c r="AC472" s="45">
        <f>(M472*'RAP TEMPLATE-GAS AVAILABILITY'!O471+N472*'RAP TEMPLATE-GAS AVAILABILITY'!P471+O472*'RAP TEMPLATE-GAS AVAILABILITY'!Q471+P472*'RAP TEMPLATE-GAS AVAILABILITY'!R471)/('RAP TEMPLATE-GAS AVAILABILITY'!O471+'RAP TEMPLATE-GAS AVAILABILITY'!P471+'RAP TEMPLATE-GAS AVAILABILITY'!Q471+'RAP TEMPLATE-GAS AVAILABILITY'!R471)</f>
        <v>23.91765035971223</v>
      </c>
    </row>
    <row r="473" spans="1:29" ht="15.75" x14ac:dyDescent="0.25">
      <c r="A473" s="14">
        <v>55304</v>
      </c>
      <c r="B473" s="17">
        <f>CHOOSE(CONTROL!$C$42, 24.4542, 24.4542) * CHOOSE(CONTROL!$C$21, $C$9, 100%, $E$9)</f>
        <v>24.4542</v>
      </c>
      <c r="C473" s="17">
        <f>CHOOSE(CONTROL!$C$42, 24.4622, 24.4622) * CHOOSE(CONTROL!$C$21, $C$9, 100%, $E$9)</f>
        <v>24.462199999999999</v>
      </c>
      <c r="D473" s="17">
        <f>CHOOSE(CONTROL!$C$42, 24.7332, 24.7332) * CHOOSE(CONTROL!$C$21, $C$9, 100%, $E$9)</f>
        <v>24.7332</v>
      </c>
      <c r="E473" s="17">
        <f>CHOOSE(CONTROL!$C$42, 24.7647, 24.7647) * CHOOSE(CONTROL!$C$21, $C$9, 100%, $E$9)</f>
        <v>24.764700000000001</v>
      </c>
      <c r="F473" s="17">
        <f>CHOOSE(CONTROL!$C$42, 24.4723, 24.4723)*CHOOSE(CONTROL!$C$21, $C$9, 100%, $E$9)</f>
        <v>24.472300000000001</v>
      </c>
      <c r="G473" s="17">
        <f>CHOOSE(CONTROL!$C$42, 24.4889, 24.4889)*CHOOSE(CONTROL!$C$21, $C$9, 100%, $E$9)</f>
        <v>24.488900000000001</v>
      </c>
      <c r="H473" s="17">
        <f>CHOOSE(CONTROL!$C$42, 24.7533, 24.7533) * CHOOSE(CONTROL!$C$21, $C$9, 100%, $E$9)</f>
        <v>24.753299999999999</v>
      </c>
      <c r="I473" s="17">
        <f>CHOOSE(CONTROL!$C$42, 24.5506, 24.5506)* CHOOSE(CONTROL!$C$21, $C$9, 100%, $E$9)</f>
        <v>24.550599999999999</v>
      </c>
      <c r="J473" s="17">
        <f>CHOOSE(CONTROL!$C$42, 24.4653, 24.4653)* CHOOSE(CONTROL!$C$21, $C$9, 100%, $E$9)</f>
        <v>24.465299999999999</v>
      </c>
      <c r="K473" s="52">
        <f>CHOOSE(CONTROL!$C$42, 24.5464, 24.5464) * CHOOSE(CONTROL!$C$21, $C$9, 100%, $E$9)</f>
        <v>24.546399999999998</v>
      </c>
      <c r="L473" s="17">
        <f>CHOOSE(CONTROL!$C$42, 25.3403, 25.3403) * CHOOSE(CONTROL!$C$21, $C$9, 100%, $E$9)</f>
        <v>25.340299999999999</v>
      </c>
      <c r="M473" s="17">
        <f>CHOOSE(CONTROL!$C$42, 24.033, 24.033) * CHOOSE(CONTROL!$C$21, $C$9, 100%, $E$9)</f>
        <v>24.033000000000001</v>
      </c>
      <c r="N473" s="17">
        <f>CHOOSE(CONTROL!$C$42, 24.0493, 24.0493) * CHOOSE(CONTROL!$C$21, $C$9, 100%, $E$9)</f>
        <v>24.049299999999999</v>
      </c>
      <c r="O473" s="17">
        <f>CHOOSE(CONTROL!$C$42, 24.3158, 24.3158) * CHOOSE(CONTROL!$C$21, $C$9, 100%, $E$9)</f>
        <v>24.315799999999999</v>
      </c>
      <c r="P473" s="17">
        <f>CHOOSE(CONTROL!$C$42, 24.1154, 24.1154) * CHOOSE(CONTROL!$C$21, $C$9, 100%, $E$9)</f>
        <v>24.115400000000001</v>
      </c>
      <c r="Q473" s="17">
        <f>CHOOSE(CONTROL!$C$42, 24.9105, 24.9105) * CHOOSE(CONTROL!$C$21, $C$9, 100%, $E$9)</f>
        <v>24.910499999999999</v>
      </c>
      <c r="R473" s="17">
        <f>CHOOSE(CONTROL!$C$42, 25.5598, 25.5598) * CHOOSE(CONTROL!$C$21, $C$9, 100%, $E$9)</f>
        <v>25.559799999999999</v>
      </c>
      <c r="S473" s="17">
        <f>CHOOSE(CONTROL!$C$42, 23.4874, 23.4874) * CHOOSE(CONTROL!$C$21, $C$9, 100%, $E$9)</f>
        <v>23.487400000000001</v>
      </c>
      <c r="T47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73" s="56">
        <f>(1000*CHOOSE(CONTROL!$C$42, 695, 695)*CHOOSE(CONTROL!$C$42, 0.5599, 0.5599)*CHOOSE(CONTROL!$C$42, 31, 31))/1000000</f>
        <v>12.063045499999998</v>
      </c>
      <c r="V473" s="56">
        <f>(1000*CHOOSE(CONTROL!$C$42, 500, 500)*CHOOSE(CONTROL!$C$42, 0.275, 0.275)*CHOOSE(CONTROL!$C$42, 31, 31))/1000000</f>
        <v>4.2625000000000002</v>
      </c>
      <c r="W473" s="56">
        <f>(1000*CHOOSE(CONTROL!$C$42, 0.1146, 0.1146)*CHOOSE(CONTROL!$C$42, 121.5, 121.5)*CHOOSE(CONTROL!$C$42, 31, 31))/1000000</f>
        <v>0.43164089999999994</v>
      </c>
      <c r="X473" s="56">
        <f>(31*0.1790888*145000/1000000)+(31*0.2374*100000/1000000)</f>
        <v>1.5409441560000001</v>
      </c>
      <c r="Y473" s="56"/>
      <c r="Z473" s="17"/>
      <c r="AA473" s="55"/>
      <c r="AB473" s="48">
        <f>(B473*194.205+C473*267.466+D473*133.845+E473*153.484+F473*40+G473*85+H473*0+I473*100+J473*300)/(194.205+267.466+133.845+153.484+0+40+85+100+300)</f>
        <v>24.535662138932498</v>
      </c>
      <c r="AC473" s="45">
        <f>(M473*'RAP TEMPLATE-GAS AVAILABILITY'!O472+N473*'RAP TEMPLATE-GAS AVAILABILITY'!P472+O473*'RAP TEMPLATE-GAS AVAILABILITY'!Q472+P473*'RAP TEMPLATE-GAS AVAILABILITY'!R472)/('RAP TEMPLATE-GAS AVAILABILITY'!O472+'RAP TEMPLATE-GAS AVAILABILITY'!P472+'RAP TEMPLATE-GAS AVAILABILITY'!Q472+'RAP TEMPLATE-GAS AVAILABILITY'!R472)</f>
        <v>24.127955395683454</v>
      </c>
    </row>
    <row r="474" spans="1:29" ht="15.75" x14ac:dyDescent="0.25">
      <c r="A474" s="14">
        <v>55334</v>
      </c>
      <c r="B474" s="17">
        <f>CHOOSE(CONTROL!$C$42, 25.1475, 25.1475) * CHOOSE(CONTROL!$C$21, $C$9, 100%, $E$9)</f>
        <v>25.147500000000001</v>
      </c>
      <c r="C474" s="17">
        <f>CHOOSE(CONTROL!$C$42, 25.1555, 25.1555) * CHOOSE(CONTROL!$C$21, $C$9, 100%, $E$9)</f>
        <v>25.1555</v>
      </c>
      <c r="D474" s="17">
        <f>CHOOSE(CONTROL!$C$42, 25.4266, 25.4266) * CHOOSE(CONTROL!$C$21, $C$9, 100%, $E$9)</f>
        <v>25.426600000000001</v>
      </c>
      <c r="E474" s="17">
        <f>CHOOSE(CONTROL!$C$42, 25.458, 25.458) * CHOOSE(CONTROL!$C$21, $C$9, 100%, $E$9)</f>
        <v>25.457999999999998</v>
      </c>
      <c r="F474" s="17">
        <f>CHOOSE(CONTROL!$C$42, 25.1659, 25.1659)*CHOOSE(CONTROL!$C$21, $C$9, 100%, $E$9)</f>
        <v>25.165900000000001</v>
      </c>
      <c r="G474" s="17">
        <f>CHOOSE(CONTROL!$C$42, 25.1827, 25.1827)*CHOOSE(CONTROL!$C$21, $C$9, 100%, $E$9)</f>
        <v>25.182700000000001</v>
      </c>
      <c r="H474" s="17">
        <f>CHOOSE(CONTROL!$C$42, 25.4467, 25.4467) * CHOOSE(CONTROL!$C$21, $C$9, 100%, $E$9)</f>
        <v>25.4467</v>
      </c>
      <c r="I474" s="17">
        <f>CHOOSE(CONTROL!$C$42, 25.2461, 25.2461)* CHOOSE(CONTROL!$C$21, $C$9, 100%, $E$9)</f>
        <v>25.246099999999998</v>
      </c>
      <c r="J474" s="17">
        <f>CHOOSE(CONTROL!$C$42, 25.1589, 25.1589)* CHOOSE(CONTROL!$C$21, $C$9, 100%, $E$9)</f>
        <v>25.158899999999999</v>
      </c>
      <c r="K474" s="52">
        <f>CHOOSE(CONTROL!$C$42, 25.2419, 25.2419) * CHOOSE(CONTROL!$C$21, $C$9, 100%, $E$9)</f>
        <v>25.241900000000001</v>
      </c>
      <c r="L474" s="17">
        <f>CHOOSE(CONTROL!$C$42, 26.0337, 26.0337) * CHOOSE(CONTROL!$C$21, $C$9, 100%, $E$9)</f>
        <v>26.0337</v>
      </c>
      <c r="M474" s="17">
        <f>CHOOSE(CONTROL!$C$42, 24.7141, 24.7141) * CHOOSE(CONTROL!$C$21, $C$9, 100%, $E$9)</f>
        <v>24.714099999999998</v>
      </c>
      <c r="N474" s="17">
        <f>CHOOSE(CONTROL!$C$42, 24.7305, 24.7305) * CHOOSE(CONTROL!$C$21, $C$9, 100%, $E$9)</f>
        <v>24.730499999999999</v>
      </c>
      <c r="O474" s="17">
        <f>CHOOSE(CONTROL!$C$42, 24.9967, 24.9967) * CHOOSE(CONTROL!$C$21, $C$9, 100%, $E$9)</f>
        <v>24.996700000000001</v>
      </c>
      <c r="P474" s="17">
        <f>CHOOSE(CONTROL!$C$42, 24.7984, 24.7984) * CHOOSE(CONTROL!$C$21, $C$9, 100%, $E$9)</f>
        <v>24.798400000000001</v>
      </c>
      <c r="Q474" s="17">
        <f>CHOOSE(CONTROL!$C$42, 25.5914, 25.5914) * CHOOSE(CONTROL!$C$21, $C$9, 100%, $E$9)</f>
        <v>25.5914</v>
      </c>
      <c r="R474" s="17">
        <f>CHOOSE(CONTROL!$C$42, 26.2423, 26.2423) * CHOOSE(CONTROL!$C$21, $C$9, 100%, $E$9)</f>
        <v>26.2423</v>
      </c>
      <c r="S474" s="17">
        <f>CHOOSE(CONTROL!$C$42, 24.1536, 24.1536) * CHOOSE(CONTROL!$C$21, $C$9, 100%, $E$9)</f>
        <v>24.153600000000001</v>
      </c>
      <c r="T47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74" s="56">
        <f>(1000*CHOOSE(CONTROL!$C$42, 695, 695)*CHOOSE(CONTROL!$C$42, 0.5599, 0.5599)*CHOOSE(CONTROL!$C$42, 30, 30))/1000000</f>
        <v>11.673914999999997</v>
      </c>
      <c r="V474" s="56">
        <f>(1000*CHOOSE(CONTROL!$C$42, 500, 500)*CHOOSE(CONTROL!$C$42, 0.275, 0.275)*CHOOSE(CONTROL!$C$42, 30, 30))/1000000</f>
        <v>4.125</v>
      </c>
      <c r="W474" s="56">
        <f>(1000*CHOOSE(CONTROL!$C$42, 0.1146, 0.1146)*CHOOSE(CONTROL!$C$42, 121.5, 121.5)*CHOOSE(CONTROL!$C$42, 30, 30))/1000000</f>
        <v>0.417717</v>
      </c>
      <c r="X474" s="56">
        <f>(30*0.1790888*145000/1000000)+(30*0.2374*100000/1000000)</f>
        <v>1.4912362799999999</v>
      </c>
      <c r="Y474" s="56"/>
      <c r="Z474" s="17"/>
      <c r="AA474" s="55"/>
      <c r="AB474" s="48">
        <f>(B474*194.205+C474*267.466+D474*133.845+E474*153.484+F474*40+G474*85+H474*0+I474*100+J474*300)/(194.205+267.466+133.845+153.484+0+40+85+100+300)</f>
        <v>25.229258751569862</v>
      </c>
      <c r="AC474" s="45">
        <f>(M474*'RAP TEMPLATE-GAS AVAILABILITY'!O473+N474*'RAP TEMPLATE-GAS AVAILABILITY'!P473+O474*'RAP TEMPLATE-GAS AVAILABILITY'!Q473+P474*'RAP TEMPLATE-GAS AVAILABILITY'!R473)/('RAP TEMPLATE-GAS AVAILABILITY'!O473+'RAP TEMPLATE-GAS AVAILABILITY'!P473+'RAP TEMPLATE-GAS AVAILABILITY'!Q473+'RAP TEMPLATE-GAS AVAILABILITY'!R473)</f>
        <v>24.809295683453239</v>
      </c>
    </row>
    <row r="475" spans="1:29" ht="15.75" x14ac:dyDescent="0.25">
      <c r="A475" s="14">
        <v>55365</v>
      </c>
      <c r="B475" s="17">
        <f>CHOOSE(CONTROL!$C$42, 24.6653, 24.6653) * CHOOSE(CONTROL!$C$21, $C$9, 100%, $E$9)</f>
        <v>24.665299999999998</v>
      </c>
      <c r="C475" s="17">
        <f>CHOOSE(CONTROL!$C$42, 24.6733, 24.6733) * CHOOSE(CONTROL!$C$21, $C$9, 100%, $E$9)</f>
        <v>24.673300000000001</v>
      </c>
      <c r="D475" s="17">
        <f>CHOOSE(CONTROL!$C$42, 24.9444, 24.9444) * CHOOSE(CONTROL!$C$21, $C$9, 100%, $E$9)</f>
        <v>24.944400000000002</v>
      </c>
      <c r="E475" s="17">
        <f>CHOOSE(CONTROL!$C$42, 24.9758, 24.9758) * CHOOSE(CONTROL!$C$21, $C$9, 100%, $E$9)</f>
        <v>24.9758</v>
      </c>
      <c r="F475" s="17">
        <f>CHOOSE(CONTROL!$C$42, 24.6841, 24.6841)*CHOOSE(CONTROL!$C$21, $C$9, 100%, $E$9)</f>
        <v>24.684100000000001</v>
      </c>
      <c r="G475" s="17">
        <f>CHOOSE(CONTROL!$C$42, 24.701, 24.701)*CHOOSE(CONTROL!$C$21, $C$9, 100%, $E$9)</f>
        <v>24.701000000000001</v>
      </c>
      <c r="H475" s="17">
        <f>CHOOSE(CONTROL!$C$42, 24.9645, 24.9645) * CHOOSE(CONTROL!$C$21, $C$9, 100%, $E$9)</f>
        <v>24.964500000000001</v>
      </c>
      <c r="I475" s="17">
        <f>CHOOSE(CONTROL!$C$42, 24.7624, 24.7624)* CHOOSE(CONTROL!$C$21, $C$9, 100%, $E$9)</f>
        <v>24.7624</v>
      </c>
      <c r="J475" s="17">
        <f>CHOOSE(CONTROL!$C$42, 24.6771, 24.6771)* CHOOSE(CONTROL!$C$21, $C$9, 100%, $E$9)</f>
        <v>24.677099999999999</v>
      </c>
      <c r="K475" s="52">
        <f>CHOOSE(CONTROL!$C$42, 24.7582, 24.7582) * CHOOSE(CONTROL!$C$21, $C$9, 100%, $E$9)</f>
        <v>24.758199999999999</v>
      </c>
      <c r="L475" s="17">
        <f>CHOOSE(CONTROL!$C$42, 25.5515, 25.5515) * CHOOSE(CONTROL!$C$21, $C$9, 100%, $E$9)</f>
        <v>25.551500000000001</v>
      </c>
      <c r="M475" s="17">
        <f>CHOOSE(CONTROL!$C$42, 24.241, 24.241) * CHOOSE(CONTROL!$C$21, $C$9, 100%, $E$9)</f>
        <v>24.241</v>
      </c>
      <c r="N475" s="17">
        <f>CHOOSE(CONTROL!$C$42, 24.2575, 24.2575) * CHOOSE(CONTROL!$C$21, $C$9, 100%, $E$9)</f>
        <v>24.2575</v>
      </c>
      <c r="O475" s="17">
        <f>CHOOSE(CONTROL!$C$42, 24.5231, 24.5231) * CHOOSE(CONTROL!$C$21, $C$9, 100%, $E$9)</f>
        <v>24.523099999999999</v>
      </c>
      <c r="P475" s="17">
        <f>CHOOSE(CONTROL!$C$42, 24.3234, 24.3234) * CHOOSE(CONTROL!$C$21, $C$9, 100%, $E$9)</f>
        <v>24.323399999999999</v>
      </c>
      <c r="Q475" s="17">
        <f>CHOOSE(CONTROL!$C$42, 25.1178, 25.1178) * CHOOSE(CONTROL!$C$21, $C$9, 100%, $E$9)</f>
        <v>25.117799999999999</v>
      </c>
      <c r="R475" s="17">
        <f>CHOOSE(CONTROL!$C$42, 25.7676, 25.7676) * CHOOSE(CONTROL!$C$21, $C$9, 100%, $E$9)</f>
        <v>25.767600000000002</v>
      </c>
      <c r="S475" s="17">
        <f>CHOOSE(CONTROL!$C$42, 23.6902, 23.6902) * CHOOSE(CONTROL!$C$21, $C$9, 100%, $E$9)</f>
        <v>23.690200000000001</v>
      </c>
      <c r="T47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75" s="56">
        <f>(1000*CHOOSE(CONTROL!$C$42, 695, 695)*CHOOSE(CONTROL!$C$42, 0.5599, 0.5599)*CHOOSE(CONTROL!$C$42, 31, 31))/1000000</f>
        <v>12.063045499999998</v>
      </c>
      <c r="V475" s="56">
        <f>(1000*CHOOSE(CONTROL!$C$42, 500, 500)*CHOOSE(CONTROL!$C$42, 0.275, 0.275)*CHOOSE(CONTROL!$C$42, 31, 31))/1000000</f>
        <v>4.2625000000000002</v>
      </c>
      <c r="W475" s="56">
        <f>(1000*CHOOSE(CONTROL!$C$42, 0.1146, 0.1146)*CHOOSE(CONTROL!$C$42, 121.5, 121.5)*CHOOSE(CONTROL!$C$42, 31, 31))/1000000</f>
        <v>0.43164089999999994</v>
      </c>
      <c r="X475" s="56">
        <f>(31*0.1790888*145000/1000000)+(31*0.2374*100000/1000000)</f>
        <v>1.5409441560000001</v>
      </c>
      <c r="Y475" s="56"/>
      <c r="Z475" s="17"/>
      <c r="AA475" s="55"/>
      <c r="AB475" s="48">
        <f>(B475*194.205+C475*267.466+D475*133.845+E475*153.484+F475*40+G475*85+H475*0+I475*100+J475*300)/(194.205+267.466+133.845+153.484+0+40+85+100+300)</f>
        <v>24.747081122056517</v>
      </c>
      <c r="AC475" s="45">
        <f>(M475*'RAP TEMPLATE-GAS AVAILABILITY'!O474+N475*'RAP TEMPLATE-GAS AVAILABILITY'!P474+O475*'RAP TEMPLATE-GAS AVAILABILITY'!Q474+P475*'RAP TEMPLATE-GAS AVAILABILITY'!R474)/('RAP TEMPLATE-GAS AVAILABILITY'!O474+'RAP TEMPLATE-GAS AVAILABILITY'!P474+'RAP TEMPLATE-GAS AVAILABILITY'!Q474+'RAP TEMPLATE-GAS AVAILABILITY'!R474)</f>
        <v>24.335805035971223</v>
      </c>
    </row>
    <row r="476" spans="1:29" ht="15.75" x14ac:dyDescent="0.25">
      <c r="A476" s="14">
        <v>55396</v>
      </c>
      <c r="B476" s="17">
        <f>CHOOSE(CONTROL!$C$42, 23.4475, 23.4475) * CHOOSE(CONTROL!$C$21, $C$9, 100%, $E$9)</f>
        <v>23.447500000000002</v>
      </c>
      <c r="C476" s="17">
        <f>CHOOSE(CONTROL!$C$42, 23.4555, 23.4555) * CHOOSE(CONTROL!$C$21, $C$9, 100%, $E$9)</f>
        <v>23.455500000000001</v>
      </c>
      <c r="D476" s="17">
        <f>CHOOSE(CONTROL!$C$42, 23.7266, 23.7266) * CHOOSE(CONTROL!$C$21, $C$9, 100%, $E$9)</f>
        <v>23.726600000000001</v>
      </c>
      <c r="E476" s="17">
        <f>CHOOSE(CONTROL!$C$42, 23.7581, 23.7581) * CHOOSE(CONTROL!$C$21, $C$9, 100%, $E$9)</f>
        <v>23.758099999999999</v>
      </c>
      <c r="F476" s="17">
        <f>CHOOSE(CONTROL!$C$42, 23.4666, 23.4666)*CHOOSE(CONTROL!$C$21, $C$9, 100%, $E$9)</f>
        <v>23.4666</v>
      </c>
      <c r="G476" s="17">
        <f>CHOOSE(CONTROL!$C$42, 23.4835, 23.4835)*CHOOSE(CONTROL!$C$21, $C$9, 100%, $E$9)</f>
        <v>23.483499999999999</v>
      </c>
      <c r="H476" s="17">
        <f>CHOOSE(CONTROL!$C$42, 23.7467, 23.7467) * CHOOSE(CONTROL!$C$21, $C$9, 100%, $E$9)</f>
        <v>23.746700000000001</v>
      </c>
      <c r="I476" s="17">
        <f>CHOOSE(CONTROL!$C$42, 23.5408, 23.5408)* CHOOSE(CONTROL!$C$21, $C$9, 100%, $E$9)</f>
        <v>23.540800000000001</v>
      </c>
      <c r="J476" s="17">
        <f>CHOOSE(CONTROL!$C$42, 23.4596, 23.4596)* CHOOSE(CONTROL!$C$21, $C$9, 100%, $E$9)</f>
        <v>23.459599999999998</v>
      </c>
      <c r="K476" s="52">
        <f>CHOOSE(CONTROL!$C$42, 23.5366, 23.5366) * CHOOSE(CONTROL!$C$21, $C$9, 100%, $E$9)</f>
        <v>23.5366</v>
      </c>
      <c r="L476" s="17">
        <f>CHOOSE(CONTROL!$C$42, 24.3337, 24.3337) * CHOOSE(CONTROL!$C$21, $C$9, 100%, $E$9)</f>
        <v>24.3337</v>
      </c>
      <c r="M476" s="17">
        <f>CHOOSE(CONTROL!$C$42, 23.0454, 23.0454) * CHOOSE(CONTROL!$C$21, $C$9, 100%, $E$9)</f>
        <v>23.045400000000001</v>
      </c>
      <c r="N476" s="17">
        <f>CHOOSE(CONTROL!$C$42, 23.0619, 23.0619) * CHOOSE(CONTROL!$C$21, $C$9, 100%, $E$9)</f>
        <v>23.061900000000001</v>
      </c>
      <c r="O476" s="17">
        <f>CHOOSE(CONTROL!$C$42, 23.3273, 23.3273) * CHOOSE(CONTROL!$C$21, $C$9, 100%, $E$9)</f>
        <v>23.327300000000001</v>
      </c>
      <c r="P476" s="17">
        <f>CHOOSE(CONTROL!$C$42, 23.1239, 23.1239) * CHOOSE(CONTROL!$C$21, $C$9, 100%, $E$9)</f>
        <v>23.123899999999999</v>
      </c>
      <c r="Q476" s="17">
        <f>CHOOSE(CONTROL!$C$42, 23.922, 23.922) * CHOOSE(CONTROL!$C$21, $C$9, 100%, $E$9)</f>
        <v>23.922000000000001</v>
      </c>
      <c r="R476" s="17">
        <f>CHOOSE(CONTROL!$C$42, 24.5688, 24.5688) * CHOOSE(CONTROL!$C$21, $C$9, 100%, $E$9)</f>
        <v>24.5688</v>
      </c>
      <c r="S476" s="17">
        <f>CHOOSE(CONTROL!$C$42, 22.5201, 22.5201) * CHOOSE(CONTROL!$C$21, $C$9, 100%, $E$9)</f>
        <v>22.520099999999999</v>
      </c>
      <c r="T47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76" s="56">
        <f>(1000*CHOOSE(CONTROL!$C$42, 695, 695)*CHOOSE(CONTROL!$C$42, 0.5599, 0.5599)*CHOOSE(CONTROL!$C$42, 31, 31))/1000000</f>
        <v>12.063045499999998</v>
      </c>
      <c r="V476" s="56">
        <f>(1000*CHOOSE(CONTROL!$C$42, 500, 500)*CHOOSE(CONTROL!$C$42, 0.275, 0.275)*CHOOSE(CONTROL!$C$42, 31, 31))/1000000</f>
        <v>4.2625000000000002</v>
      </c>
      <c r="W476" s="56">
        <f>(1000*CHOOSE(CONTROL!$C$42, 0.1146, 0.1146)*CHOOSE(CONTROL!$C$42, 121.5, 121.5)*CHOOSE(CONTROL!$C$42, 31, 31))/1000000</f>
        <v>0.43164089999999994</v>
      </c>
      <c r="X476" s="56">
        <f>(31*0.1790888*145000/1000000)+(31*0.2374*100000/1000000)</f>
        <v>1.5409441560000001</v>
      </c>
      <c r="Y476" s="56"/>
      <c r="Z476" s="17"/>
      <c r="AA476" s="55"/>
      <c r="AB476" s="48">
        <f>(B476*194.205+C476*267.466+D476*133.845+E476*153.484+F476*40+G476*85+H476*0+I476*100+J476*300)/(194.205+267.466+133.845+153.484+0+40+85+100+300)</f>
        <v>23.529094974803769</v>
      </c>
      <c r="AC476" s="45">
        <f>(M476*'RAP TEMPLATE-GAS AVAILABILITY'!O475+N476*'RAP TEMPLATE-GAS AVAILABILITY'!P475+O476*'RAP TEMPLATE-GAS AVAILABILITY'!Q475+P476*'RAP TEMPLATE-GAS AVAILABILITY'!R475)/('RAP TEMPLATE-GAS AVAILABILITY'!O475+'RAP TEMPLATE-GAS AVAILABILITY'!P475+'RAP TEMPLATE-GAS AVAILABILITY'!Q475+'RAP TEMPLATE-GAS AVAILABILITY'!R475)</f>
        <v>23.139587769784175</v>
      </c>
    </row>
    <row r="477" spans="1:29" ht="15.75" x14ac:dyDescent="0.25">
      <c r="A477" s="14">
        <v>55426</v>
      </c>
      <c r="B477" s="17">
        <f>CHOOSE(CONTROL!$C$42, 21.9594, 21.9594) * CHOOSE(CONTROL!$C$21, $C$9, 100%, $E$9)</f>
        <v>21.959399999999999</v>
      </c>
      <c r="C477" s="17">
        <f>CHOOSE(CONTROL!$C$42, 21.9674, 21.9674) * CHOOSE(CONTROL!$C$21, $C$9, 100%, $E$9)</f>
        <v>21.967400000000001</v>
      </c>
      <c r="D477" s="17">
        <f>CHOOSE(CONTROL!$C$42, 22.2385, 22.2385) * CHOOSE(CONTROL!$C$21, $C$9, 100%, $E$9)</f>
        <v>22.238499999999998</v>
      </c>
      <c r="E477" s="17">
        <f>CHOOSE(CONTROL!$C$42, 22.27, 22.27) * CHOOSE(CONTROL!$C$21, $C$9, 100%, $E$9)</f>
        <v>22.27</v>
      </c>
      <c r="F477" s="17">
        <f>CHOOSE(CONTROL!$C$42, 21.9786, 21.9786)*CHOOSE(CONTROL!$C$21, $C$9, 100%, $E$9)</f>
        <v>21.9786</v>
      </c>
      <c r="G477" s="17">
        <f>CHOOSE(CONTROL!$C$42, 21.9955, 21.9955)*CHOOSE(CONTROL!$C$21, $C$9, 100%, $E$9)</f>
        <v>21.9955</v>
      </c>
      <c r="H477" s="17">
        <f>CHOOSE(CONTROL!$C$42, 22.2586, 22.2586) * CHOOSE(CONTROL!$C$21, $C$9, 100%, $E$9)</f>
        <v>22.258600000000001</v>
      </c>
      <c r="I477" s="17">
        <f>CHOOSE(CONTROL!$C$42, 22.048, 22.048)* CHOOSE(CONTROL!$C$21, $C$9, 100%, $E$9)</f>
        <v>22.047999999999998</v>
      </c>
      <c r="J477" s="17">
        <f>CHOOSE(CONTROL!$C$42, 21.9716, 21.9716)* CHOOSE(CONTROL!$C$21, $C$9, 100%, $E$9)</f>
        <v>21.971599999999999</v>
      </c>
      <c r="K477" s="52">
        <f>CHOOSE(CONTROL!$C$42, 22.0438, 22.0438) * CHOOSE(CONTROL!$C$21, $C$9, 100%, $E$9)</f>
        <v>22.043800000000001</v>
      </c>
      <c r="L477" s="17">
        <f>CHOOSE(CONTROL!$C$42, 22.8456, 22.8456) * CHOOSE(CONTROL!$C$21, $C$9, 100%, $E$9)</f>
        <v>22.845600000000001</v>
      </c>
      <c r="M477" s="17">
        <f>CHOOSE(CONTROL!$C$42, 21.5841, 21.5841) * CHOOSE(CONTROL!$C$21, $C$9, 100%, $E$9)</f>
        <v>21.584099999999999</v>
      </c>
      <c r="N477" s="17">
        <f>CHOOSE(CONTROL!$C$42, 21.6007, 21.6007) * CHOOSE(CONTROL!$C$21, $C$9, 100%, $E$9)</f>
        <v>21.6007</v>
      </c>
      <c r="O477" s="17">
        <f>CHOOSE(CONTROL!$C$42, 21.8659, 21.8659) * CHOOSE(CONTROL!$C$21, $C$9, 100%, $E$9)</f>
        <v>21.8659</v>
      </c>
      <c r="P477" s="17">
        <f>CHOOSE(CONTROL!$C$42, 21.658, 21.658) * CHOOSE(CONTROL!$C$21, $C$9, 100%, $E$9)</f>
        <v>21.658000000000001</v>
      </c>
      <c r="Q477" s="17">
        <f>CHOOSE(CONTROL!$C$42, 22.4606, 22.4606) * CHOOSE(CONTROL!$C$21, $C$9, 100%, $E$9)</f>
        <v>22.460599999999999</v>
      </c>
      <c r="R477" s="17">
        <f>CHOOSE(CONTROL!$C$42, 23.1038, 23.1038) * CHOOSE(CONTROL!$C$21, $C$9, 100%, $E$9)</f>
        <v>23.1038</v>
      </c>
      <c r="S477" s="17">
        <f>CHOOSE(CONTROL!$C$42, 21.0902, 21.0902) * CHOOSE(CONTROL!$C$21, $C$9, 100%, $E$9)</f>
        <v>21.090199999999999</v>
      </c>
      <c r="T47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77" s="56">
        <f>(1000*CHOOSE(CONTROL!$C$42, 695, 695)*CHOOSE(CONTROL!$C$42, 0.5599, 0.5599)*CHOOSE(CONTROL!$C$42, 30, 30))/1000000</f>
        <v>11.673914999999997</v>
      </c>
      <c r="V477" s="56">
        <f>(1000*CHOOSE(CONTROL!$C$42, 500, 500)*CHOOSE(CONTROL!$C$42, 0.275, 0.275)*CHOOSE(CONTROL!$C$42, 30, 30))/1000000</f>
        <v>4.125</v>
      </c>
      <c r="W477" s="56">
        <f>(1000*CHOOSE(CONTROL!$C$42, 0.1146, 0.1146)*CHOOSE(CONTROL!$C$42, 121.5, 121.5)*CHOOSE(CONTROL!$C$42, 30, 30))/1000000</f>
        <v>0.417717</v>
      </c>
      <c r="X477" s="56">
        <f>(30*0.1790888*145000/1000000)+(30*0.2374*100000/1000000)</f>
        <v>1.4912362799999999</v>
      </c>
      <c r="Y477" s="56"/>
      <c r="Z477" s="17"/>
      <c r="AA477" s="55"/>
      <c r="AB477" s="48">
        <f>(B477*194.205+C477*267.466+D477*133.845+E477*153.484+F477*40+G477*85+H477*0+I477*100+J477*300)/(194.205+267.466+133.845+153.484+0+40+85+100+300)</f>
        <v>22.040659417503925</v>
      </c>
      <c r="AC477" s="45">
        <f>(M477*'RAP TEMPLATE-GAS AVAILABILITY'!O476+N477*'RAP TEMPLATE-GAS AVAILABILITY'!P476+O477*'RAP TEMPLATE-GAS AVAILABILITY'!Q476+P477*'RAP TEMPLATE-GAS AVAILABILITY'!R476)/('RAP TEMPLATE-GAS AVAILABILITY'!O476+'RAP TEMPLATE-GAS AVAILABILITY'!P476+'RAP TEMPLATE-GAS AVAILABILITY'!Q476+'RAP TEMPLATE-GAS AVAILABILITY'!R476)</f>
        <v>21.67762086330935</v>
      </c>
    </row>
    <row r="478" spans="1:29" ht="15.75" x14ac:dyDescent="0.25">
      <c r="A478" s="14">
        <v>55457</v>
      </c>
      <c r="B478" s="17">
        <f>CHOOSE(CONTROL!$C$42, 21.512, 21.512) * CHOOSE(CONTROL!$C$21, $C$9, 100%, $E$9)</f>
        <v>21.512</v>
      </c>
      <c r="C478" s="17">
        <f>CHOOSE(CONTROL!$C$42, 21.5173, 21.5173) * CHOOSE(CONTROL!$C$21, $C$9, 100%, $E$9)</f>
        <v>21.517299999999999</v>
      </c>
      <c r="D478" s="17">
        <f>CHOOSE(CONTROL!$C$42, 21.7934, 21.7934) * CHOOSE(CONTROL!$C$21, $C$9, 100%, $E$9)</f>
        <v>21.793399999999998</v>
      </c>
      <c r="E478" s="17">
        <f>CHOOSE(CONTROL!$C$42, 21.8225, 21.8225) * CHOOSE(CONTROL!$C$21, $C$9, 100%, $E$9)</f>
        <v>21.822500000000002</v>
      </c>
      <c r="F478" s="17">
        <f>CHOOSE(CONTROL!$C$42, 21.5334, 21.5334)*CHOOSE(CONTROL!$C$21, $C$9, 100%, $E$9)</f>
        <v>21.5334</v>
      </c>
      <c r="G478" s="17">
        <f>CHOOSE(CONTROL!$C$42, 21.5502, 21.5502)*CHOOSE(CONTROL!$C$21, $C$9, 100%, $E$9)</f>
        <v>21.5502</v>
      </c>
      <c r="H478" s="17">
        <f>CHOOSE(CONTROL!$C$42, 21.813, 21.813) * CHOOSE(CONTROL!$C$21, $C$9, 100%, $E$9)</f>
        <v>21.812999999999999</v>
      </c>
      <c r="I478" s="17">
        <f>CHOOSE(CONTROL!$C$42, 21.601, 21.601)* CHOOSE(CONTROL!$C$21, $C$9, 100%, $E$9)</f>
        <v>21.600999999999999</v>
      </c>
      <c r="J478" s="17">
        <f>CHOOSE(CONTROL!$C$42, 21.5264, 21.5264)* CHOOSE(CONTROL!$C$21, $C$9, 100%, $E$9)</f>
        <v>21.526399999999999</v>
      </c>
      <c r="K478" s="52">
        <f>CHOOSE(CONTROL!$C$42, 21.5968, 21.5968) * CHOOSE(CONTROL!$C$21, $C$9, 100%, $E$9)</f>
        <v>21.596800000000002</v>
      </c>
      <c r="L478" s="17">
        <f>CHOOSE(CONTROL!$C$42, 22.4, 22.4) * CHOOSE(CONTROL!$C$21, $C$9, 100%, $E$9)</f>
        <v>22.4</v>
      </c>
      <c r="M478" s="17">
        <f>CHOOSE(CONTROL!$C$42, 21.1469, 21.1469) * CHOOSE(CONTROL!$C$21, $C$9, 100%, $E$9)</f>
        <v>21.146899999999999</v>
      </c>
      <c r="N478" s="17">
        <f>CHOOSE(CONTROL!$C$42, 21.1634, 21.1634) * CHOOSE(CONTROL!$C$21, $C$9, 100%, $E$9)</f>
        <v>21.163399999999999</v>
      </c>
      <c r="O478" s="17">
        <f>CHOOSE(CONTROL!$C$42, 21.4283, 21.4283) * CHOOSE(CONTROL!$C$21, $C$9, 100%, $E$9)</f>
        <v>21.4283</v>
      </c>
      <c r="P478" s="17">
        <f>CHOOSE(CONTROL!$C$42, 21.2191, 21.2191) * CHOOSE(CONTROL!$C$21, $C$9, 100%, $E$9)</f>
        <v>21.219100000000001</v>
      </c>
      <c r="Q478" s="17">
        <f>CHOOSE(CONTROL!$C$42, 22.023, 22.023) * CHOOSE(CONTROL!$C$21, $C$9, 100%, $E$9)</f>
        <v>22.023</v>
      </c>
      <c r="R478" s="17">
        <f>CHOOSE(CONTROL!$C$42, 22.6651, 22.6651) * CHOOSE(CONTROL!$C$21, $C$9, 100%, $E$9)</f>
        <v>22.665099999999999</v>
      </c>
      <c r="S478" s="17">
        <f>CHOOSE(CONTROL!$C$42, 20.662, 20.662) * CHOOSE(CONTROL!$C$21, $C$9, 100%, $E$9)</f>
        <v>20.661999999999999</v>
      </c>
      <c r="T47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78" s="56">
        <f>(1000*CHOOSE(CONTROL!$C$42, 695, 695)*CHOOSE(CONTROL!$C$42, 0.5599, 0.5599)*CHOOSE(CONTROL!$C$42, 31, 31))/1000000</f>
        <v>12.063045499999998</v>
      </c>
      <c r="V478" s="56">
        <f>(1000*CHOOSE(CONTROL!$C$42, 500, 500)*CHOOSE(CONTROL!$C$42, 0.275, 0.275)*CHOOSE(CONTROL!$C$42, 31, 31))/1000000</f>
        <v>4.2625000000000002</v>
      </c>
      <c r="W478" s="56">
        <f>(1000*CHOOSE(CONTROL!$C$42, 0.1146, 0.1146)*CHOOSE(CONTROL!$C$42, 121.5, 121.5)*CHOOSE(CONTROL!$C$42, 31, 31))/1000000</f>
        <v>0.43164089999999994</v>
      </c>
      <c r="X478" s="56">
        <f>(31*0.1790888*145000/1000000)+(31*0.2374*100000/1000000)</f>
        <v>1.5409441560000001</v>
      </c>
      <c r="Y478" s="56"/>
      <c r="Z478" s="17"/>
      <c r="AA478" s="55"/>
      <c r="AB478" s="48">
        <f>(B478*131.881+C478*277.167+D478*79.08+E478*225.872+F478*40+G478*85+H478*0+I478*100+J478*300)/(131.881+277.167+79.08+225.872+0+40+85+100+300)</f>
        <v>21.601732326957222</v>
      </c>
      <c r="AC478" s="45">
        <f>(M478*'RAP TEMPLATE-GAS AVAILABILITY'!O477+N478*'RAP TEMPLATE-GAS AVAILABILITY'!P477+O478*'RAP TEMPLATE-GAS AVAILABILITY'!Q477+P478*'RAP TEMPLATE-GAS AVAILABILITY'!R477)/('RAP TEMPLATE-GAS AVAILABILITY'!O477+'RAP TEMPLATE-GAS AVAILABILITY'!P477+'RAP TEMPLATE-GAS AVAILABILITY'!Q477+'RAP TEMPLATE-GAS AVAILABILITY'!R477)</f>
        <v>21.240041007194243</v>
      </c>
    </row>
    <row r="479" spans="1:29" ht="15.75" x14ac:dyDescent="0.25">
      <c r="A479" s="14">
        <v>55487</v>
      </c>
      <c r="B479" s="17">
        <f>CHOOSE(CONTROL!$C$42, 22.0781, 22.0781) * CHOOSE(CONTROL!$C$21, $C$9, 100%, $E$9)</f>
        <v>22.078099999999999</v>
      </c>
      <c r="C479" s="17">
        <f>CHOOSE(CONTROL!$C$42, 22.0831, 22.0831) * CHOOSE(CONTROL!$C$21, $C$9, 100%, $E$9)</f>
        <v>22.083100000000002</v>
      </c>
      <c r="D479" s="17">
        <f>CHOOSE(CONTROL!$C$42, 22.1782, 22.1782) * CHOOSE(CONTROL!$C$21, $C$9, 100%, $E$9)</f>
        <v>22.1782</v>
      </c>
      <c r="E479" s="17">
        <f>CHOOSE(CONTROL!$C$42, 22.2123, 22.2123) * CHOOSE(CONTROL!$C$21, $C$9, 100%, $E$9)</f>
        <v>22.212299999999999</v>
      </c>
      <c r="F479" s="17">
        <f>CHOOSE(CONTROL!$C$42, 22.102, 22.102)*CHOOSE(CONTROL!$C$21, $C$9, 100%, $E$9)</f>
        <v>22.102</v>
      </c>
      <c r="G479" s="17">
        <f>CHOOSE(CONTROL!$C$42, 22.119, 22.119)*CHOOSE(CONTROL!$C$21, $C$9, 100%, $E$9)</f>
        <v>22.119</v>
      </c>
      <c r="H479" s="17">
        <f>CHOOSE(CONTROL!$C$42, 22.2015, 22.2015) * CHOOSE(CONTROL!$C$21, $C$9, 100%, $E$9)</f>
        <v>22.201499999999999</v>
      </c>
      <c r="I479" s="17">
        <f>CHOOSE(CONTROL!$C$42, 22.1672, 22.1672)* CHOOSE(CONTROL!$C$21, $C$9, 100%, $E$9)</f>
        <v>22.167200000000001</v>
      </c>
      <c r="J479" s="17">
        <f>CHOOSE(CONTROL!$C$42, 22.095, 22.095)* CHOOSE(CONTROL!$C$21, $C$9, 100%, $E$9)</f>
        <v>22.094999999999999</v>
      </c>
      <c r="K479" s="52">
        <f>CHOOSE(CONTROL!$C$42, 22.163, 22.163) * CHOOSE(CONTROL!$C$21, $C$9, 100%, $E$9)</f>
        <v>22.163</v>
      </c>
      <c r="L479" s="17">
        <f>CHOOSE(CONTROL!$C$42, 22.7885, 22.7885) * CHOOSE(CONTROL!$C$21, $C$9, 100%, $E$9)</f>
        <v>22.788499999999999</v>
      </c>
      <c r="M479" s="17">
        <f>CHOOSE(CONTROL!$C$42, 21.7053, 21.7053) * CHOOSE(CONTROL!$C$21, $C$9, 100%, $E$9)</f>
        <v>21.705300000000001</v>
      </c>
      <c r="N479" s="17">
        <f>CHOOSE(CONTROL!$C$42, 21.722, 21.722) * CHOOSE(CONTROL!$C$21, $C$9, 100%, $E$9)</f>
        <v>21.722000000000001</v>
      </c>
      <c r="O479" s="17">
        <f>CHOOSE(CONTROL!$C$42, 21.8098, 21.8098) * CHOOSE(CONTROL!$C$21, $C$9, 100%, $E$9)</f>
        <v>21.809799999999999</v>
      </c>
      <c r="P479" s="17">
        <f>CHOOSE(CONTROL!$C$42, 21.775, 21.775) * CHOOSE(CONTROL!$C$21, $C$9, 100%, $E$9)</f>
        <v>21.774999999999999</v>
      </c>
      <c r="Q479" s="17">
        <f>CHOOSE(CONTROL!$C$42, 22.4045, 22.4045) * CHOOSE(CONTROL!$C$21, $C$9, 100%, $E$9)</f>
        <v>22.404499999999999</v>
      </c>
      <c r="R479" s="17">
        <f>CHOOSE(CONTROL!$C$42, 23.0475, 23.0475) * CHOOSE(CONTROL!$C$21, $C$9, 100%, $E$9)</f>
        <v>23.047499999999999</v>
      </c>
      <c r="S479" s="17">
        <f>CHOOSE(CONTROL!$C$42, 21.2063, 21.2063) * CHOOSE(CONTROL!$C$21, $C$9, 100%, $E$9)</f>
        <v>21.206299999999999</v>
      </c>
      <c r="T47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79" s="56">
        <f>(1000*CHOOSE(CONTROL!$C$42, 695, 695)*CHOOSE(CONTROL!$C$42, 0.5599, 0.5599)*CHOOSE(CONTROL!$C$42, 30, 30))/1000000</f>
        <v>11.673914999999997</v>
      </c>
      <c r="V479" s="56">
        <f>(1000*CHOOSE(CONTROL!$C$42, 500, 500)*CHOOSE(CONTROL!$C$42, 0.275, 0.275)*CHOOSE(CONTROL!$C$42, 30, 30))/1000000</f>
        <v>4.125</v>
      </c>
      <c r="W479" s="56">
        <f>(1000*CHOOSE(CONTROL!$C$42, 0.1146, 0.1146)*CHOOSE(CONTROL!$C$42, 121.5, 121.5)*CHOOSE(CONTROL!$C$42, 30, 30))/1000000</f>
        <v>0.417717</v>
      </c>
      <c r="X479" s="56">
        <f>(30*0.2374*100000/1000000)</f>
        <v>0.71220000000000006</v>
      </c>
      <c r="Y479" s="56"/>
      <c r="Z479" s="17"/>
      <c r="AA479" s="55"/>
      <c r="AB479" s="48">
        <f>(B479*122.58+C479*297.941+D479*89.177+E479*140.302+F479*40+G479*60+H479*0+I479*100+J479*300)/(122.58+297.941+89.177+140.302+0+40+60+100+300)</f>
        <v>22.118652044434786</v>
      </c>
      <c r="AC479" s="45">
        <f>(M479*'RAP TEMPLATE-GAS AVAILABILITY'!O478+N479*'RAP TEMPLATE-GAS AVAILABILITY'!P478+O479*'RAP TEMPLATE-GAS AVAILABILITY'!Q478+P479*'RAP TEMPLATE-GAS AVAILABILITY'!R478)/('RAP TEMPLATE-GAS AVAILABILITY'!O478+'RAP TEMPLATE-GAS AVAILABILITY'!P478+'RAP TEMPLATE-GAS AVAILABILITY'!Q478+'RAP TEMPLATE-GAS AVAILABILITY'!R478)</f>
        <v>21.763653237410072</v>
      </c>
    </row>
    <row r="480" spans="1:29" ht="15.75" x14ac:dyDescent="0.25">
      <c r="A480" s="14">
        <v>55518</v>
      </c>
      <c r="B480" s="17">
        <f>CHOOSE(CONTROL!$C$42, 23.5827, 23.5827) * CHOOSE(CONTROL!$C$21, $C$9, 100%, $E$9)</f>
        <v>23.582699999999999</v>
      </c>
      <c r="C480" s="17">
        <f>CHOOSE(CONTROL!$C$42, 23.5878, 23.5878) * CHOOSE(CONTROL!$C$21, $C$9, 100%, $E$9)</f>
        <v>23.587800000000001</v>
      </c>
      <c r="D480" s="17">
        <f>CHOOSE(CONTROL!$C$42, 23.6828, 23.6828) * CHOOSE(CONTROL!$C$21, $C$9, 100%, $E$9)</f>
        <v>23.6828</v>
      </c>
      <c r="E480" s="17">
        <f>CHOOSE(CONTROL!$C$42, 23.7169, 23.7169) * CHOOSE(CONTROL!$C$21, $C$9, 100%, $E$9)</f>
        <v>23.716899999999999</v>
      </c>
      <c r="F480" s="17">
        <f>CHOOSE(CONTROL!$C$42, 23.6089, 23.6089)*CHOOSE(CONTROL!$C$21, $C$9, 100%, $E$9)</f>
        <v>23.608899999999998</v>
      </c>
      <c r="G480" s="17">
        <f>CHOOSE(CONTROL!$C$42, 23.6266, 23.6266)*CHOOSE(CONTROL!$C$21, $C$9, 100%, $E$9)</f>
        <v>23.6266</v>
      </c>
      <c r="H480" s="17">
        <f>CHOOSE(CONTROL!$C$42, 23.7061, 23.7061) * CHOOSE(CONTROL!$C$21, $C$9, 100%, $E$9)</f>
        <v>23.706099999999999</v>
      </c>
      <c r="I480" s="17">
        <f>CHOOSE(CONTROL!$C$42, 23.6765, 23.6765)* CHOOSE(CONTROL!$C$21, $C$9, 100%, $E$9)</f>
        <v>23.676500000000001</v>
      </c>
      <c r="J480" s="17">
        <f>CHOOSE(CONTROL!$C$42, 23.6019, 23.6019)* CHOOSE(CONTROL!$C$21, $C$9, 100%, $E$9)</f>
        <v>23.601900000000001</v>
      </c>
      <c r="K480" s="52">
        <f>CHOOSE(CONTROL!$C$42, 23.6723, 23.6723) * CHOOSE(CONTROL!$C$21, $C$9, 100%, $E$9)</f>
        <v>23.6723</v>
      </c>
      <c r="L480" s="17">
        <f>CHOOSE(CONTROL!$C$42, 24.2931, 24.2931) * CHOOSE(CONTROL!$C$21, $C$9, 100%, $E$9)</f>
        <v>24.293099999999999</v>
      </c>
      <c r="M480" s="17">
        <f>CHOOSE(CONTROL!$C$42, 23.1851, 23.1851) * CHOOSE(CONTROL!$C$21, $C$9, 100%, $E$9)</f>
        <v>23.185099999999998</v>
      </c>
      <c r="N480" s="17">
        <f>CHOOSE(CONTROL!$C$42, 23.2025, 23.2025) * CHOOSE(CONTROL!$C$21, $C$9, 100%, $E$9)</f>
        <v>23.202500000000001</v>
      </c>
      <c r="O480" s="17">
        <f>CHOOSE(CONTROL!$C$42, 23.2874, 23.2874) * CHOOSE(CONTROL!$C$21, $C$9, 100%, $E$9)</f>
        <v>23.287400000000002</v>
      </c>
      <c r="P480" s="17">
        <f>CHOOSE(CONTROL!$C$42, 23.2571, 23.2571) * CHOOSE(CONTROL!$C$21, $C$9, 100%, $E$9)</f>
        <v>23.257100000000001</v>
      </c>
      <c r="Q480" s="17">
        <f>CHOOSE(CONTROL!$C$42, 23.8821, 23.8821) * CHOOSE(CONTROL!$C$21, $C$9, 100%, $E$9)</f>
        <v>23.882100000000001</v>
      </c>
      <c r="R480" s="17">
        <f>CHOOSE(CONTROL!$C$42, 24.5288, 24.5288) * CHOOSE(CONTROL!$C$21, $C$9, 100%, $E$9)</f>
        <v>24.5288</v>
      </c>
      <c r="S480" s="17">
        <f>CHOOSE(CONTROL!$C$42, 22.6521, 22.6521) * CHOOSE(CONTROL!$C$21, $C$9, 100%, $E$9)</f>
        <v>22.652100000000001</v>
      </c>
      <c r="T48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80" s="56">
        <f>(1000*CHOOSE(CONTROL!$C$42, 695, 695)*CHOOSE(CONTROL!$C$42, 0.5599, 0.5599)*CHOOSE(CONTROL!$C$42, 31, 31))/1000000</f>
        <v>12.063045499999998</v>
      </c>
      <c r="V480" s="56">
        <f>(1000*CHOOSE(CONTROL!$C$42, 500, 500)*CHOOSE(CONTROL!$C$42, 0.275, 0.275)*CHOOSE(CONTROL!$C$42, 31, 31))/1000000</f>
        <v>4.2625000000000002</v>
      </c>
      <c r="W480" s="56">
        <f>(1000*CHOOSE(CONTROL!$C$42, 0.1146, 0.1146)*CHOOSE(CONTROL!$C$42, 121.5, 121.5)*CHOOSE(CONTROL!$C$42, 31, 31))/1000000</f>
        <v>0.43164089999999994</v>
      </c>
      <c r="X480" s="56">
        <f>(31*0.2374*100000/1000000)</f>
        <v>0.73594000000000004</v>
      </c>
      <c r="Y480" s="56"/>
      <c r="Z480" s="17"/>
      <c r="AA480" s="55"/>
      <c r="AB480" s="48">
        <f>(B480*122.58+C480*297.941+D480*89.177+E480*140.302+F480*40+G480*60+H480*0+I480*100+J480*300)/(122.58+297.941+89.177+140.302+0+40+60+100+300)</f>
        <v>23.624523169739131</v>
      </c>
      <c r="AC480" s="45">
        <f>(M480*'RAP TEMPLATE-GAS AVAILABILITY'!O479+N480*'RAP TEMPLATE-GAS AVAILABILITY'!P479+O480*'RAP TEMPLATE-GAS AVAILABILITY'!Q479+P480*'RAP TEMPLATE-GAS AVAILABILITY'!R479)/('RAP TEMPLATE-GAS AVAILABILITY'!O479+'RAP TEMPLATE-GAS AVAILABILITY'!P479+'RAP TEMPLATE-GAS AVAILABILITY'!Q479+'RAP TEMPLATE-GAS AVAILABILITY'!R479)</f>
        <v>23.242827338129494</v>
      </c>
    </row>
    <row r="481" spans="1:29" ht="15.75" x14ac:dyDescent="0.25">
      <c r="A481" s="14">
        <v>55549</v>
      </c>
      <c r="B481" s="17">
        <f>CHOOSE(CONTROL!$C$42, 25.5369, 25.5369) * CHOOSE(CONTROL!$C$21, $C$9, 100%, $E$9)</f>
        <v>25.536899999999999</v>
      </c>
      <c r="C481" s="17">
        <f>CHOOSE(CONTROL!$C$42, 25.542, 25.542) * CHOOSE(CONTROL!$C$21, $C$9, 100%, $E$9)</f>
        <v>25.542000000000002</v>
      </c>
      <c r="D481" s="17">
        <f>CHOOSE(CONTROL!$C$42, 25.6604, 25.6604) * CHOOSE(CONTROL!$C$21, $C$9, 100%, $E$9)</f>
        <v>25.660399999999999</v>
      </c>
      <c r="E481" s="17">
        <f>CHOOSE(CONTROL!$C$42, 25.6945, 25.6945) * CHOOSE(CONTROL!$C$21, $C$9, 100%, $E$9)</f>
        <v>25.694500000000001</v>
      </c>
      <c r="F481" s="17">
        <f>CHOOSE(CONTROL!$C$42, 25.5573, 25.5573)*CHOOSE(CONTROL!$C$21, $C$9, 100%, $E$9)</f>
        <v>25.557300000000001</v>
      </c>
      <c r="G481" s="17">
        <f>CHOOSE(CONTROL!$C$42, 25.5742, 25.5742)*CHOOSE(CONTROL!$C$21, $C$9, 100%, $E$9)</f>
        <v>25.574200000000001</v>
      </c>
      <c r="H481" s="17">
        <f>CHOOSE(CONTROL!$C$42, 25.6837, 25.6837) * CHOOSE(CONTROL!$C$21, $C$9, 100%, $E$9)</f>
        <v>25.683700000000002</v>
      </c>
      <c r="I481" s="17">
        <f>CHOOSE(CONTROL!$C$42, 25.6405, 25.6405)* CHOOSE(CONTROL!$C$21, $C$9, 100%, $E$9)</f>
        <v>25.640499999999999</v>
      </c>
      <c r="J481" s="17">
        <f>CHOOSE(CONTROL!$C$42, 25.5503, 25.5503)* CHOOSE(CONTROL!$C$21, $C$9, 100%, $E$9)</f>
        <v>25.5503</v>
      </c>
      <c r="K481" s="52">
        <f>CHOOSE(CONTROL!$C$42, 25.6363, 25.6363) * CHOOSE(CONTROL!$C$21, $C$9, 100%, $E$9)</f>
        <v>25.636299999999999</v>
      </c>
      <c r="L481" s="17">
        <f>CHOOSE(CONTROL!$C$42, 26.2707, 26.2707) * CHOOSE(CONTROL!$C$21, $C$9, 100%, $E$9)</f>
        <v>26.270700000000001</v>
      </c>
      <c r="M481" s="17">
        <f>CHOOSE(CONTROL!$C$42, 25.0984, 25.0984) * CHOOSE(CONTROL!$C$21, $C$9, 100%, $E$9)</f>
        <v>25.098400000000002</v>
      </c>
      <c r="N481" s="17">
        <f>CHOOSE(CONTROL!$C$42, 25.115, 25.115) * CHOOSE(CONTROL!$C$21, $C$9, 100%, $E$9)</f>
        <v>25.114999999999998</v>
      </c>
      <c r="O481" s="17">
        <f>CHOOSE(CONTROL!$C$42, 25.2295, 25.2295) * CHOOSE(CONTROL!$C$21, $C$9, 100%, $E$9)</f>
        <v>25.229500000000002</v>
      </c>
      <c r="P481" s="17">
        <f>CHOOSE(CONTROL!$C$42, 25.1857, 25.1857) * CHOOSE(CONTROL!$C$21, $C$9, 100%, $E$9)</f>
        <v>25.185700000000001</v>
      </c>
      <c r="Q481" s="17">
        <f>CHOOSE(CONTROL!$C$42, 25.8242, 25.8242) * CHOOSE(CONTROL!$C$21, $C$9, 100%, $E$9)</f>
        <v>25.824200000000001</v>
      </c>
      <c r="R481" s="17">
        <f>CHOOSE(CONTROL!$C$42, 26.4757, 26.4757) * CHOOSE(CONTROL!$C$21, $C$9, 100%, $E$9)</f>
        <v>26.4757</v>
      </c>
      <c r="S481" s="17">
        <f>CHOOSE(CONTROL!$C$42, 24.5299, 24.5299) * CHOOSE(CONTROL!$C$21, $C$9, 100%, $E$9)</f>
        <v>24.529900000000001</v>
      </c>
      <c r="T48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81" s="56">
        <f>(1000*CHOOSE(CONTROL!$C$42, 695, 695)*CHOOSE(CONTROL!$C$42, 0.5599, 0.5599)*CHOOSE(CONTROL!$C$42, 31, 31))/1000000</f>
        <v>12.063045499999998</v>
      </c>
      <c r="V481" s="56">
        <f>(1000*CHOOSE(CONTROL!$C$42, 500, 500)*CHOOSE(CONTROL!$C$42, 0.275, 0.275)*CHOOSE(CONTROL!$C$42, 31, 31))/1000000</f>
        <v>4.2625000000000002</v>
      </c>
      <c r="W481" s="56">
        <f>(1000*CHOOSE(CONTROL!$C$42, 0.1146, 0.1146)*CHOOSE(CONTROL!$C$42, 121.5, 121.5)*CHOOSE(CONTROL!$C$42, 31, 31))/1000000</f>
        <v>0.43164089999999994</v>
      </c>
      <c r="X481" s="56">
        <f>(31*0.2374*100000/1000000)</f>
        <v>0.73594000000000004</v>
      </c>
      <c r="Y481" s="56"/>
      <c r="Z481" s="17"/>
      <c r="AA481" s="55"/>
      <c r="AB481" s="48">
        <f>(B481*122.58+C481*297.941+D481*89.177+E481*140.302+F481*40+G481*60+H481*0+I481*100+J481*300)/(122.58+297.941+89.177+140.302+0+40+60+100+300)</f>
        <v>25.582185612000004</v>
      </c>
      <c r="AC481" s="45">
        <f>(M481*'RAP TEMPLATE-GAS AVAILABILITY'!O480+N481*'RAP TEMPLATE-GAS AVAILABILITY'!P480+O481*'RAP TEMPLATE-GAS AVAILABILITY'!Q480+P481*'RAP TEMPLATE-GAS AVAILABILITY'!R480)/('RAP TEMPLATE-GAS AVAILABILITY'!O480+'RAP TEMPLATE-GAS AVAILABILITY'!P480+'RAP TEMPLATE-GAS AVAILABILITY'!Q480+'RAP TEMPLATE-GAS AVAILABILITY'!R480)</f>
        <v>25.171335971223019</v>
      </c>
    </row>
    <row r="482" spans="1:29" ht="15.75" x14ac:dyDescent="0.25">
      <c r="A482" s="14">
        <v>55577</v>
      </c>
      <c r="B482" s="17">
        <f>CHOOSE(CONTROL!$C$42, 25.9913, 25.9913) * CHOOSE(CONTROL!$C$21, $C$9, 100%, $E$9)</f>
        <v>25.991299999999999</v>
      </c>
      <c r="C482" s="17">
        <f>CHOOSE(CONTROL!$C$42, 25.9964, 25.9964) * CHOOSE(CONTROL!$C$21, $C$9, 100%, $E$9)</f>
        <v>25.996400000000001</v>
      </c>
      <c r="D482" s="17">
        <f>CHOOSE(CONTROL!$C$42, 26.1149, 26.1149) * CHOOSE(CONTROL!$C$21, $C$9, 100%, $E$9)</f>
        <v>26.114899999999999</v>
      </c>
      <c r="E482" s="17">
        <f>CHOOSE(CONTROL!$C$42, 26.149, 26.149) * CHOOSE(CONTROL!$C$21, $C$9, 100%, $E$9)</f>
        <v>26.149000000000001</v>
      </c>
      <c r="F482" s="17">
        <f>CHOOSE(CONTROL!$C$42, 26.0117, 26.0117)*CHOOSE(CONTROL!$C$21, $C$9, 100%, $E$9)</f>
        <v>26.011700000000001</v>
      </c>
      <c r="G482" s="17">
        <f>CHOOSE(CONTROL!$C$42, 26.0285, 26.0285)*CHOOSE(CONTROL!$C$21, $C$9, 100%, $E$9)</f>
        <v>26.028500000000001</v>
      </c>
      <c r="H482" s="17">
        <f>CHOOSE(CONTROL!$C$42, 26.1382, 26.1382) * CHOOSE(CONTROL!$C$21, $C$9, 100%, $E$9)</f>
        <v>26.138200000000001</v>
      </c>
      <c r="I482" s="17">
        <f>CHOOSE(CONTROL!$C$42, 26.0964, 26.0964)* CHOOSE(CONTROL!$C$21, $C$9, 100%, $E$9)</f>
        <v>26.096399999999999</v>
      </c>
      <c r="J482" s="17">
        <f>CHOOSE(CONTROL!$C$42, 26.0047, 26.0047)* CHOOSE(CONTROL!$C$21, $C$9, 100%, $E$9)</f>
        <v>26.0047</v>
      </c>
      <c r="K482" s="52">
        <f>CHOOSE(CONTROL!$C$42, 26.0921, 26.0921) * CHOOSE(CONTROL!$C$21, $C$9, 100%, $E$9)</f>
        <v>26.092099999999999</v>
      </c>
      <c r="L482" s="17">
        <f>CHOOSE(CONTROL!$C$42, 26.7252, 26.7252) * CHOOSE(CONTROL!$C$21, $C$9, 100%, $E$9)</f>
        <v>26.725200000000001</v>
      </c>
      <c r="M482" s="17">
        <f>CHOOSE(CONTROL!$C$42, 25.5447, 25.5447) * CHOOSE(CONTROL!$C$21, $C$9, 100%, $E$9)</f>
        <v>25.544699999999999</v>
      </c>
      <c r="N482" s="17">
        <f>CHOOSE(CONTROL!$C$42, 25.5612, 25.5612) * CHOOSE(CONTROL!$C$21, $C$9, 100%, $E$9)</f>
        <v>25.561199999999999</v>
      </c>
      <c r="O482" s="17">
        <f>CHOOSE(CONTROL!$C$42, 25.6757, 25.6757) * CHOOSE(CONTROL!$C$21, $C$9, 100%, $E$9)</f>
        <v>25.675699999999999</v>
      </c>
      <c r="P482" s="17">
        <f>CHOOSE(CONTROL!$C$42, 25.6333, 25.6333) * CHOOSE(CONTROL!$C$21, $C$9, 100%, $E$9)</f>
        <v>25.633299999999998</v>
      </c>
      <c r="Q482" s="17">
        <f>CHOOSE(CONTROL!$C$42, 26.2704, 26.2704) * CHOOSE(CONTROL!$C$21, $C$9, 100%, $E$9)</f>
        <v>26.270399999999999</v>
      </c>
      <c r="R482" s="17">
        <f>CHOOSE(CONTROL!$C$42, 26.9231, 26.9231) * CHOOSE(CONTROL!$C$21, $C$9, 100%, $E$9)</f>
        <v>26.923100000000002</v>
      </c>
      <c r="S482" s="17">
        <f>CHOOSE(CONTROL!$C$42, 24.9665, 24.9665) * CHOOSE(CONTROL!$C$21, $C$9, 100%, $E$9)</f>
        <v>24.9665</v>
      </c>
      <c r="T482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482" s="56">
        <f>(1000*CHOOSE(CONTROL!$C$42, 695, 695)*CHOOSE(CONTROL!$C$42, 0.5599, 0.5599)*CHOOSE(CONTROL!$C$42, 29, 29))/1000000</f>
        <v>11.284784499999999</v>
      </c>
      <c r="V482" s="56">
        <f>(1000*CHOOSE(CONTROL!$C$42, 500, 500)*CHOOSE(CONTROL!$C$42, 0.275, 0.275)*CHOOSE(CONTROL!$C$42, 29, 29))/1000000</f>
        <v>3.9874999999999998</v>
      </c>
      <c r="W482" s="56">
        <f>(1000*CHOOSE(CONTROL!$C$42, 0.1146, 0.1146)*CHOOSE(CONTROL!$C$42, 121.5, 121.5)*CHOOSE(CONTROL!$C$42, 29, 29))/1000000</f>
        <v>0.40379309999999996</v>
      </c>
      <c r="X482" s="56">
        <f>(29*0.2374*100000/1000000)</f>
        <v>0.68845999999999996</v>
      </c>
      <c r="Y482" s="56"/>
      <c r="Z482" s="17"/>
      <c r="AA482" s="55"/>
      <c r="AB482" s="48">
        <f>(B482*122.58+C482*297.941+D482*89.177+E482*140.302+F482*40+G482*60+H482*0+I482*100+J482*300)/(122.58+297.941+89.177+140.302+0+40+60+100+300)</f>
        <v>26.036730784086956</v>
      </c>
      <c r="AC482" s="45">
        <f>(M482*'RAP TEMPLATE-GAS AVAILABILITY'!O481+N482*'RAP TEMPLATE-GAS AVAILABILITY'!P481+O482*'RAP TEMPLATE-GAS AVAILABILITY'!Q481+P482*'RAP TEMPLATE-GAS AVAILABILITY'!R481)/('RAP TEMPLATE-GAS AVAILABILITY'!O481+'RAP TEMPLATE-GAS AVAILABILITY'!P481+'RAP TEMPLATE-GAS AVAILABILITY'!Q481+'RAP TEMPLATE-GAS AVAILABILITY'!R481)</f>
        <v>25.617771942446041</v>
      </c>
    </row>
    <row r="483" spans="1:29" ht="15.75" x14ac:dyDescent="0.25">
      <c r="A483" s="14">
        <v>55609</v>
      </c>
      <c r="B483" s="17">
        <f>CHOOSE(CONTROL!$C$42, 25.2537, 25.2537) * CHOOSE(CONTROL!$C$21, $C$9, 100%, $E$9)</f>
        <v>25.253699999999998</v>
      </c>
      <c r="C483" s="17">
        <f>CHOOSE(CONTROL!$C$42, 25.2588, 25.2588) * CHOOSE(CONTROL!$C$21, $C$9, 100%, $E$9)</f>
        <v>25.258800000000001</v>
      </c>
      <c r="D483" s="17">
        <f>CHOOSE(CONTROL!$C$42, 25.3772, 25.3772) * CHOOSE(CONTROL!$C$21, $C$9, 100%, $E$9)</f>
        <v>25.377199999999998</v>
      </c>
      <c r="E483" s="17">
        <f>CHOOSE(CONTROL!$C$42, 25.4113, 25.4113) * CHOOSE(CONTROL!$C$21, $C$9, 100%, $E$9)</f>
        <v>25.411300000000001</v>
      </c>
      <c r="F483" s="17">
        <f>CHOOSE(CONTROL!$C$42, 25.2734, 25.2734)*CHOOSE(CONTROL!$C$21, $C$9, 100%, $E$9)</f>
        <v>25.273399999999999</v>
      </c>
      <c r="G483" s="17">
        <f>CHOOSE(CONTROL!$C$42, 25.2901, 25.2901)*CHOOSE(CONTROL!$C$21, $C$9, 100%, $E$9)</f>
        <v>25.290099999999999</v>
      </c>
      <c r="H483" s="17">
        <f>CHOOSE(CONTROL!$C$42, 25.4005, 25.4005) * CHOOSE(CONTROL!$C$21, $C$9, 100%, $E$9)</f>
        <v>25.400500000000001</v>
      </c>
      <c r="I483" s="17">
        <f>CHOOSE(CONTROL!$C$42, 25.3564, 25.3564)* CHOOSE(CONTROL!$C$21, $C$9, 100%, $E$9)</f>
        <v>25.356400000000001</v>
      </c>
      <c r="J483" s="17">
        <f>CHOOSE(CONTROL!$C$42, 25.2664, 25.2664)* CHOOSE(CONTROL!$C$21, $C$9, 100%, $E$9)</f>
        <v>25.266400000000001</v>
      </c>
      <c r="K483" s="52">
        <f>CHOOSE(CONTROL!$C$42, 25.3522, 25.3522) * CHOOSE(CONTROL!$C$21, $C$9, 100%, $E$9)</f>
        <v>25.3522</v>
      </c>
      <c r="L483" s="17">
        <f>CHOOSE(CONTROL!$C$42, 25.9875, 25.9875) * CHOOSE(CONTROL!$C$21, $C$9, 100%, $E$9)</f>
        <v>25.987500000000001</v>
      </c>
      <c r="M483" s="17">
        <f>CHOOSE(CONTROL!$C$42, 24.8196, 24.8196) * CHOOSE(CONTROL!$C$21, $C$9, 100%, $E$9)</f>
        <v>24.819600000000001</v>
      </c>
      <c r="N483" s="17">
        <f>CHOOSE(CONTROL!$C$42, 24.836, 24.836) * CHOOSE(CONTROL!$C$21, $C$9, 100%, $E$9)</f>
        <v>24.835999999999999</v>
      </c>
      <c r="O483" s="17">
        <f>CHOOSE(CONTROL!$C$42, 24.9513, 24.9513) * CHOOSE(CONTROL!$C$21, $C$9, 100%, $E$9)</f>
        <v>24.9513</v>
      </c>
      <c r="P483" s="17">
        <f>CHOOSE(CONTROL!$C$42, 24.9067, 24.9067) * CHOOSE(CONTROL!$C$21, $C$9, 100%, $E$9)</f>
        <v>24.906700000000001</v>
      </c>
      <c r="Q483" s="17">
        <f>CHOOSE(CONTROL!$C$42, 25.546, 25.546) * CHOOSE(CONTROL!$C$21, $C$9, 100%, $E$9)</f>
        <v>25.545999999999999</v>
      </c>
      <c r="R483" s="17">
        <f>CHOOSE(CONTROL!$C$42, 26.1969, 26.1969) * CHOOSE(CONTROL!$C$21, $C$9, 100%, $E$9)</f>
        <v>26.196899999999999</v>
      </c>
      <c r="S483" s="17">
        <f>CHOOSE(CONTROL!$C$42, 24.2577, 24.2577) * CHOOSE(CONTROL!$C$21, $C$9, 100%, $E$9)</f>
        <v>24.2577</v>
      </c>
      <c r="T48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83" s="56">
        <f>(1000*CHOOSE(CONTROL!$C$42, 695, 695)*CHOOSE(CONTROL!$C$42, 0.5599, 0.5599)*CHOOSE(CONTROL!$C$42, 31, 31))/1000000</f>
        <v>12.063045499999998</v>
      </c>
      <c r="V483" s="56">
        <f>(1000*CHOOSE(CONTROL!$C$42, 500, 500)*CHOOSE(CONTROL!$C$42, 0.275, 0.275)*CHOOSE(CONTROL!$C$42, 31, 31))/1000000</f>
        <v>4.2625000000000002</v>
      </c>
      <c r="W483" s="56">
        <f>(1000*CHOOSE(CONTROL!$C$42, 0.1146, 0.1146)*CHOOSE(CONTROL!$C$42, 121.5, 121.5)*CHOOSE(CONTROL!$C$42, 31, 31))/1000000</f>
        <v>0.43164089999999994</v>
      </c>
      <c r="X483" s="56">
        <f>(31*0.2374*100000/1000000)</f>
        <v>0.73594000000000004</v>
      </c>
      <c r="Y483" s="56"/>
      <c r="Z483" s="17"/>
      <c r="AA483" s="55"/>
      <c r="AB483" s="48">
        <f>(B483*122.58+C483*297.941+D483*89.177+E483*140.302+F483*40+G483*60+H483*0+I483*100+J483*300)/(122.58+297.941+89.177+140.302+0+40+60+100+300)</f>
        <v>25.298653438086959</v>
      </c>
      <c r="AC483" s="45">
        <f>(M483*'RAP TEMPLATE-GAS AVAILABILITY'!O482+N483*'RAP TEMPLATE-GAS AVAILABILITY'!P482+O483*'RAP TEMPLATE-GAS AVAILABILITY'!Q482+P483*'RAP TEMPLATE-GAS AVAILABILITY'!R482)/('RAP TEMPLATE-GAS AVAILABILITY'!O482+'RAP TEMPLATE-GAS AVAILABILITY'!P482+'RAP TEMPLATE-GAS AVAILABILITY'!Q482+'RAP TEMPLATE-GAS AVAILABILITY'!R482)</f>
        <v>24.892767625899282</v>
      </c>
    </row>
    <row r="484" spans="1:29" ht="15.75" x14ac:dyDescent="0.25">
      <c r="A484" s="14">
        <v>55639</v>
      </c>
      <c r="B484" s="17">
        <f>CHOOSE(CONTROL!$C$42, 25.1791, 25.1791) * CHOOSE(CONTROL!$C$21, $C$9, 100%, $E$9)</f>
        <v>25.179099999999998</v>
      </c>
      <c r="C484" s="17">
        <f>CHOOSE(CONTROL!$C$42, 25.1836, 25.1836) * CHOOSE(CONTROL!$C$21, $C$9, 100%, $E$9)</f>
        <v>25.183599999999998</v>
      </c>
      <c r="D484" s="17">
        <f>CHOOSE(CONTROL!$C$42, 25.4578, 25.4578) * CHOOSE(CONTROL!$C$21, $C$9, 100%, $E$9)</f>
        <v>25.457799999999999</v>
      </c>
      <c r="E484" s="17">
        <f>CHOOSE(CONTROL!$C$42, 25.4899, 25.4899) * CHOOSE(CONTROL!$C$21, $C$9, 100%, $E$9)</f>
        <v>25.489899999999999</v>
      </c>
      <c r="F484" s="17">
        <f>CHOOSE(CONTROL!$C$42, 25.1984, 25.1984)*CHOOSE(CONTROL!$C$21, $C$9, 100%, $E$9)</f>
        <v>25.198399999999999</v>
      </c>
      <c r="G484" s="17">
        <f>CHOOSE(CONTROL!$C$42, 25.2148, 25.2148)*CHOOSE(CONTROL!$C$21, $C$9, 100%, $E$9)</f>
        <v>25.2148</v>
      </c>
      <c r="H484" s="17">
        <f>CHOOSE(CONTROL!$C$42, 25.4797, 25.4797) * CHOOSE(CONTROL!$C$21, $C$9, 100%, $E$9)</f>
        <v>25.479700000000001</v>
      </c>
      <c r="I484" s="17">
        <f>CHOOSE(CONTROL!$C$42, 25.2792, 25.2792)* CHOOSE(CONTROL!$C$21, $C$9, 100%, $E$9)</f>
        <v>25.279199999999999</v>
      </c>
      <c r="J484" s="17">
        <f>CHOOSE(CONTROL!$C$42, 25.1914, 25.1914)* CHOOSE(CONTROL!$C$21, $C$9, 100%, $E$9)</f>
        <v>25.191400000000002</v>
      </c>
      <c r="K484" s="52">
        <f>CHOOSE(CONTROL!$C$42, 25.275, 25.275) * CHOOSE(CONTROL!$C$21, $C$9, 100%, $E$9)</f>
        <v>25.274999999999999</v>
      </c>
      <c r="L484" s="17">
        <f>CHOOSE(CONTROL!$C$42, 26.0667, 26.0667) * CHOOSE(CONTROL!$C$21, $C$9, 100%, $E$9)</f>
        <v>26.066700000000001</v>
      </c>
      <c r="M484" s="17">
        <f>CHOOSE(CONTROL!$C$42, 24.746, 24.746) * CHOOSE(CONTROL!$C$21, $C$9, 100%, $E$9)</f>
        <v>24.745999999999999</v>
      </c>
      <c r="N484" s="17">
        <f>CHOOSE(CONTROL!$C$42, 24.7621, 24.7621) * CHOOSE(CONTROL!$C$21, $C$9, 100%, $E$9)</f>
        <v>24.7621</v>
      </c>
      <c r="O484" s="17">
        <f>CHOOSE(CONTROL!$C$42, 25.0291, 25.0291) * CHOOSE(CONTROL!$C$21, $C$9, 100%, $E$9)</f>
        <v>25.0291</v>
      </c>
      <c r="P484" s="17">
        <f>CHOOSE(CONTROL!$C$42, 24.8309, 24.8309) * CHOOSE(CONTROL!$C$21, $C$9, 100%, $E$9)</f>
        <v>24.8309</v>
      </c>
      <c r="Q484" s="17">
        <f>CHOOSE(CONTROL!$C$42, 25.6238, 25.6238) * CHOOSE(CONTROL!$C$21, $C$9, 100%, $E$9)</f>
        <v>25.623799999999999</v>
      </c>
      <c r="R484" s="17">
        <f>CHOOSE(CONTROL!$C$42, 26.2749, 26.2749) * CHOOSE(CONTROL!$C$21, $C$9, 100%, $E$9)</f>
        <v>26.274899999999999</v>
      </c>
      <c r="S484" s="17">
        <f>CHOOSE(CONTROL!$C$42, 24.1853, 24.1853) * CHOOSE(CONTROL!$C$21, $C$9, 100%, $E$9)</f>
        <v>24.185300000000002</v>
      </c>
      <c r="T48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84" s="56">
        <f>(1000*CHOOSE(CONTROL!$C$42, 695, 695)*CHOOSE(CONTROL!$C$42, 0.5599, 0.5599)*CHOOSE(CONTROL!$C$42, 30, 30))/1000000</f>
        <v>11.673914999999997</v>
      </c>
      <c r="V484" s="56">
        <f>(1000*CHOOSE(CONTROL!$C$42, 500, 500)*CHOOSE(CONTROL!$C$42, 0.275, 0.275)*CHOOSE(CONTROL!$C$42, 30, 30))/1000000</f>
        <v>4.125</v>
      </c>
      <c r="W484" s="56">
        <f>(1000*CHOOSE(CONTROL!$C$42, 0.1146, 0.1146)*CHOOSE(CONTROL!$C$42, 121.5, 121.5)*CHOOSE(CONTROL!$C$42, 30, 30))/1000000</f>
        <v>0.417717</v>
      </c>
      <c r="X484" s="56">
        <f>(30*0.1790888*145000/1000000)+(30*0.2374*100000/1000000)</f>
        <v>1.4912362799999999</v>
      </c>
      <c r="Y484" s="56"/>
      <c r="Z484" s="17"/>
      <c r="AA484" s="55"/>
      <c r="AB484" s="48">
        <f>(B484*141.293+C484*267.993+D484*115.016+E484*189.698+F484*40+G484*85+H484*0+I484*100+J484*300)/(141.293+267.993+115.016+189.698+0+40+85+100+300)</f>
        <v>25.267659778934622</v>
      </c>
      <c r="AC484" s="45">
        <f>(M484*'RAP TEMPLATE-GAS AVAILABILITY'!O483+N484*'RAP TEMPLATE-GAS AVAILABILITY'!P483+O484*'RAP TEMPLATE-GAS AVAILABILITY'!Q483+P484*'RAP TEMPLATE-GAS AVAILABILITY'!R483)/('RAP TEMPLATE-GAS AVAILABILITY'!O483+'RAP TEMPLATE-GAS AVAILABILITY'!P483+'RAP TEMPLATE-GAS AVAILABILITY'!Q483+'RAP TEMPLATE-GAS AVAILABILITY'!R483)</f>
        <v>24.841353237410072</v>
      </c>
    </row>
    <row r="485" spans="1:29" ht="15.75" x14ac:dyDescent="0.25">
      <c r="A485" s="14">
        <v>55670</v>
      </c>
      <c r="B485" s="17">
        <f>CHOOSE(CONTROL!$C$42, 25.4027, 25.4027) * CHOOSE(CONTROL!$C$21, $C$9, 100%, $E$9)</f>
        <v>25.402699999999999</v>
      </c>
      <c r="C485" s="17">
        <f>CHOOSE(CONTROL!$C$42, 25.4107, 25.4107) * CHOOSE(CONTROL!$C$21, $C$9, 100%, $E$9)</f>
        <v>25.410699999999999</v>
      </c>
      <c r="D485" s="17">
        <f>CHOOSE(CONTROL!$C$42, 25.6818, 25.6818) * CHOOSE(CONTROL!$C$21, $C$9, 100%, $E$9)</f>
        <v>25.681799999999999</v>
      </c>
      <c r="E485" s="17">
        <f>CHOOSE(CONTROL!$C$42, 25.7132, 25.7132) * CHOOSE(CONTROL!$C$21, $C$9, 100%, $E$9)</f>
        <v>25.713200000000001</v>
      </c>
      <c r="F485" s="17">
        <f>CHOOSE(CONTROL!$C$42, 25.4208, 25.4208)*CHOOSE(CONTROL!$C$21, $C$9, 100%, $E$9)</f>
        <v>25.4208</v>
      </c>
      <c r="G485" s="17">
        <f>CHOOSE(CONTROL!$C$42, 25.4375, 25.4375)*CHOOSE(CONTROL!$C$21, $C$9, 100%, $E$9)</f>
        <v>25.4375</v>
      </c>
      <c r="H485" s="17">
        <f>CHOOSE(CONTROL!$C$42, 25.7018, 25.7018) * CHOOSE(CONTROL!$C$21, $C$9, 100%, $E$9)</f>
        <v>25.701799999999999</v>
      </c>
      <c r="I485" s="17">
        <f>CHOOSE(CONTROL!$C$42, 25.5021, 25.5021)* CHOOSE(CONTROL!$C$21, $C$9, 100%, $E$9)</f>
        <v>25.502099999999999</v>
      </c>
      <c r="J485" s="17">
        <f>CHOOSE(CONTROL!$C$42, 25.4138, 25.4138)* CHOOSE(CONTROL!$C$21, $C$9, 100%, $E$9)</f>
        <v>25.413799999999998</v>
      </c>
      <c r="K485" s="52">
        <f>CHOOSE(CONTROL!$C$42, 25.4979, 25.4979) * CHOOSE(CONTROL!$C$21, $C$9, 100%, $E$9)</f>
        <v>25.497900000000001</v>
      </c>
      <c r="L485" s="17">
        <f>CHOOSE(CONTROL!$C$42, 26.2888, 26.2888) * CHOOSE(CONTROL!$C$21, $C$9, 100%, $E$9)</f>
        <v>26.288799999999998</v>
      </c>
      <c r="M485" s="17">
        <f>CHOOSE(CONTROL!$C$42, 24.9644, 24.9644) * CHOOSE(CONTROL!$C$21, $C$9, 100%, $E$9)</f>
        <v>24.964400000000001</v>
      </c>
      <c r="N485" s="17">
        <f>CHOOSE(CONTROL!$C$42, 24.9807, 24.9807) * CHOOSE(CONTROL!$C$21, $C$9, 100%, $E$9)</f>
        <v>24.980699999999999</v>
      </c>
      <c r="O485" s="17">
        <f>CHOOSE(CONTROL!$C$42, 25.2472, 25.2472) * CHOOSE(CONTROL!$C$21, $C$9, 100%, $E$9)</f>
        <v>25.247199999999999</v>
      </c>
      <c r="P485" s="17">
        <f>CHOOSE(CONTROL!$C$42, 25.0497, 25.0497) * CHOOSE(CONTROL!$C$21, $C$9, 100%, $E$9)</f>
        <v>25.049700000000001</v>
      </c>
      <c r="Q485" s="17">
        <f>CHOOSE(CONTROL!$C$42, 25.8419, 25.8419) * CHOOSE(CONTROL!$C$21, $C$9, 100%, $E$9)</f>
        <v>25.841899999999999</v>
      </c>
      <c r="R485" s="17">
        <f>CHOOSE(CONTROL!$C$42, 26.4936, 26.4936) * CHOOSE(CONTROL!$C$21, $C$9, 100%, $E$9)</f>
        <v>26.493600000000001</v>
      </c>
      <c r="S485" s="17">
        <f>CHOOSE(CONTROL!$C$42, 24.3988, 24.3988) * CHOOSE(CONTROL!$C$21, $C$9, 100%, $E$9)</f>
        <v>24.398800000000001</v>
      </c>
      <c r="T48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85" s="56">
        <f>(1000*CHOOSE(CONTROL!$C$42, 695, 695)*CHOOSE(CONTROL!$C$42, 0.5599, 0.5599)*CHOOSE(CONTROL!$C$42, 31, 31))/1000000</f>
        <v>12.063045499999998</v>
      </c>
      <c r="V485" s="56">
        <f>(1000*CHOOSE(CONTROL!$C$42, 500, 500)*CHOOSE(CONTROL!$C$42, 0.275, 0.275)*CHOOSE(CONTROL!$C$42, 31, 31))/1000000</f>
        <v>4.2625000000000002</v>
      </c>
      <c r="W485" s="56">
        <f>(1000*CHOOSE(CONTROL!$C$42, 0.1146, 0.1146)*CHOOSE(CONTROL!$C$42, 121.5, 121.5)*CHOOSE(CONTROL!$C$42, 31, 31))/1000000</f>
        <v>0.43164089999999994</v>
      </c>
      <c r="X485" s="56">
        <f>(31*0.1790888*145000/1000000)+(31*0.2374*100000/1000000)</f>
        <v>1.5409441560000001</v>
      </c>
      <c r="Y485" s="56"/>
      <c r="Z485" s="17"/>
      <c r="AA485" s="55"/>
      <c r="AB485" s="48">
        <f>(B485*194.205+C485*267.466+D485*133.845+E485*153.484+F485*40+G485*85+H485*0+I485*100+J485*300)/(194.205+267.466+133.845+153.484+0+40+85+100+300)</f>
        <v>25.484414795525904</v>
      </c>
      <c r="AC485" s="45">
        <f>(M485*'RAP TEMPLATE-GAS AVAILABILITY'!O484+N485*'RAP TEMPLATE-GAS AVAILABILITY'!P484+O485*'RAP TEMPLATE-GAS AVAILABILITY'!Q484+P485*'RAP TEMPLATE-GAS AVAILABILITY'!R484)/('RAP TEMPLATE-GAS AVAILABILITY'!O484+'RAP TEMPLATE-GAS AVAILABILITY'!P484+'RAP TEMPLATE-GAS AVAILABILITY'!Q484+'RAP TEMPLATE-GAS AVAILABILITY'!R484)</f>
        <v>25.059772661870504</v>
      </c>
    </row>
    <row r="486" spans="1:29" ht="15.75" x14ac:dyDescent="0.25">
      <c r="A486" s="14">
        <v>55700</v>
      </c>
      <c r="B486" s="17">
        <f>CHOOSE(CONTROL!$C$42, 26.1229, 26.1229) * CHOOSE(CONTROL!$C$21, $C$9, 100%, $E$9)</f>
        <v>26.122900000000001</v>
      </c>
      <c r="C486" s="17">
        <f>CHOOSE(CONTROL!$C$42, 26.1309, 26.1309) * CHOOSE(CONTROL!$C$21, $C$9, 100%, $E$9)</f>
        <v>26.1309</v>
      </c>
      <c r="D486" s="17">
        <f>CHOOSE(CONTROL!$C$42, 26.402, 26.402) * CHOOSE(CONTROL!$C$21, $C$9, 100%, $E$9)</f>
        <v>26.402000000000001</v>
      </c>
      <c r="E486" s="17">
        <f>CHOOSE(CONTROL!$C$42, 26.4335, 26.4335) * CHOOSE(CONTROL!$C$21, $C$9, 100%, $E$9)</f>
        <v>26.433499999999999</v>
      </c>
      <c r="F486" s="17">
        <f>CHOOSE(CONTROL!$C$42, 26.1414, 26.1414)*CHOOSE(CONTROL!$C$21, $C$9, 100%, $E$9)</f>
        <v>26.141400000000001</v>
      </c>
      <c r="G486" s="17">
        <f>CHOOSE(CONTROL!$C$42, 26.1581, 26.1581)*CHOOSE(CONTROL!$C$21, $C$9, 100%, $E$9)</f>
        <v>26.158100000000001</v>
      </c>
      <c r="H486" s="17">
        <f>CHOOSE(CONTROL!$C$42, 26.4221, 26.4221) * CHOOSE(CONTROL!$C$21, $C$9, 100%, $E$9)</f>
        <v>26.4221</v>
      </c>
      <c r="I486" s="17">
        <f>CHOOSE(CONTROL!$C$42, 26.2246, 26.2246)* CHOOSE(CONTROL!$C$21, $C$9, 100%, $E$9)</f>
        <v>26.224599999999999</v>
      </c>
      <c r="J486" s="17">
        <f>CHOOSE(CONTROL!$C$42, 26.1344, 26.1344)* CHOOSE(CONTROL!$C$21, $C$9, 100%, $E$9)</f>
        <v>26.134399999999999</v>
      </c>
      <c r="K486" s="52">
        <f>CHOOSE(CONTROL!$C$42, 26.2204, 26.2204) * CHOOSE(CONTROL!$C$21, $C$9, 100%, $E$9)</f>
        <v>26.220400000000001</v>
      </c>
      <c r="L486" s="17">
        <f>CHOOSE(CONTROL!$C$42, 27.0091, 27.0091) * CHOOSE(CONTROL!$C$21, $C$9, 100%, $E$9)</f>
        <v>27.0091</v>
      </c>
      <c r="M486" s="17">
        <f>CHOOSE(CONTROL!$C$42, 25.672, 25.672) * CHOOSE(CONTROL!$C$21, $C$9, 100%, $E$9)</f>
        <v>25.672000000000001</v>
      </c>
      <c r="N486" s="17">
        <f>CHOOSE(CONTROL!$C$42, 25.6884, 25.6884) * CHOOSE(CONTROL!$C$21, $C$9, 100%, $E$9)</f>
        <v>25.688400000000001</v>
      </c>
      <c r="O486" s="17">
        <f>CHOOSE(CONTROL!$C$42, 25.9545, 25.9545) * CHOOSE(CONTROL!$C$21, $C$9, 100%, $E$9)</f>
        <v>25.954499999999999</v>
      </c>
      <c r="P486" s="17">
        <f>CHOOSE(CONTROL!$C$42, 25.7592, 25.7592) * CHOOSE(CONTROL!$C$21, $C$9, 100%, $E$9)</f>
        <v>25.7592</v>
      </c>
      <c r="Q486" s="17">
        <f>CHOOSE(CONTROL!$C$42, 26.5492, 26.5492) * CHOOSE(CONTROL!$C$21, $C$9, 100%, $E$9)</f>
        <v>26.549199999999999</v>
      </c>
      <c r="R486" s="17">
        <f>CHOOSE(CONTROL!$C$42, 27.2026, 27.2026) * CHOOSE(CONTROL!$C$21, $C$9, 100%, $E$9)</f>
        <v>27.2026</v>
      </c>
      <c r="S486" s="17">
        <f>CHOOSE(CONTROL!$C$42, 25.0909, 25.0909) * CHOOSE(CONTROL!$C$21, $C$9, 100%, $E$9)</f>
        <v>25.090900000000001</v>
      </c>
      <c r="T48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86" s="56">
        <f>(1000*CHOOSE(CONTROL!$C$42, 695, 695)*CHOOSE(CONTROL!$C$42, 0.5599, 0.5599)*CHOOSE(CONTROL!$C$42, 30, 30))/1000000</f>
        <v>11.673914999999997</v>
      </c>
      <c r="V486" s="56">
        <f>(1000*CHOOSE(CONTROL!$C$42, 500, 500)*CHOOSE(CONTROL!$C$42, 0.275, 0.275)*CHOOSE(CONTROL!$C$42, 30, 30))/1000000</f>
        <v>4.125</v>
      </c>
      <c r="W486" s="56">
        <f>(1000*CHOOSE(CONTROL!$C$42, 0.1146, 0.1146)*CHOOSE(CONTROL!$C$42, 121.5, 121.5)*CHOOSE(CONTROL!$C$42, 30, 30))/1000000</f>
        <v>0.417717</v>
      </c>
      <c r="X486" s="56">
        <f>(30*0.1790888*145000/1000000)+(30*0.2374*100000/1000000)</f>
        <v>1.4912362799999999</v>
      </c>
      <c r="Y486" s="56"/>
      <c r="Z486" s="17"/>
      <c r="AA486" s="55"/>
      <c r="AB486" s="48">
        <f>(B486*194.205+C486*267.466+D486*133.845+E486*153.484+F486*40+G486*85+H486*0+I486*100+J486*300)/(194.205+267.466+133.845+153.484+0+40+85+100+300)</f>
        <v>26.204940814678174</v>
      </c>
      <c r="AC486" s="45">
        <f>(M486*'RAP TEMPLATE-GAS AVAILABILITY'!O485+N486*'RAP TEMPLATE-GAS AVAILABILITY'!P485+O486*'RAP TEMPLATE-GAS AVAILABILITY'!Q485+P486*'RAP TEMPLATE-GAS AVAILABILITY'!R485)/('RAP TEMPLATE-GAS AVAILABILITY'!O485+'RAP TEMPLATE-GAS AVAILABILITY'!P485+'RAP TEMPLATE-GAS AVAILABILITY'!Q485+'RAP TEMPLATE-GAS AVAILABILITY'!R485)</f>
        <v>25.76758489208633</v>
      </c>
    </row>
    <row r="487" spans="1:29" ht="15.75" x14ac:dyDescent="0.25">
      <c r="A487" s="14">
        <v>55731</v>
      </c>
      <c r="B487" s="17">
        <f>CHOOSE(CONTROL!$C$42, 25.622, 25.622) * CHOOSE(CONTROL!$C$21, $C$9, 100%, $E$9)</f>
        <v>25.622</v>
      </c>
      <c r="C487" s="17">
        <f>CHOOSE(CONTROL!$C$42, 25.63, 25.63) * CHOOSE(CONTROL!$C$21, $C$9, 100%, $E$9)</f>
        <v>25.63</v>
      </c>
      <c r="D487" s="17">
        <f>CHOOSE(CONTROL!$C$42, 25.9011, 25.9011) * CHOOSE(CONTROL!$C$21, $C$9, 100%, $E$9)</f>
        <v>25.9011</v>
      </c>
      <c r="E487" s="17">
        <f>CHOOSE(CONTROL!$C$42, 25.9325, 25.9325) * CHOOSE(CONTROL!$C$21, $C$9, 100%, $E$9)</f>
        <v>25.932500000000001</v>
      </c>
      <c r="F487" s="17">
        <f>CHOOSE(CONTROL!$C$42, 25.6408, 25.6408)*CHOOSE(CONTROL!$C$21, $C$9, 100%, $E$9)</f>
        <v>25.640799999999999</v>
      </c>
      <c r="G487" s="17">
        <f>CHOOSE(CONTROL!$C$42, 25.6577, 25.6577)*CHOOSE(CONTROL!$C$21, $C$9, 100%, $E$9)</f>
        <v>25.657699999999998</v>
      </c>
      <c r="H487" s="17">
        <f>CHOOSE(CONTROL!$C$42, 25.9212, 25.9212) * CHOOSE(CONTROL!$C$21, $C$9, 100%, $E$9)</f>
        <v>25.921199999999999</v>
      </c>
      <c r="I487" s="17">
        <f>CHOOSE(CONTROL!$C$42, 25.7221, 25.7221)* CHOOSE(CONTROL!$C$21, $C$9, 100%, $E$9)</f>
        <v>25.722100000000001</v>
      </c>
      <c r="J487" s="17">
        <f>CHOOSE(CONTROL!$C$42, 25.6338, 25.6338)* CHOOSE(CONTROL!$C$21, $C$9, 100%, $E$9)</f>
        <v>25.633800000000001</v>
      </c>
      <c r="K487" s="52">
        <f>CHOOSE(CONTROL!$C$42, 25.7179, 25.7179) * CHOOSE(CONTROL!$C$21, $C$9, 100%, $E$9)</f>
        <v>25.7179</v>
      </c>
      <c r="L487" s="17">
        <f>CHOOSE(CONTROL!$C$42, 26.5082, 26.5082) * CHOOSE(CONTROL!$C$21, $C$9, 100%, $E$9)</f>
        <v>26.508199999999999</v>
      </c>
      <c r="M487" s="17">
        <f>CHOOSE(CONTROL!$C$42, 25.1805, 25.1805) * CHOOSE(CONTROL!$C$21, $C$9, 100%, $E$9)</f>
        <v>25.180499999999999</v>
      </c>
      <c r="N487" s="17">
        <f>CHOOSE(CONTROL!$C$42, 25.197, 25.197) * CHOOSE(CONTROL!$C$21, $C$9, 100%, $E$9)</f>
        <v>25.196999999999999</v>
      </c>
      <c r="O487" s="17">
        <f>CHOOSE(CONTROL!$C$42, 25.4626, 25.4626) * CHOOSE(CONTROL!$C$21, $C$9, 100%, $E$9)</f>
        <v>25.462599999999998</v>
      </c>
      <c r="P487" s="17">
        <f>CHOOSE(CONTROL!$C$42, 25.2658, 25.2658) * CHOOSE(CONTROL!$C$21, $C$9, 100%, $E$9)</f>
        <v>25.265799999999999</v>
      </c>
      <c r="Q487" s="17">
        <f>CHOOSE(CONTROL!$C$42, 26.0573, 26.0573) * CHOOSE(CONTROL!$C$21, $C$9, 100%, $E$9)</f>
        <v>26.057300000000001</v>
      </c>
      <c r="R487" s="17">
        <f>CHOOSE(CONTROL!$C$42, 26.7095, 26.7095) * CHOOSE(CONTROL!$C$21, $C$9, 100%, $E$9)</f>
        <v>26.709499999999998</v>
      </c>
      <c r="S487" s="17">
        <f>CHOOSE(CONTROL!$C$42, 24.6095, 24.6095) * CHOOSE(CONTROL!$C$21, $C$9, 100%, $E$9)</f>
        <v>24.609500000000001</v>
      </c>
      <c r="T48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87" s="56">
        <f>(1000*CHOOSE(CONTROL!$C$42, 695, 695)*CHOOSE(CONTROL!$C$42, 0.5599, 0.5599)*CHOOSE(CONTROL!$C$42, 31, 31))/1000000</f>
        <v>12.063045499999998</v>
      </c>
      <c r="V487" s="56">
        <f>(1000*CHOOSE(CONTROL!$C$42, 500, 500)*CHOOSE(CONTROL!$C$42, 0.275, 0.275)*CHOOSE(CONTROL!$C$42, 31, 31))/1000000</f>
        <v>4.2625000000000002</v>
      </c>
      <c r="W487" s="56">
        <f>(1000*CHOOSE(CONTROL!$C$42, 0.1146, 0.1146)*CHOOSE(CONTROL!$C$42, 121.5, 121.5)*CHOOSE(CONTROL!$C$42, 31, 31))/1000000</f>
        <v>0.43164089999999994</v>
      </c>
      <c r="X487" s="56">
        <f>(31*0.1790888*145000/1000000)+(31*0.2374*100000/1000000)</f>
        <v>1.5409441560000001</v>
      </c>
      <c r="Y487" s="56"/>
      <c r="Z487" s="17"/>
      <c r="AA487" s="55"/>
      <c r="AB487" s="48">
        <f>(B487*194.205+C487*267.466+D487*133.845+E487*153.484+F487*40+G487*85+H487*0+I487*100+J487*300)/(194.205+267.466+133.845+153.484+0+40+85+100+300)</f>
        <v>25.704016600863422</v>
      </c>
      <c r="AC487" s="45">
        <f>(M487*'RAP TEMPLATE-GAS AVAILABILITY'!O486+N487*'RAP TEMPLATE-GAS AVAILABILITY'!P486+O487*'RAP TEMPLATE-GAS AVAILABILITY'!Q486+P487*'RAP TEMPLATE-GAS AVAILABILITY'!R486)/('RAP TEMPLATE-GAS AVAILABILITY'!O486+'RAP TEMPLATE-GAS AVAILABILITY'!P486+'RAP TEMPLATE-GAS AVAILABILITY'!Q486+'RAP TEMPLATE-GAS AVAILABILITY'!R486)</f>
        <v>25.275722302158275</v>
      </c>
    </row>
    <row r="488" spans="1:29" ht="15.75" x14ac:dyDescent="0.25">
      <c r="A488" s="14">
        <v>55762</v>
      </c>
      <c r="B488" s="17">
        <f>CHOOSE(CONTROL!$C$42, 24.357, 24.357) * CHOOSE(CONTROL!$C$21, $C$9, 100%, $E$9)</f>
        <v>24.356999999999999</v>
      </c>
      <c r="C488" s="17">
        <f>CHOOSE(CONTROL!$C$42, 24.365, 24.365) * CHOOSE(CONTROL!$C$21, $C$9, 100%, $E$9)</f>
        <v>24.364999999999998</v>
      </c>
      <c r="D488" s="17">
        <f>CHOOSE(CONTROL!$C$42, 24.636, 24.636) * CHOOSE(CONTROL!$C$21, $C$9, 100%, $E$9)</f>
        <v>24.635999999999999</v>
      </c>
      <c r="E488" s="17">
        <f>CHOOSE(CONTROL!$C$42, 24.6675, 24.6675) * CHOOSE(CONTROL!$C$21, $C$9, 100%, $E$9)</f>
        <v>24.6675</v>
      </c>
      <c r="F488" s="17">
        <f>CHOOSE(CONTROL!$C$42, 24.3761, 24.3761)*CHOOSE(CONTROL!$C$21, $C$9, 100%, $E$9)</f>
        <v>24.376100000000001</v>
      </c>
      <c r="G488" s="17">
        <f>CHOOSE(CONTROL!$C$42, 24.393, 24.393)*CHOOSE(CONTROL!$C$21, $C$9, 100%, $E$9)</f>
        <v>24.393000000000001</v>
      </c>
      <c r="H488" s="17">
        <f>CHOOSE(CONTROL!$C$42, 24.6561, 24.6561) * CHOOSE(CONTROL!$C$21, $C$9, 100%, $E$9)</f>
        <v>24.656099999999999</v>
      </c>
      <c r="I488" s="17">
        <f>CHOOSE(CONTROL!$C$42, 24.4531, 24.4531)* CHOOSE(CONTROL!$C$21, $C$9, 100%, $E$9)</f>
        <v>24.453099999999999</v>
      </c>
      <c r="J488" s="17">
        <f>CHOOSE(CONTROL!$C$42, 24.3691, 24.3691)* CHOOSE(CONTROL!$C$21, $C$9, 100%, $E$9)</f>
        <v>24.3691</v>
      </c>
      <c r="K488" s="52">
        <f>CHOOSE(CONTROL!$C$42, 24.4489, 24.4489) * CHOOSE(CONTROL!$C$21, $C$9, 100%, $E$9)</f>
        <v>24.448899999999998</v>
      </c>
      <c r="L488" s="17">
        <f>CHOOSE(CONTROL!$C$42, 25.2431, 25.2431) * CHOOSE(CONTROL!$C$21, $C$9, 100%, $E$9)</f>
        <v>25.243099999999998</v>
      </c>
      <c r="M488" s="17">
        <f>CHOOSE(CONTROL!$C$42, 23.9385, 23.9385) * CHOOSE(CONTROL!$C$21, $C$9, 100%, $E$9)</f>
        <v>23.938500000000001</v>
      </c>
      <c r="N488" s="17">
        <f>CHOOSE(CONTROL!$C$42, 23.955, 23.955) * CHOOSE(CONTROL!$C$21, $C$9, 100%, $E$9)</f>
        <v>23.954999999999998</v>
      </c>
      <c r="O488" s="17">
        <f>CHOOSE(CONTROL!$C$42, 24.2204, 24.2204) * CHOOSE(CONTROL!$C$21, $C$9, 100%, $E$9)</f>
        <v>24.220400000000001</v>
      </c>
      <c r="P488" s="17">
        <f>CHOOSE(CONTROL!$C$42, 24.0197, 24.0197) * CHOOSE(CONTROL!$C$21, $C$9, 100%, $E$9)</f>
        <v>24.0197</v>
      </c>
      <c r="Q488" s="17">
        <f>CHOOSE(CONTROL!$C$42, 24.8151, 24.8151) * CHOOSE(CONTROL!$C$21, $C$9, 100%, $E$9)</f>
        <v>24.815100000000001</v>
      </c>
      <c r="R488" s="17">
        <f>CHOOSE(CONTROL!$C$42, 25.4641, 25.4641) * CHOOSE(CONTROL!$C$21, $C$9, 100%, $E$9)</f>
        <v>25.464099999999998</v>
      </c>
      <c r="S488" s="17">
        <f>CHOOSE(CONTROL!$C$42, 23.394, 23.394) * CHOOSE(CONTROL!$C$21, $C$9, 100%, $E$9)</f>
        <v>23.393999999999998</v>
      </c>
      <c r="T48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88" s="56">
        <f>(1000*CHOOSE(CONTROL!$C$42, 695, 695)*CHOOSE(CONTROL!$C$42, 0.5599, 0.5599)*CHOOSE(CONTROL!$C$42, 31, 31))/1000000</f>
        <v>12.063045499999998</v>
      </c>
      <c r="V488" s="56">
        <f>(1000*CHOOSE(CONTROL!$C$42, 500, 500)*CHOOSE(CONTROL!$C$42, 0.275, 0.275)*CHOOSE(CONTROL!$C$42, 31, 31))/1000000</f>
        <v>4.2625000000000002</v>
      </c>
      <c r="W488" s="56">
        <f>(1000*CHOOSE(CONTROL!$C$42, 0.1146, 0.1146)*CHOOSE(CONTROL!$C$42, 121.5, 121.5)*CHOOSE(CONTROL!$C$42, 31, 31))/1000000</f>
        <v>0.43164089999999994</v>
      </c>
      <c r="X488" s="56">
        <f>(31*0.1790888*145000/1000000)+(31*0.2374*100000/1000000)</f>
        <v>1.5409441560000001</v>
      </c>
      <c r="Y488" s="56"/>
      <c r="Z488" s="17"/>
      <c r="AA488" s="55"/>
      <c r="AB488" s="48">
        <f>(B488*194.205+C488*267.466+D488*133.845+E488*153.484+F488*40+G488*85+H488*0+I488*100+J488*300)/(194.205+267.466+133.845+153.484+0+40+85+100+300)</f>
        <v>24.438792201726844</v>
      </c>
      <c r="AC488" s="45">
        <f>(M488*'RAP TEMPLATE-GAS AVAILABILITY'!O487+N488*'RAP TEMPLATE-GAS AVAILABILITY'!P487+O488*'RAP TEMPLATE-GAS AVAILABILITY'!Q487+P488*'RAP TEMPLATE-GAS AVAILABILITY'!R487)/('RAP TEMPLATE-GAS AVAILABILITY'!O487+'RAP TEMPLATE-GAS AVAILABILITY'!P487+'RAP TEMPLATE-GAS AVAILABILITY'!Q487+'RAP TEMPLATE-GAS AVAILABILITY'!R487)</f>
        <v>24.033076258992807</v>
      </c>
    </row>
    <row r="489" spans="1:29" ht="15.75" x14ac:dyDescent="0.25">
      <c r="A489" s="14">
        <v>55792</v>
      </c>
      <c r="B489" s="17">
        <f>CHOOSE(CONTROL!$C$42, 22.8111, 22.8111) * CHOOSE(CONTROL!$C$21, $C$9, 100%, $E$9)</f>
        <v>22.8111</v>
      </c>
      <c r="C489" s="17">
        <f>CHOOSE(CONTROL!$C$42, 22.8191, 22.8191) * CHOOSE(CONTROL!$C$21, $C$9, 100%, $E$9)</f>
        <v>22.819099999999999</v>
      </c>
      <c r="D489" s="17">
        <f>CHOOSE(CONTROL!$C$42, 23.0902, 23.0902) * CHOOSE(CONTROL!$C$21, $C$9, 100%, $E$9)</f>
        <v>23.090199999999999</v>
      </c>
      <c r="E489" s="17">
        <f>CHOOSE(CONTROL!$C$42, 23.1217, 23.1217) * CHOOSE(CONTROL!$C$21, $C$9, 100%, $E$9)</f>
        <v>23.121700000000001</v>
      </c>
      <c r="F489" s="17">
        <f>CHOOSE(CONTROL!$C$42, 22.8303, 22.8303)*CHOOSE(CONTROL!$C$21, $C$9, 100%, $E$9)</f>
        <v>22.830300000000001</v>
      </c>
      <c r="G489" s="17">
        <f>CHOOSE(CONTROL!$C$42, 22.8472, 22.8472)*CHOOSE(CONTROL!$C$21, $C$9, 100%, $E$9)</f>
        <v>22.847200000000001</v>
      </c>
      <c r="H489" s="17">
        <f>CHOOSE(CONTROL!$C$42, 23.1103, 23.1103) * CHOOSE(CONTROL!$C$21, $C$9, 100%, $E$9)</f>
        <v>23.110299999999999</v>
      </c>
      <c r="I489" s="17">
        <f>CHOOSE(CONTROL!$C$42, 22.9024, 22.9024)* CHOOSE(CONTROL!$C$21, $C$9, 100%, $E$9)</f>
        <v>22.9024</v>
      </c>
      <c r="J489" s="17">
        <f>CHOOSE(CONTROL!$C$42, 22.8233, 22.8233)* CHOOSE(CONTROL!$C$21, $C$9, 100%, $E$9)</f>
        <v>22.8233</v>
      </c>
      <c r="K489" s="52">
        <f>CHOOSE(CONTROL!$C$42, 22.8982, 22.8982) * CHOOSE(CONTROL!$C$21, $C$9, 100%, $E$9)</f>
        <v>22.898199999999999</v>
      </c>
      <c r="L489" s="17">
        <f>CHOOSE(CONTROL!$C$42, 23.6973, 23.6973) * CHOOSE(CONTROL!$C$21, $C$9, 100%, $E$9)</f>
        <v>23.697299999999998</v>
      </c>
      <c r="M489" s="17">
        <f>CHOOSE(CONTROL!$C$42, 22.4205, 22.4205) * CHOOSE(CONTROL!$C$21, $C$9, 100%, $E$9)</f>
        <v>22.420500000000001</v>
      </c>
      <c r="N489" s="17">
        <f>CHOOSE(CONTROL!$C$42, 22.4371, 22.4371) * CHOOSE(CONTROL!$C$21, $C$9, 100%, $E$9)</f>
        <v>22.437100000000001</v>
      </c>
      <c r="O489" s="17">
        <f>CHOOSE(CONTROL!$C$42, 22.7023, 22.7023) * CHOOSE(CONTROL!$C$21, $C$9, 100%, $E$9)</f>
        <v>22.702300000000001</v>
      </c>
      <c r="P489" s="17">
        <f>CHOOSE(CONTROL!$C$42, 22.497, 22.497) * CHOOSE(CONTROL!$C$21, $C$9, 100%, $E$9)</f>
        <v>22.497</v>
      </c>
      <c r="Q489" s="17">
        <f>CHOOSE(CONTROL!$C$42, 23.297, 23.297) * CHOOSE(CONTROL!$C$21, $C$9, 100%, $E$9)</f>
        <v>23.297000000000001</v>
      </c>
      <c r="R489" s="17">
        <f>CHOOSE(CONTROL!$C$42, 23.9423, 23.9423) * CHOOSE(CONTROL!$C$21, $C$9, 100%, $E$9)</f>
        <v>23.942299999999999</v>
      </c>
      <c r="S489" s="17">
        <f>CHOOSE(CONTROL!$C$42, 21.9086, 21.9086) * CHOOSE(CONTROL!$C$21, $C$9, 100%, $E$9)</f>
        <v>21.9086</v>
      </c>
      <c r="T48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89" s="56">
        <f>(1000*CHOOSE(CONTROL!$C$42, 695, 695)*CHOOSE(CONTROL!$C$42, 0.5599, 0.5599)*CHOOSE(CONTROL!$C$42, 30, 30))/1000000</f>
        <v>11.673914999999997</v>
      </c>
      <c r="V489" s="56">
        <f>(1000*CHOOSE(CONTROL!$C$42, 500, 500)*CHOOSE(CONTROL!$C$42, 0.275, 0.275)*CHOOSE(CONTROL!$C$42, 30, 30))/1000000</f>
        <v>4.125</v>
      </c>
      <c r="W489" s="56">
        <f>(1000*CHOOSE(CONTROL!$C$42, 0.1146, 0.1146)*CHOOSE(CONTROL!$C$42, 121.5, 121.5)*CHOOSE(CONTROL!$C$42, 30, 30))/1000000</f>
        <v>0.417717</v>
      </c>
      <c r="X489" s="56">
        <f>(30*0.1790888*145000/1000000)+(30*0.2374*100000/1000000)</f>
        <v>1.4912362799999999</v>
      </c>
      <c r="Y489" s="56"/>
      <c r="Z489" s="17"/>
      <c r="AA489" s="55"/>
      <c r="AB489" s="48">
        <f>(B489*194.205+C489*267.466+D489*133.845+E489*153.484+F489*40+G489*85+H489*0+I489*100+J489*300)/(194.205+267.466+133.845+153.484+0+40+85+100+300)</f>
        <v>22.892571348430135</v>
      </c>
      <c r="AC489" s="45">
        <f>(M489*'RAP TEMPLATE-GAS AVAILABILITY'!O488+N489*'RAP TEMPLATE-GAS AVAILABILITY'!P488+O489*'RAP TEMPLATE-GAS AVAILABILITY'!Q488+P489*'RAP TEMPLATE-GAS AVAILABILITY'!R488)/('RAP TEMPLATE-GAS AVAILABILITY'!O488+'RAP TEMPLATE-GAS AVAILABILITY'!P488+'RAP TEMPLATE-GAS AVAILABILITY'!Q488+'RAP TEMPLATE-GAS AVAILABILITY'!R488)</f>
        <v>22.514394964028774</v>
      </c>
    </row>
    <row r="490" spans="1:29" ht="15.75" x14ac:dyDescent="0.25">
      <c r="A490" s="14">
        <v>55823</v>
      </c>
      <c r="B490" s="17">
        <f>CHOOSE(CONTROL!$C$42, 22.3464, 22.3464) * CHOOSE(CONTROL!$C$21, $C$9, 100%, $E$9)</f>
        <v>22.346399999999999</v>
      </c>
      <c r="C490" s="17">
        <f>CHOOSE(CONTROL!$C$42, 22.3518, 22.3518) * CHOOSE(CONTROL!$C$21, $C$9, 100%, $E$9)</f>
        <v>22.351800000000001</v>
      </c>
      <c r="D490" s="17">
        <f>CHOOSE(CONTROL!$C$42, 22.6278, 22.6278) * CHOOSE(CONTROL!$C$21, $C$9, 100%, $E$9)</f>
        <v>22.627800000000001</v>
      </c>
      <c r="E490" s="17">
        <f>CHOOSE(CONTROL!$C$42, 22.6569, 22.6569) * CHOOSE(CONTROL!$C$21, $C$9, 100%, $E$9)</f>
        <v>22.6569</v>
      </c>
      <c r="F490" s="17">
        <f>CHOOSE(CONTROL!$C$42, 22.3678, 22.3678)*CHOOSE(CONTROL!$C$21, $C$9, 100%, $E$9)</f>
        <v>22.367799999999999</v>
      </c>
      <c r="G490" s="17">
        <f>CHOOSE(CONTROL!$C$42, 22.3846, 22.3846)*CHOOSE(CONTROL!$C$21, $C$9, 100%, $E$9)</f>
        <v>22.384599999999999</v>
      </c>
      <c r="H490" s="17">
        <f>CHOOSE(CONTROL!$C$42, 22.6474, 22.6474) * CHOOSE(CONTROL!$C$21, $C$9, 100%, $E$9)</f>
        <v>22.647400000000001</v>
      </c>
      <c r="I490" s="17">
        <f>CHOOSE(CONTROL!$C$42, 22.4381, 22.4381)* CHOOSE(CONTROL!$C$21, $C$9, 100%, $E$9)</f>
        <v>22.438099999999999</v>
      </c>
      <c r="J490" s="17">
        <f>CHOOSE(CONTROL!$C$42, 22.3608, 22.3608)* CHOOSE(CONTROL!$C$21, $C$9, 100%, $E$9)</f>
        <v>22.360800000000001</v>
      </c>
      <c r="K490" s="52">
        <f>CHOOSE(CONTROL!$C$42, 22.4338, 22.4338) * CHOOSE(CONTROL!$C$21, $C$9, 100%, $E$9)</f>
        <v>22.433800000000002</v>
      </c>
      <c r="L490" s="17">
        <f>CHOOSE(CONTROL!$C$42, 23.2344, 23.2344) * CHOOSE(CONTROL!$C$21, $C$9, 100%, $E$9)</f>
        <v>23.234400000000001</v>
      </c>
      <c r="M490" s="17">
        <f>CHOOSE(CONTROL!$C$42, 21.9663, 21.9663) * CHOOSE(CONTROL!$C$21, $C$9, 100%, $E$9)</f>
        <v>21.9663</v>
      </c>
      <c r="N490" s="17">
        <f>CHOOSE(CONTROL!$C$42, 21.9828, 21.9828) * CHOOSE(CONTROL!$C$21, $C$9, 100%, $E$9)</f>
        <v>21.982800000000001</v>
      </c>
      <c r="O490" s="17">
        <f>CHOOSE(CONTROL!$C$42, 22.2477, 22.2477) * CHOOSE(CONTROL!$C$21, $C$9, 100%, $E$9)</f>
        <v>22.247699999999998</v>
      </c>
      <c r="P490" s="17">
        <f>CHOOSE(CONTROL!$C$42, 22.041, 22.041) * CHOOSE(CONTROL!$C$21, $C$9, 100%, $E$9)</f>
        <v>22.041</v>
      </c>
      <c r="Q490" s="17">
        <f>CHOOSE(CONTROL!$C$42, 22.8424, 22.8424) * CHOOSE(CONTROL!$C$21, $C$9, 100%, $E$9)</f>
        <v>22.842400000000001</v>
      </c>
      <c r="R490" s="17">
        <f>CHOOSE(CONTROL!$C$42, 23.4865, 23.4865) * CHOOSE(CONTROL!$C$21, $C$9, 100%, $E$9)</f>
        <v>23.486499999999999</v>
      </c>
      <c r="S490" s="17">
        <f>CHOOSE(CONTROL!$C$42, 21.4638, 21.4638) * CHOOSE(CONTROL!$C$21, $C$9, 100%, $E$9)</f>
        <v>21.463799999999999</v>
      </c>
      <c r="T49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90" s="56">
        <f>(1000*CHOOSE(CONTROL!$C$42, 695, 695)*CHOOSE(CONTROL!$C$42, 0.5599, 0.5599)*CHOOSE(CONTROL!$C$42, 31, 31))/1000000</f>
        <v>12.063045499999998</v>
      </c>
      <c r="V490" s="56">
        <f>(1000*CHOOSE(CONTROL!$C$42, 500, 500)*CHOOSE(CONTROL!$C$42, 0.275, 0.275)*CHOOSE(CONTROL!$C$42, 31, 31))/1000000</f>
        <v>4.2625000000000002</v>
      </c>
      <c r="W490" s="56">
        <f>(1000*CHOOSE(CONTROL!$C$42, 0.1146, 0.1146)*CHOOSE(CONTROL!$C$42, 121.5, 121.5)*CHOOSE(CONTROL!$C$42, 31, 31))/1000000</f>
        <v>0.43164089999999994</v>
      </c>
      <c r="X490" s="56">
        <f>(31*0.1790888*145000/1000000)+(31*0.2374*100000/1000000)</f>
        <v>1.5409441560000001</v>
      </c>
      <c r="Y490" s="56"/>
      <c r="Z490" s="17"/>
      <c r="AA490" s="55"/>
      <c r="AB490" s="48">
        <f>(B490*131.881+C490*277.167+D490*79.08+E490*225.872+F490*40+G490*85+H490*0+I490*100+J490*300)/(131.881+277.167+79.08+225.872+0+40+85+100+300)</f>
        <v>22.43637261485069</v>
      </c>
      <c r="AC490" s="45">
        <f>(M490*'RAP TEMPLATE-GAS AVAILABILITY'!O489+N490*'RAP TEMPLATE-GAS AVAILABILITY'!P489+O490*'RAP TEMPLATE-GAS AVAILABILITY'!Q489+P490*'RAP TEMPLATE-GAS AVAILABILITY'!R489)/('RAP TEMPLATE-GAS AVAILABILITY'!O489+'RAP TEMPLATE-GAS AVAILABILITY'!P489+'RAP TEMPLATE-GAS AVAILABILITY'!Q489+'RAP TEMPLATE-GAS AVAILABILITY'!R489)</f>
        <v>22.059800719424459</v>
      </c>
    </row>
    <row r="491" spans="1:29" ht="15.75" x14ac:dyDescent="0.25">
      <c r="A491" s="14">
        <v>55853</v>
      </c>
      <c r="B491" s="17">
        <f>CHOOSE(CONTROL!$C$42, 22.9345, 22.9345) * CHOOSE(CONTROL!$C$21, $C$9, 100%, $E$9)</f>
        <v>22.9345</v>
      </c>
      <c r="C491" s="17">
        <f>CHOOSE(CONTROL!$C$42, 22.9395, 22.9395) * CHOOSE(CONTROL!$C$21, $C$9, 100%, $E$9)</f>
        <v>22.939499999999999</v>
      </c>
      <c r="D491" s="17">
        <f>CHOOSE(CONTROL!$C$42, 23.0346, 23.0346) * CHOOSE(CONTROL!$C$21, $C$9, 100%, $E$9)</f>
        <v>23.034600000000001</v>
      </c>
      <c r="E491" s="17">
        <f>CHOOSE(CONTROL!$C$42, 23.0687, 23.0687) * CHOOSE(CONTROL!$C$21, $C$9, 100%, $E$9)</f>
        <v>23.0687</v>
      </c>
      <c r="F491" s="17">
        <f>CHOOSE(CONTROL!$C$42, 22.9584, 22.9584)*CHOOSE(CONTROL!$C$21, $C$9, 100%, $E$9)</f>
        <v>22.958400000000001</v>
      </c>
      <c r="G491" s="17">
        <f>CHOOSE(CONTROL!$C$42, 22.9754, 22.9754)*CHOOSE(CONTROL!$C$21, $C$9, 100%, $E$9)</f>
        <v>22.9754</v>
      </c>
      <c r="H491" s="17">
        <f>CHOOSE(CONTROL!$C$42, 23.0579, 23.0579) * CHOOSE(CONTROL!$C$21, $C$9, 100%, $E$9)</f>
        <v>23.0579</v>
      </c>
      <c r="I491" s="17">
        <f>CHOOSE(CONTROL!$C$42, 23.0263, 23.0263)* CHOOSE(CONTROL!$C$21, $C$9, 100%, $E$9)</f>
        <v>23.026299999999999</v>
      </c>
      <c r="J491" s="17">
        <f>CHOOSE(CONTROL!$C$42, 22.9514, 22.9514)* CHOOSE(CONTROL!$C$21, $C$9, 100%, $E$9)</f>
        <v>22.9514</v>
      </c>
      <c r="K491" s="52">
        <f>CHOOSE(CONTROL!$C$42, 23.022, 23.022) * CHOOSE(CONTROL!$C$21, $C$9, 100%, $E$9)</f>
        <v>23.021999999999998</v>
      </c>
      <c r="L491" s="17">
        <f>CHOOSE(CONTROL!$C$42, 23.6449, 23.6449) * CHOOSE(CONTROL!$C$21, $C$9, 100%, $E$9)</f>
        <v>23.6449</v>
      </c>
      <c r="M491" s="17">
        <f>CHOOSE(CONTROL!$C$42, 22.5463, 22.5463) * CHOOSE(CONTROL!$C$21, $C$9, 100%, $E$9)</f>
        <v>22.546299999999999</v>
      </c>
      <c r="N491" s="17">
        <f>CHOOSE(CONTROL!$C$42, 22.563, 22.563) * CHOOSE(CONTROL!$C$21, $C$9, 100%, $E$9)</f>
        <v>22.562999999999999</v>
      </c>
      <c r="O491" s="17">
        <f>CHOOSE(CONTROL!$C$42, 22.6508, 22.6508) * CHOOSE(CONTROL!$C$21, $C$9, 100%, $E$9)</f>
        <v>22.6508</v>
      </c>
      <c r="P491" s="17">
        <f>CHOOSE(CONTROL!$C$42, 22.6186, 22.6186) * CHOOSE(CONTROL!$C$21, $C$9, 100%, $E$9)</f>
        <v>22.618600000000001</v>
      </c>
      <c r="Q491" s="17">
        <f>CHOOSE(CONTROL!$C$42, 23.2455, 23.2455) * CHOOSE(CONTROL!$C$21, $C$9, 100%, $E$9)</f>
        <v>23.2455</v>
      </c>
      <c r="R491" s="17">
        <f>CHOOSE(CONTROL!$C$42, 23.8906, 23.8906) * CHOOSE(CONTROL!$C$21, $C$9, 100%, $E$9)</f>
        <v>23.890599999999999</v>
      </c>
      <c r="S491" s="17">
        <f>CHOOSE(CONTROL!$C$42, 22.0292, 22.0292) * CHOOSE(CONTROL!$C$21, $C$9, 100%, $E$9)</f>
        <v>22.029199999999999</v>
      </c>
      <c r="T49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91" s="56">
        <f>(1000*CHOOSE(CONTROL!$C$42, 695, 695)*CHOOSE(CONTROL!$C$42, 0.5599, 0.5599)*CHOOSE(CONTROL!$C$42, 30, 30))/1000000</f>
        <v>11.673914999999997</v>
      </c>
      <c r="V491" s="56">
        <f>(1000*CHOOSE(CONTROL!$C$42, 500, 500)*CHOOSE(CONTROL!$C$42, 0.275, 0.275)*CHOOSE(CONTROL!$C$42, 30, 30))/1000000</f>
        <v>4.125</v>
      </c>
      <c r="W491" s="56">
        <f>(1000*CHOOSE(CONTROL!$C$42, 0.1146, 0.1146)*CHOOSE(CONTROL!$C$42, 121.5, 121.5)*CHOOSE(CONTROL!$C$42, 30, 30))/1000000</f>
        <v>0.417717</v>
      </c>
      <c r="X491" s="56">
        <f>(30*0.2374*100000/1000000)</f>
        <v>0.71220000000000006</v>
      </c>
      <c r="Y491" s="56"/>
      <c r="Z491" s="17"/>
      <c r="AA491" s="55"/>
      <c r="AB491" s="48">
        <f>(B491*122.58+C491*297.941+D491*89.177+E491*140.302+F491*40+G491*60+H491*0+I491*100+J491*300)/(122.58+297.941+89.177+140.302+0+40+60+100+300)</f>
        <v>22.97528682704348</v>
      </c>
      <c r="AC491" s="45">
        <f>(M491*'RAP TEMPLATE-GAS AVAILABILITY'!O490+N491*'RAP TEMPLATE-GAS AVAILABILITY'!P490+O491*'RAP TEMPLATE-GAS AVAILABILITY'!Q490+P491*'RAP TEMPLATE-GAS AVAILABILITY'!R490)/('RAP TEMPLATE-GAS AVAILABILITY'!O490+'RAP TEMPLATE-GAS AVAILABILITY'!P490+'RAP TEMPLATE-GAS AVAILABILITY'!Q490+'RAP TEMPLATE-GAS AVAILABILITY'!R490)</f>
        <v>22.605027338129496</v>
      </c>
    </row>
    <row r="492" spans="1:29" ht="15.75" x14ac:dyDescent="0.25">
      <c r="A492" s="14">
        <v>55884</v>
      </c>
      <c r="B492" s="17">
        <f>CHOOSE(CONTROL!$C$42, 24.4975, 24.4975) * CHOOSE(CONTROL!$C$21, $C$9, 100%, $E$9)</f>
        <v>24.497499999999999</v>
      </c>
      <c r="C492" s="17">
        <f>CHOOSE(CONTROL!$C$42, 24.5025, 24.5025) * CHOOSE(CONTROL!$C$21, $C$9, 100%, $E$9)</f>
        <v>24.502500000000001</v>
      </c>
      <c r="D492" s="17">
        <f>CHOOSE(CONTROL!$C$42, 24.5976, 24.5976) * CHOOSE(CONTROL!$C$21, $C$9, 100%, $E$9)</f>
        <v>24.5976</v>
      </c>
      <c r="E492" s="17">
        <f>CHOOSE(CONTROL!$C$42, 24.6317, 24.6317) * CHOOSE(CONTROL!$C$21, $C$9, 100%, $E$9)</f>
        <v>24.631699999999999</v>
      </c>
      <c r="F492" s="17">
        <f>CHOOSE(CONTROL!$C$42, 24.5237, 24.5237)*CHOOSE(CONTROL!$C$21, $C$9, 100%, $E$9)</f>
        <v>24.523700000000002</v>
      </c>
      <c r="G492" s="17">
        <f>CHOOSE(CONTROL!$C$42, 24.5414, 24.5414)*CHOOSE(CONTROL!$C$21, $C$9, 100%, $E$9)</f>
        <v>24.541399999999999</v>
      </c>
      <c r="H492" s="17">
        <f>CHOOSE(CONTROL!$C$42, 24.6209, 24.6209) * CHOOSE(CONTROL!$C$21, $C$9, 100%, $E$9)</f>
        <v>24.620899999999999</v>
      </c>
      <c r="I492" s="17">
        <f>CHOOSE(CONTROL!$C$42, 24.5942, 24.5942)* CHOOSE(CONTROL!$C$21, $C$9, 100%, $E$9)</f>
        <v>24.594200000000001</v>
      </c>
      <c r="J492" s="17">
        <f>CHOOSE(CONTROL!$C$42, 24.5167, 24.5167)* CHOOSE(CONTROL!$C$21, $C$9, 100%, $E$9)</f>
        <v>24.5167</v>
      </c>
      <c r="K492" s="52">
        <f>CHOOSE(CONTROL!$C$42, 24.5899, 24.5899) * CHOOSE(CONTROL!$C$21, $C$9, 100%, $E$9)</f>
        <v>24.5899</v>
      </c>
      <c r="L492" s="17">
        <f>CHOOSE(CONTROL!$C$42, 25.2079, 25.2079) * CHOOSE(CONTROL!$C$21, $C$9, 100%, $E$9)</f>
        <v>25.207899999999999</v>
      </c>
      <c r="M492" s="17">
        <f>CHOOSE(CONTROL!$C$42, 24.0834, 24.0834) * CHOOSE(CONTROL!$C$21, $C$9, 100%, $E$9)</f>
        <v>24.083400000000001</v>
      </c>
      <c r="N492" s="17">
        <f>CHOOSE(CONTROL!$C$42, 24.1008, 24.1008) * CHOOSE(CONTROL!$C$21, $C$9, 100%, $E$9)</f>
        <v>24.1008</v>
      </c>
      <c r="O492" s="17">
        <f>CHOOSE(CONTROL!$C$42, 24.1857, 24.1857) * CHOOSE(CONTROL!$C$21, $C$9, 100%, $E$9)</f>
        <v>24.185700000000001</v>
      </c>
      <c r="P492" s="17">
        <f>CHOOSE(CONTROL!$C$42, 24.1582, 24.1582) * CHOOSE(CONTROL!$C$21, $C$9, 100%, $E$9)</f>
        <v>24.158200000000001</v>
      </c>
      <c r="Q492" s="17">
        <f>CHOOSE(CONTROL!$C$42, 24.7804, 24.7804) * CHOOSE(CONTROL!$C$21, $C$9, 100%, $E$9)</f>
        <v>24.7804</v>
      </c>
      <c r="R492" s="17">
        <f>CHOOSE(CONTROL!$C$42, 25.4294, 25.4294) * CHOOSE(CONTROL!$C$21, $C$9, 100%, $E$9)</f>
        <v>25.429400000000001</v>
      </c>
      <c r="S492" s="17">
        <f>CHOOSE(CONTROL!$C$42, 23.5311, 23.5311) * CHOOSE(CONTROL!$C$21, $C$9, 100%, $E$9)</f>
        <v>23.531099999999999</v>
      </c>
      <c r="T49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92" s="56">
        <f>(1000*CHOOSE(CONTROL!$C$42, 695, 695)*CHOOSE(CONTROL!$C$42, 0.5599, 0.5599)*CHOOSE(CONTROL!$C$42, 31, 31))/1000000</f>
        <v>12.063045499999998</v>
      </c>
      <c r="V492" s="56">
        <f>(1000*CHOOSE(CONTROL!$C$42, 500, 500)*CHOOSE(CONTROL!$C$42, 0.275, 0.275)*CHOOSE(CONTROL!$C$42, 31, 31))/1000000</f>
        <v>4.2625000000000002</v>
      </c>
      <c r="W492" s="56">
        <f>(1000*CHOOSE(CONTROL!$C$42, 0.1146, 0.1146)*CHOOSE(CONTROL!$C$42, 121.5, 121.5)*CHOOSE(CONTROL!$C$42, 31, 31))/1000000</f>
        <v>0.43164089999999994</v>
      </c>
      <c r="X492" s="56">
        <f>(31*0.2374*100000/1000000)</f>
        <v>0.73594000000000004</v>
      </c>
      <c r="Y492" s="56"/>
      <c r="Z492" s="17"/>
      <c r="AA492" s="55"/>
      <c r="AB492" s="48">
        <f>(B492*122.58+C492*297.941+D492*89.177+E492*140.302+F492*40+G492*60+H492*0+I492*100+J492*300)/(122.58+297.941+89.177+140.302+0+40+60+100+300)</f>
        <v>24.539549435739136</v>
      </c>
      <c r="AC492" s="45">
        <f>(M492*'RAP TEMPLATE-GAS AVAILABILITY'!O491+N492*'RAP TEMPLATE-GAS AVAILABILITY'!P491+O492*'RAP TEMPLATE-GAS AVAILABILITY'!Q491+P492*'RAP TEMPLATE-GAS AVAILABILITY'!R491)/('RAP TEMPLATE-GAS AVAILABILITY'!O491+'RAP TEMPLATE-GAS AVAILABILITY'!P491+'RAP TEMPLATE-GAS AVAILABILITY'!Q491+'RAP TEMPLATE-GAS AVAILABILITY'!R491)</f>
        <v>24.141530215827338</v>
      </c>
    </row>
    <row r="493" spans="1:29" ht="15.75" x14ac:dyDescent="0.25">
      <c r="A493" s="14">
        <v>55915</v>
      </c>
      <c r="B493" s="17">
        <f>CHOOSE(CONTROL!$C$42, 26.5275, 26.5275) * CHOOSE(CONTROL!$C$21, $C$9, 100%, $E$9)</f>
        <v>26.5275</v>
      </c>
      <c r="C493" s="17">
        <f>CHOOSE(CONTROL!$C$42, 26.5326, 26.5326) * CHOOSE(CONTROL!$C$21, $C$9, 100%, $E$9)</f>
        <v>26.532599999999999</v>
      </c>
      <c r="D493" s="17">
        <f>CHOOSE(CONTROL!$C$42, 26.6511, 26.6511) * CHOOSE(CONTROL!$C$21, $C$9, 100%, $E$9)</f>
        <v>26.6511</v>
      </c>
      <c r="E493" s="17">
        <f>CHOOSE(CONTROL!$C$42, 26.6852, 26.6852) * CHOOSE(CONTROL!$C$21, $C$9, 100%, $E$9)</f>
        <v>26.685199999999998</v>
      </c>
      <c r="F493" s="17">
        <f>CHOOSE(CONTROL!$C$42, 26.5479, 26.5479)*CHOOSE(CONTROL!$C$21, $C$9, 100%, $E$9)</f>
        <v>26.547899999999998</v>
      </c>
      <c r="G493" s="17">
        <f>CHOOSE(CONTROL!$C$42, 26.5648, 26.5648)*CHOOSE(CONTROL!$C$21, $C$9, 100%, $E$9)</f>
        <v>26.564800000000002</v>
      </c>
      <c r="H493" s="17">
        <f>CHOOSE(CONTROL!$C$42, 26.6744, 26.6744) * CHOOSE(CONTROL!$C$21, $C$9, 100%, $E$9)</f>
        <v>26.674399999999999</v>
      </c>
      <c r="I493" s="17">
        <f>CHOOSE(CONTROL!$C$42, 26.6342, 26.6342)* CHOOSE(CONTROL!$C$21, $C$9, 100%, $E$9)</f>
        <v>26.6342</v>
      </c>
      <c r="J493" s="17">
        <f>CHOOSE(CONTROL!$C$42, 26.5409, 26.5409)* CHOOSE(CONTROL!$C$21, $C$9, 100%, $E$9)</f>
        <v>26.540900000000001</v>
      </c>
      <c r="K493" s="52">
        <f>CHOOSE(CONTROL!$C$42, 26.63, 26.63) * CHOOSE(CONTROL!$C$21, $C$9, 100%, $E$9)</f>
        <v>26.63</v>
      </c>
      <c r="L493" s="17">
        <f>CHOOSE(CONTROL!$C$42, 27.2614, 27.2614) * CHOOSE(CONTROL!$C$21, $C$9, 100%, $E$9)</f>
        <v>27.261399999999998</v>
      </c>
      <c r="M493" s="17">
        <f>CHOOSE(CONTROL!$C$42, 26.0713, 26.0713) * CHOOSE(CONTROL!$C$21, $C$9, 100%, $E$9)</f>
        <v>26.071300000000001</v>
      </c>
      <c r="N493" s="17">
        <f>CHOOSE(CONTROL!$C$42, 26.0878, 26.0878) * CHOOSE(CONTROL!$C$21, $C$9, 100%, $E$9)</f>
        <v>26.087800000000001</v>
      </c>
      <c r="O493" s="17">
        <f>CHOOSE(CONTROL!$C$42, 26.2023, 26.2023) * CHOOSE(CONTROL!$C$21, $C$9, 100%, $E$9)</f>
        <v>26.202300000000001</v>
      </c>
      <c r="P493" s="17">
        <f>CHOOSE(CONTROL!$C$42, 26.1615, 26.1615) * CHOOSE(CONTROL!$C$21, $C$9, 100%, $E$9)</f>
        <v>26.1615</v>
      </c>
      <c r="Q493" s="17">
        <f>CHOOSE(CONTROL!$C$42, 26.797, 26.797) * CHOOSE(CONTROL!$C$21, $C$9, 100%, $E$9)</f>
        <v>26.797000000000001</v>
      </c>
      <c r="R493" s="17">
        <f>CHOOSE(CONTROL!$C$42, 27.451, 27.451) * CHOOSE(CONTROL!$C$21, $C$9, 100%, $E$9)</f>
        <v>27.451000000000001</v>
      </c>
      <c r="S493" s="17">
        <f>CHOOSE(CONTROL!$C$42, 25.4818, 25.4818) * CHOOSE(CONTROL!$C$21, $C$9, 100%, $E$9)</f>
        <v>25.4818</v>
      </c>
      <c r="T49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93" s="56">
        <f>(1000*CHOOSE(CONTROL!$C$42, 695, 695)*CHOOSE(CONTROL!$C$42, 0.5599, 0.5599)*CHOOSE(CONTROL!$C$42, 31, 31))/1000000</f>
        <v>12.063045499999998</v>
      </c>
      <c r="V493" s="56">
        <f>(1000*CHOOSE(CONTROL!$C$42, 500, 500)*CHOOSE(CONTROL!$C$42, 0.275, 0.275)*CHOOSE(CONTROL!$C$42, 31, 31))/1000000</f>
        <v>4.2625000000000002</v>
      </c>
      <c r="W493" s="56">
        <f>(1000*CHOOSE(CONTROL!$C$42, 0.1146, 0.1146)*CHOOSE(CONTROL!$C$42, 121.5, 121.5)*CHOOSE(CONTROL!$C$42, 31, 31))/1000000</f>
        <v>0.43164089999999994</v>
      </c>
      <c r="X493" s="56">
        <f>(31*0.2374*100000/1000000)</f>
        <v>0.73594000000000004</v>
      </c>
      <c r="Y493" s="56"/>
      <c r="Z493" s="17"/>
      <c r="AA493" s="55"/>
      <c r="AB493" s="48">
        <f>(B493*122.58+C493*297.941+D493*89.177+E493*140.302+F493*40+G493*60+H493*0+I493*100+J493*300)/(122.58+297.941+89.177+140.302+0+40+60+100+300)</f>
        <v>26.573075131913043</v>
      </c>
      <c r="AC493" s="45">
        <f>(M493*'RAP TEMPLATE-GAS AVAILABILITY'!O492+N493*'RAP TEMPLATE-GAS AVAILABILITY'!P492+O493*'RAP TEMPLATE-GAS AVAILABILITY'!Q492+P493*'RAP TEMPLATE-GAS AVAILABILITY'!R492)/('RAP TEMPLATE-GAS AVAILABILITY'!O492+'RAP TEMPLATE-GAS AVAILABILITY'!P492+'RAP TEMPLATE-GAS AVAILABILITY'!Q492+'RAP TEMPLATE-GAS AVAILABILITY'!R492)</f>
        <v>26.144602158273383</v>
      </c>
    </row>
    <row r="494" spans="1:29" ht="15.75" x14ac:dyDescent="0.25">
      <c r="A494" s="14">
        <v>55943</v>
      </c>
      <c r="B494" s="17">
        <f>CHOOSE(CONTROL!$C$42, 26.9996, 26.9996) * CHOOSE(CONTROL!$C$21, $C$9, 100%, $E$9)</f>
        <v>26.999600000000001</v>
      </c>
      <c r="C494" s="17">
        <f>CHOOSE(CONTROL!$C$42, 27.0047, 27.0047) * CHOOSE(CONTROL!$C$21, $C$9, 100%, $E$9)</f>
        <v>27.0047</v>
      </c>
      <c r="D494" s="17">
        <f>CHOOSE(CONTROL!$C$42, 27.1231, 27.1231) * CHOOSE(CONTROL!$C$21, $C$9, 100%, $E$9)</f>
        <v>27.123100000000001</v>
      </c>
      <c r="E494" s="17">
        <f>CHOOSE(CONTROL!$C$42, 27.1572, 27.1572) * CHOOSE(CONTROL!$C$21, $C$9, 100%, $E$9)</f>
        <v>27.1572</v>
      </c>
      <c r="F494" s="17">
        <f>CHOOSE(CONTROL!$C$42, 27.02, 27.02)*CHOOSE(CONTROL!$C$21, $C$9, 100%, $E$9)</f>
        <v>27.02</v>
      </c>
      <c r="G494" s="17">
        <f>CHOOSE(CONTROL!$C$42, 27.0368, 27.0368)*CHOOSE(CONTROL!$C$21, $C$9, 100%, $E$9)</f>
        <v>27.036799999999999</v>
      </c>
      <c r="H494" s="17">
        <f>CHOOSE(CONTROL!$C$42, 27.1464, 27.1464) * CHOOSE(CONTROL!$C$21, $C$9, 100%, $E$9)</f>
        <v>27.1464</v>
      </c>
      <c r="I494" s="17">
        <f>CHOOSE(CONTROL!$C$42, 27.1078, 27.1078)* CHOOSE(CONTROL!$C$21, $C$9, 100%, $E$9)</f>
        <v>27.107800000000001</v>
      </c>
      <c r="J494" s="17">
        <f>CHOOSE(CONTROL!$C$42, 27.013, 27.013)* CHOOSE(CONTROL!$C$21, $C$9, 100%, $E$9)</f>
        <v>27.013000000000002</v>
      </c>
      <c r="K494" s="52">
        <f>CHOOSE(CONTROL!$C$42, 27.1036, 27.1036) * CHOOSE(CONTROL!$C$21, $C$9, 100%, $E$9)</f>
        <v>27.1036</v>
      </c>
      <c r="L494" s="17">
        <f>CHOOSE(CONTROL!$C$42, 27.7334, 27.7334) * CHOOSE(CONTROL!$C$21, $C$9, 100%, $E$9)</f>
        <v>27.7334</v>
      </c>
      <c r="M494" s="17">
        <f>CHOOSE(CONTROL!$C$42, 26.5348, 26.5348) * CHOOSE(CONTROL!$C$21, $C$9, 100%, $E$9)</f>
        <v>26.534800000000001</v>
      </c>
      <c r="N494" s="17">
        <f>CHOOSE(CONTROL!$C$42, 26.5513, 26.5513) * CHOOSE(CONTROL!$C$21, $C$9, 100%, $E$9)</f>
        <v>26.551300000000001</v>
      </c>
      <c r="O494" s="17">
        <f>CHOOSE(CONTROL!$C$42, 26.6658, 26.6658) * CHOOSE(CONTROL!$C$21, $C$9, 100%, $E$9)</f>
        <v>26.665800000000001</v>
      </c>
      <c r="P494" s="17">
        <f>CHOOSE(CONTROL!$C$42, 26.6265, 26.6265) * CHOOSE(CONTROL!$C$21, $C$9, 100%, $E$9)</f>
        <v>26.6265</v>
      </c>
      <c r="Q494" s="17">
        <f>CHOOSE(CONTROL!$C$42, 27.2605, 27.2605) * CHOOSE(CONTROL!$C$21, $C$9, 100%, $E$9)</f>
        <v>27.2605</v>
      </c>
      <c r="R494" s="17">
        <f>CHOOSE(CONTROL!$C$42, 27.9157, 27.9157) * CHOOSE(CONTROL!$C$21, $C$9, 100%, $E$9)</f>
        <v>27.915700000000001</v>
      </c>
      <c r="S494" s="17">
        <f>CHOOSE(CONTROL!$C$42, 25.9354, 25.9354) * CHOOSE(CONTROL!$C$21, $C$9, 100%, $E$9)</f>
        <v>25.935400000000001</v>
      </c>
      <c r="T49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94" s="56">
        <f>(1000*CHOOSE(CONTROL!$C$42, 695, 695)*CHOOSE(CONTROL!$C$42, 0.5599, 0.5599)*CHOOSE(CONTROL!$C$42, 28, 28))/1000000</f>
        <v>10.895653999999999</v>
      </c>
      <c r="V494" s="56">
        <f>(1000*CHOOSE(CONTROL!$C$42, 500, 500)*CHOOSE(CONTROL!$C$42, 0.275, 0.275)*CHOOSE(CONTROL!$C$42, 28, 28))/1000000</f>
        <v>3.85</v>
      </c>
      <c r="W494" s="56">
        <f>(1000*CHOOSE(CONTROL!$C$42, 0.1146, 0.1146)*CHOOSE(CONTROL!$C$42, 121.5, 121.5)*CHOOSE(CONTROL!$C$42, 28, 28))/1000000</f>
        <v>0.38986920000000003</v>
      </c>
      <c r="X494" s="56">
        <f>(28*0.2374*100000/1000000)</f>
        <v>0.66471999999999998</v>
      </c>
      <c r="Y494" s="56"/>
      <c r="Z494" s="17"/>
      <c r="AA494" s="55"/>
      <c r="AB494" s="48">
        <f>(B494*122.58+C494*297.941+D494*89.177+E494*140.302+F494*40+G494*60+H494*0+I494*100+J494*300)/(122.58+297.941+89.177+140.302+0+40+60+100+300)</f>
        <v>27.045280394608692</v>
      </c>
      <c r="AC494" s="45">
        <f>(M494*'RAP TEMPLATE-GAS AVAILABILITY'!O493+N494*'RAP TEMPLATE-GAS AVAILABILITY'!P493+O494*'RAP TEMPLATE-GAS AVAILABILITY'!Q493+P494*'RAP TEMPLATE-GAS AVAILABILITY'!R493)/('RAP TEMPLATE-GAS AVAILABILITY'!O493+'RAP TEMPLATE-GAS AVAILABILITY'!P493+'RAP TEMPLATE-GAS AVAILABILITY'!Q493+'RAP TEMPLATE-GAS AVAILABILITY'!R493)</f>
        <v>26.608317985611514</v>
      </c>
    </row>
    <row r="495" spans="1:29" ht="15.75" x14ac:dyDescent="0.25">
      <c r="A495" s="14">
        <v>55974</v>
      </c>
      <c r="B495" s="17">
        <f>CHOOSE(CONTROL!$C$42, 26.2333, 26.2333) * CHOOSE(CONTROL!$C$21, $C$9, 100%, $E$9)</f>
        <v>26.2333</v>
      </c>
      <c r="C495" s="17">
        <f>CHOOSE(CONTROL!$C$42, 26.2384, 26.2384) * CHOOSE(CONTROL!$C$21, $C$9, 100%, $E$9)</f>
        <v>26.238399999999999</v>
      </c>
      <c r="D495" s="17">
        <f>CHOOSE(CONTROL!$C$42, 26.3569, 26.3569) * CHOOSE(CONTROL!$C$21, $C$9, 100%, $E$9)</f>
        <v>26.3569</v>
      </c>
      <c r="E495" s="17">
        <f>CHOOSE(CONTROL!$C$42, 26.391, 26.391) * CHOOSE(CONTROL!$C$21, $C$9, 100%, $E$9)</f>
        <v>26.390999999999998</v>
      </c>
      <c r="F495" s="17">
        <f>CHOOSE(CONTROL!$C$42, 26.253, 26.253)*CHOOSE(CONTROL!$C$21, $C$9, 100%, $E$9)</f>
        <v>26.253</v>
      </c>
      <c r="G495" s="17">
        <f>CHOOSE(CONTROL!$C$42, 26.2697, 26.2697)*CHOOSE(CONTROL!$C$21, $C$9, 100%, $E$9)</f>
        <v>26.2697</v>
      </c>
      <c r="H495" s="17">
        <f>CHOOSE(CONTROL!$C$42, 26.3802, 26.3802) * CHOOSE(CONTROL!$C$21, $C$9, 100%, $E$9)</f>
        <v>26.380199999999999</v>
      </c>
      <c r="I495" s="17">
        <f>CHOOSE(CONTROL!$C$42, 26.3391, 26.3391)* CHOOSE(CONTROL!$C$21, $C$9, 100%, $E$9)</f>
        <v>26.339099999999998</v>
      </c>
      <c r="J495" s="17">
        <f>CHOOSE(CONTROL!$C$42, 26.246, 26.246)* CHOOSE(CONTROL!$C$21, $C$9, 100%, $E$9)</f>
        <v>26.245999999999999</v>
      </c>
      <c r="K495" s="52">
        <f>CHOOSE(CONTROL!$C$42, 26.3349, 26.3349) * CHOOSE(CONTROL!$C$21, $C$9, 100%, $E$9)</f>
        <v>26.334900000000001</v>
      </c>
      <c r="L495" s="17">
        <f>CHOOSE(CONTROL!$C$42, 26.9672, 26.9672) * CHOOSE(CONTROL!$C$21, $C$9, 100%, $E$9)</f>
        <v>26.967199999999998</v>
      </c>
      <c r="M495" s="17">
        <f>CHOOSE(CONTROL!$C$42, 25.7817, 25.7817) * CHOOSE(CONTROL!$C$21, $C$9, 100%, $E$9)</f>
        <v>25.781700000000001</v>
      </c>
      <c r="N495" s="17">
        <f>CHOOSE(CONTROL!$C$42, 25.798, 25.798) * CHOOSE(CONTROL!$C$21, $C$9, 100%, $E$9)</f>
        <v>25.797999999999998</v>
      </c>
      <c r="O495" s="17">
        <f>CHOOSE(CONTROL!$C$42, 25.9134, 25.9134) * CHOOSE(CONTROL!$C$21, $C$9, 100%, $E$9)</f>
        <v>25.913399999999999</v>
      </c>
      <c r="P495" s="17">
        <f>CHOOSE(CONTROL!$C$42, 25.8717, 25.8717) * CHOOSE(CONTROL!$C$21, $C$9, 100%, $E$9)</f>
        <v>25.871700000000001</v>
      </c>
      <c r="Q495" s="17">
        <f>CHOOSE(CONTROL!$C$42, 26.5081, 26.5081) * CHOOSE(CONTROL!$C$21, $C$9, 100%, $E$9)</f>
        <v>26.508099999999999</v>
      </c>
      <c r="R495" s="17">
        <f>CHOOSE(CONTROL!$C$42, 27.1613, 27.1613) * CHOOSE(CONTROL!$C$21, $C$9, 100%, $E$9)</f>
        <v>27.161300000000001</v>
      </c>
      <c r="S495" s="17">
        <f>CHOOSE(CONTROL!$C$42, 25.1991, 25.1991) * CHOOSE(CONTROL!$C$21, $C$9, 100%, $E$9)</f>
        <v>25.199100000000001</v>
      </c>
      <c r="T49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95" s="56">
        <f>(1000*CHOOSE(CONTROL!$C$42, 695, 695)*CHOOSE(CONTROL!$C$42, 0.5599, 0.5599)*CHOOSE(CONTROL!$C$42, 31, 31))/1000000</f>
        <v>12.063045499999998</v>
      </c>
      <c r="V495" s="56">
        <f>(1000*CHOOSE(CONTROL!$C$42, 500, 500)*CHOOSE(CONTROL!$C$42, 0.275, 0.275)*CHOOSE(CONTROL!$C$42, 31, 31))/1000000</f>
        <v>4.2625000000000002</v>
      </c>
      <c r="W495" s="56">
        <f>(1000*CHOOSE(CONTROL!$C$42, 0.1146, 0.1146)*CHOOSE(CONTROL!$C$42, 121.5, 121.5)*CHOOSE(CONTROL!$C$42, 31, 31))/1000000</f>
        <v>0.43164089999999994</v>
      </c>
      <c r="X495" s="56">
        <f>(31*0.2374*100000/1000000)</f>
        <v>0.73594000000000004</v>
      </c>
      <c r="Y495" s="56"/>
      <c r="Z495" s="17"/>
      <c r="AA495" s="55"/>
      <c r="AB495" s="48">
        <f>(B495*122.58+C495*297.941+D495*89.177+E495*140.302+F495*40+G495*60+H495*0+I495*100+J495*300)/(122.58+297.941+89.177+140.302+0+40+60+100+300)</f>
        <v>26.278542957999999</v>
      </c>
      <c r="AC495" s="45">
        <f>(M495*'RAP TEMPLATE-GAS AVAILABILITY'!O494+N495*'RAP TEMPLATE-GAS AVAILABILITY'!P494+O495*'RAP TEMPLATE-GAS AVAILABILITY'!Q494+P495*'RAP TEMPLATE-GAS AVAILABILITY'!R494)/('RAP TEMPLATE-GAS AVAILABILITY'!O494+'RAP TEMPLATE-GAS AVAILABILITY'!P494+'RAP TEMPLATE-GAS AVAILABILITY'!Q494+'RAP TEMPLATE-GAS AVAILABILITY'!R494)</f>
        <v>25.855279136690651</v>
      </c>
    </row>
    <row r="496" spans="1:29" ht="15.75" x14ac:dyDescent="0.25">
      <c r="A496" s="14">
        <v>56004</v>
      </c>
      <c r="B496" s="17">
        <f>CHOOSE(CONTROL!$C$42, 26.1558, 26.1558) * CHOOSE(CONTROL!$C$21, $C$9, 100%, $E$9)</f>
        <v>26.155799999999999</v>
      </c>
      <c r="C496" s="17">
        <f>CHOOSE(CONTROL!$C$42, 26.1603, 26.1603) * CHOOSE(CONTROL!$C$21, $C$9, 100%, $E$9)</f>
        <v>26.160299999999999</v>
      </c>
      <c r="D496" s="17">
        <f>CHOOSE(CONTROL!$C$42, 26.4345, 26.4345) * CHOOSE(CONTROL!$C$21, $C$9, 100%, $E$9)</f>
        <v>26.4345</v>
      </c>
      <c r="E496" s="17">
        <f>CHOOSE(CONTROL!$C$42, 26.4666, 26.4666) * CHOOSE(CONTROL!$C$21, $C$9, 100%, $E$9)</f>
        <v>26.4666</v>
      </c>
      <c r="F496" s="17">
        <f>CHOOSE(CONTROL!$C$42, 26.1751, 26.1751)*CHOOSE(CONTROL!$C$21, $C$9, 100%, $E$9)</f>
        <v>26.1751</v>
      </c>
      <c r="G496" s="17">
        <f>CHOOSE(CONTROL!$C$42, 26.1915, 26.1915)*CHOOSE(CONTROL!$C$21, $C$9, 100%, $E$9)</f>
        <v>26.191500000000001</v>
      </c>
      <c r="H496" s="17">
        <f>CHOOSE(CONTROL!$C$42, 26.4564, 26.4564) * CHOOSE(CONTROL!$C$21, $C$9, 100%, $E$9)</f>
        <v>26.456399999999999</v>
      </c>
      <c r="I496" s="17">
        <f>CHOOSE(CONTROL!$C$42, 26.259, 26.259)* CHOOSE(CONTROL!$C$21, $C$9, 100%, $E$9)</f>
        <v>26.259</v>
      </c>
      <c r="J496" s="17">
        <f>CHOOSE(CONTROL!$C$42, 26.1681, 26.1681)* CHOOSE(CONTROL!$C$21, $C$9, 100%, $E$9)</f>
        <v>26.168099999999999</v>
      </c>
      <c r="K496" s="52">
        <f>CHOOSE(CONTROL!$C$42, 26.2548, 26.2548) * CHOOSE(CONTROL!$C$21, $C$9, 100%, $E$9)</f>
        <v>26.254799999999999</v>
      </c>
      <c r="L496" s="17">
        <f>CHOOSE(CONTROL!$C$42, 27.0434, 27.0434) * CHOOSE(CONTROL!$C$21, $C$9, 100%, $E$9)</f>
        <v>27.043399999999998</v>
      </c>
      <c r="M496" s="17">
        <f>CHOOSE(CONTROL!$C$42, 25.7052, 25.7052) * CHOOSE(CONTROL!$C$21, $C$9, 100%, $E$9)</f>
        <v>25.705200000000001</v>
      </c>
      <c r="N496" s="17">
        <f>CHOOSE(CONTROL!$C$42, 25.7212, 25.7212) * CHOOSE(CONTROL!$C$21, $C$9, 100%, $E$9)</f>
        <v>25.7212</v>
      </c>
      <c r="O496" s="17">
        <f>CHOOSE(CONTROL!$C$42, 25.9882, 25.9882) * CHOOSE(CONTROL!$C$21, $C$9, 100%, $E$9)</f>
        <v>25.988199999999999</v>
      </c>
      <c r="P496" s="17">
        <f>CHOOSE(CONTROL!$C$42, 25.793, 25.793) * CHOOSE(CONTROL!$C$21, $C$9, 100%, $E$9)</f>
        <v>25.792999999999999</v>
      </c>
      <c r="Q496" s="17">
        <f>CHOOSE(CONTROL!$C$42, 26.5829, 26.5829) * CHOOSE(CONTROL!$C$21, $C$9, 100%, $E$9)</f>
        <v>26.582899999999999</v>
      </c>
      <c r="R496" s="17">
        <f>CHOOSE(CONTROL!$C$42, 27.2364, 27.2364) * CHOOSE(CONTROL!$C$21, $C$9, 100%, $E$9)</f>
        <v>27.2364</v>
      </c>
      <c r="S496" s="17">
        <f>CHOOSE(CONTROL!$C$42, 25.1238, 25.1238) * CHOOSE(CONTROL!$C$21, $C$9, 100%, $E$9)</f>
        <v>25.123799999999999</v>
      </c>
      <c r="T49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96" s="56">
        <f>(1000*CHOOSE(CONTROL!$C$42, 695, 695)*CHOOSE(CONTROL!$C$42, 0.5599, 0.5599)*CHOOSE(CONTROL!$C$42, 30, 30))/1000000</f>
        <v>11.673914999999997</v>
      </c>
      <c r="V496" s="56">
        <f>(1000*CHOOSE(CONTROL!$C$42, 500, 500)*CHOOSE(CONTROL!$C$42, 0.275, 0.275)*CHOOSE(CONTROL!$C$42, 30, 30))/1000000</f>
        <v>4.125</v>
      </c>
      <c r="W496" s="56">
        <f>(1000*CHOOSE(CONTROL!$C$42, 0.1146, 0.1146)*CHOOSE(CONTROL!$C$42, 121.5, 121.5)*CHOOSE(CONTROL!$C$42, 30, 30))/1000000</f>
        <v>0.417717</v>
      </c>
      <c r="X496" s="56">
        <f>(30*0.1790888*145000/1000000)+(30*0.2374*100000/1000000)</f>
        <v>1.4912362799999999</v>
      </c>
      <c r="Y496" s="56"/>
      <c r="Z496" s="17"/>
      <c r="AA496" s="55"/>
      <c r="AB496" s="48">
        <f>(B496*141.293+C496*267.993+D496*115.016+E496*189.698+F496*40+G496*85+H496*0+I496*100+J496*300)/(141.293+267.993+115.016+189.698+0+40+85+100+300)</f>
        <v>26.244609980710251</v>
      </c>
      <c r="AC496" s="45">
        <f>(M496*'RAP TEMPLATE-GAS AVAILABILITY'!O495+N496*'RAP TEMPLATE-GAS AVAILABILITY'!P495+O496*'RAP TEMPLATE-GAS AVAILABILITY'!Q495+P496*'RAP TEMPLATE-GAS AVAILABILITY'!R495)/('RAP TEMPLATE-GAS AVAILABILITY'!O495+'RAP TEMPLATE-GAS AVAILABILITY'!P495+'RAP TEMPLATE-GAS AVAILABILITY'!Q495+'RAP TEMPLATE-GAS AVAILABILITY'!R495)</f>
        <v>25.800919424460432</v>
      </c>
    </row>
    <row r="497" spans="1:29" ht="15.75" x14ac:dyDescent="0.25">
      <c r="A497" s="14">
        <v>56035</v>
      </c>
      <c r="B497" s="17">
        <f>CHOOSE(CONTROL!$C$42, 26.388, 26.388) * CHOOSE(CONTROL!$C$21, $C$9, 100%, $E$9)</f>
        <v>26.388000000000002</v>
      </c>
      <c r="C497" s="17">
        <f>CHOOSE(CONTROL!$C$42, 26.396, 26.396) * CHOOSE(CONTROL!$C$21, $C$9, 100%, $E$9)</f>
        <v>26.396000000000001</v>
      </c>
      <c r="D497" s="17">
        <f>CHOOSE(CONTROL!$C$42, 26.6671, 26.6671) * CHOOSE(CONTROL!$C$21, $C$9, 100%, $E$9)</f>
        <v>26.667100000000001</v>
      </c>
      <c r="E497" s="17">
        <f>CHOOSE(CONTROL!$C$42, 26.6985, 26.6985) * CHOOSE(CONTROL!$C$21, $C$9, 100%, $E$9)</f>
        <v>26.698499999999999</v>
      </c>
      <c r="F497" s="17">
        <f>CHOOSE(CONTROL!$C$42, 26.4061, 26.4061)*CHOOSE(CONTROL!$C$21, $C$9, 100%, $E$9)</f>
        <v>26.406099999999999</v>
      </c>
      <c r="G497" s="17">
        <f>CHOOSE(CONTROL!$C$42, 26.4228, 26.4228)*CHOOSE(CONTROL!$C$21, $C$9, 100%, $E$9)</f>
        <v>26.422799999999999</v>
      </c>
      <c r="H497" s="17">
        <f>CHOOSE(CONTROL!$C$42, 26.6872, 26.6872) * CHOOSE(CONTROL!$C$21, $C$9, 100%, $E$9)</f>
        <v>26.687200000000001</v>
      </c>
      <c r="I497" s="17">
        <f>CHOOSE(CONTROL!$C$42, 26.4905, 26.4905)* CHOOSE(CONTROL!$C$21, $C$9, 100%, $E$9)</f>
        <v>26.490500000000001</v>
      </c>
      <c r="J497" s="17">
        <f>CHOOSE(CONTROL!$C$42, 26.3991, 26.3991)* CHOOSE(CONTROL!$C$21, $C$9, 100%, $E$9)</f>
        <v>26.399100000000001</v>
      </c>
      <c r="K497" s="52">
        <f>CHOOSE(CONTROL!$C$42, 26.4863, 26.4863) * CHOOSE(CONTROL!$C$21, $C$9, 100%, $E$9)</f>
        <v>26.4863</v>
      </c>
      <c r="L497" s="17">
        <f>CHOOSE(CONTROL!$C$42, 27.2742, 27.2742) * CHOOSE(CONTROL!$C$21, $C$9, 100%, $E$9)</f>
        <v>27.2742</v>
      </c>
      <c r="M497" s="17">
        <f>CHOOSE(CONTROL!$C$42, 25.932, 25.932) * CHOOSE(CONTROL!$C$21, $C$9, 100%, $E$9)</f>
        <v>25.931999999999999</v>
      </c>
      <c r="N497" s="17">
        <f>CHOOSE(CONTROL!$C$42, 25.9483, 25.9483) * CHOOSE(CONTROL!$C$21, $C$9, 100%, $E$9)</f>
        <v>25.9483</v>
      </c>
      <c r="O497" s="17">
        <f>CHOOSE(CONTROL!$C$42, 26.2148, 26.2148) * CHOOSE(CONTROL!$C$21, $C$9, 100%, $E$9)</f>
        <v>26.2148</v>
      </c>
      <c r="P497" s="17">
        <f>CHOOSE(CONTROL!$C$42, 26.0203, 26.0203) * CHOOSE(CONTROL!$C$21, $C$9, 100%, $E$9)</f>
        <v>26.020299999999999</v>
      </c>
      <c r="Q497" s="17">
        <f>CHOOSE(CONTROL!$C$42, 26.8095, 26.8095) * CHOOSE(CONTROL!$C$21, $C$9, 100%, $E$9)</f>
        <v>26.8095</v>
      </c>
      <c r="R497" s="17">
        <f>CHOOSE(CONTROL!$C$42, 27.4636, 27.4636) * CHOOSE(CONTROL!$C$21, $C$9, 100%, $E$9)</f>
        <v>27.4636</v>
      </c>
      <c r="S497" s="17">
        <f>CHOOSE(CONTROL!$C$42, 25.3456, 25.3456) * CHOOSE(CONTROL!$C$21, $C$9, 100%, $E$9)</f>
        <v>25.345600000000001</v>
      </c>
      <c r="T49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97" s="56">
        <f>(1000*CHOOSE(CONTROL!$C$42, 695, 695)*CHOOSE(CONTROL!$C$42, 0.5599, 0.5599)*CHOOSE(CONTROL!$C$42, 31, 31))/1000000</f>
        <v>12.063045499999998</v>
      </c>
      <c r="V497" s="56">
        <f>(1000*CHOOSE(CONTROL!$C$42, 500, 500)*CHOOSE(CONTROL!$C$42, 0.275, 0.275)*CHOOSE(CONTROL!$C$42, 31, 31))/1000000</f>
        <v>4.2625000000000002</v>
      </c>
      <c r="W497" s="56">
        <f>(1000*CHOOSE(CONTROL!$C$42, 0.1146, 0.1146)*CHOOSE(CONTROL!$C$42, 121.5, 121.5)*CHOOSE(CONTROL!$C$42, 31, 31))/1000000</f>
        <v>0.43164089999999994</v>
      </c>
      <c r="X497" s="56">
        <f>(31*0.1790888*145000/1000000)+(31*0.2374*100000/1000000)</f>
        <v>1.5409441560000001</v>
      </c>
      <c r="Y497" s="56"/>
      <c r="Z497" s="17"/>
      <c r="AA497" s="55"/>
      <c r="AB497" s="48">
        <f>(B497*194.205+C497*267.466+D497*133.845+E497*153.484+F497*40+G497*85+H497*0+I497*100+J497*300)/(194.205+267.466+133.845+153.484+0+40+85+100+300)</f>
        <v>26.469958123626373</v>
      </c>
      <c r="AC497" s="45">
        <f>(M497*'RAP TEMPLATE-GAS AVAILABILITY'!O496+N497*'RAP TEMPLATE-GAS AVAILABILITY'!P496+O497*'RAP TEMPLATE-GAS AVAILABILITY'!Q496+P497*'RAP TEMPLATE-GAS AVAILABILITY'!R496)/('RAP TEMPLATE-GAS AVAILABILITY'!O496+'RAP TEMPLATE-GAS AVAILABILITY'!P496+'RAP TEMPLATE-GAS AVAILABILITY'!Q496+'RAP TEMPLATE-GAS AVAILABILITY'!R496)</f>
        <v>26.027804316546764</v>
      </c>
    </row>
    <row r="498" spans="1:29" ht="15.75" x14ac:dyDescent="0.25">
      <c r="A498" s="14">
        <v>56065</v>
      </c>
      <c r="B498" s="17">
        <f>CHOOSE(CONTROL!$C$42, 27.1362, 27.1362) * CHOOSE(CONTROL!$C$21, $C$9, 100%, $E$9)</f>
        <v>27.136199999999999</v>
      </c>
      <c r="C498" s="17">
        <f>CHOOSE(CONTROL!$C$42, 27.1442, 27.1442) * CHOOSE(CONTROL!$C$21, $C$9, 100%, $E$9)</f>
        <v>27.144200000000001</v>
      </c>
      <c r="D498" s="17">
        <f>CHOOSE(CONTROL!$C$42, 27.4153, 27.4153) * CHOOSE(CONTROL!$C$21, $C$9, 100%, $E$9)</f>
        <v>27.415299999999998</v>
      </c>
      <c r="E498" s="17">
        <f>CHOOSE(CONTROL!$C$42, 27.4467, 27.4467) * CHOOSE(CONTROL!$C$21, $C$9, 100%, $E$9)</f>
        <v>27.4467</v>
      </c>
      <c r="F498" s="17">
        <f>CHOOSE(CONTROL!$C$42, 27.1546, 27.1546)*CHOOSE(CONTROL!$C$21, $C$9, 100%, $E$9)</f>
        <v>27.154599999999999</v>
      </c>
      <c r="G498" s="17">
        <f>CHOOSE(CONTROL!$C$42, 27.1713, 27.1713)*CHOOSE(CONTROL!$C$21, $C$9, 100%, $E$9)</f>
        <v>27.171299999999999</v>
      </c>
      <c r="H498" s="17">
        <f>CHOOSE(CONTROL!$C$42, 27.4354, 27.4354) * CHOOSE(CONTROL!$C$21, $C$9, 100%, $E$9)</f>
        <v>27.435400000000001</v>
      </c>
      <c r="I498" s="17">
        <f>CHOOSE(CONTROL!$C$42, 27.241, 27.241)* CHOOSE(CONTROL!$C$21, $C$9, 100%, $E$9)</f>
        <v>27.241</v>
      </c>
      <c r="J498" s="17">
        <f>CHOOSE(CONTROL!$C$42, 27.1476, 27.1476)* CHOOSE(CONTROL!$C$21, $C$9, 100%, $E$9)</f>
        <v>27.147600000000001</v>
      </c>
      <c r="K498" s="52">
        <f>CHOOSE(CONTROL!$C$42, 27.2368, 27.2368) * CHOOSE(CONTROL!$C$21, $C$9, 100%, $E$9)</f>
        <v>27.236799999999999</v>
      </c>
      <c r="L498" s="17">
        <f>CHOOSE(CONTROL!$C$42, 28.0224, 28.0224) * CHOOSE(CONTROL!$C$21, $C$9, 100%, $E$9)</f>
        <v>28.022400000000001</v>
      </c>
      <c r="M498" s="17">
        <f>CHOOSE(CONTROL!$C$42, 26.667, 26.667) * CHOOSE(CONTROL!$C$21, $C$9, 100%, $E$9)</f>
        <v>26.667000000000002</v>
      </c>
      <c r="N498" s="17">
        <f>CHOOSE(CONTROL!$C$42, 26.6834, 26.6834) * CHOOSE(CONTROL!$C$21, $C$9, 100%, $E$9)</f>
        <v>26.683399999999999</v>
      </c>
      <c r="O498" s="17">
        <f>CHOOSE(CONTROL!$C$42, 26.9496, 26.9496) * CHOOSE(CONTROL!$C$21, $C$9, 100%, $E$9)</f>
        <v>26.9496</v>
      </c>
      <c r="P498" s="17">
        <f>CHOOSE(CONTROL!$C$42, 26.7573, 26.7573) * CHOOSE(CONTROL!$C$21, $C$9, 100%, $E$9)</f>
        <v>26.757300000000001</v>
      </c>
      <c r="Q498" s="17">
        <f>CHOOSE(CONTROL!$C$42, 27.5443, 27.5443) * CHOOSE(CONTROL!$C$21, $C$9, 100%, $E$9)</f>
        <v>27.5443</v>
      </c>
      <c r="R498" s="17">
        <f>CHOOSE(CONTROL!$C$42, 28.2001, 28.2001) * CHOOSE(CONTROL!$C$21, $C$9, 100%, $E$9)</f>
        <v>28.200099999999999</v>
      </c>
      <c r="S498" s="17">
        <f>CHOOSE(CONTROL!$C$42, 26.0645, 26.0645) * CHOOSE(CONTROL!$C$21, $C$9, 100%, $E$9)</f>
        <v>26.064499999999999</v>
      </c>
      <c r="T49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98" s="56">
        <f>(1000*CHOOSE(CONTROL!$C$42, 695, 695)*CHOOSE(CONTROL!$C$42, 0.5599, 0.5599)*CHOOSE(CONTROL!$C$42, 30, 30))/1000000</f>
        <v>11.673914999999997</v>
      </c>
      <c r="V498" s="56">
        <f>(1000*CHOOSE(CONTROL!$C$42, 500, 500)*CHOOSE(CONTROL!$C$42, 0.275, 0.275)*CHOOSE(CONTROL!$C$42, 30, 30))/1000000</f>
        <v>4.125</v>
      </c>
      <c r="W498" s="56">
        <f>(1000*CHOOSE(CONTROL!$C$42, 0.1146, 0.1146)*CHOOSE(CONTROL!$C$42, 121.5, 121.5)*CHOOSE(CONTROL!$C$42, 30, 30))/1000000</f>
        <v>0.417717</v>
      </c>
      <c r="X498" s="56">
        <f>(30*0.1790888*145000/1000000)+(30*0.2374*100000/1000000)</f>
        <v>1.4912362799999999</v>
      </c>
      <c r="Y498" s="56"/>
      <c r="Z498" s="17"/>
      <c r="AA498" s="55"/>
      <c r="AB498" s="48">
        <f>(B498*194.205+C498*267.466+D498*133.845+E498*153.484+F498*40+G498*85+H498*0+I498*100+J498*300)/(194.205+267.466+133.845+153.484+0+40+85+100+300)</f>
        <v>27.21843873587127</v>
      </c>
      <c r="AC498" s="45">
        <f>(M498*'RAP TEMPLATE-GAS AVAILABILITY'!O497+N498*'RAP TEMPLATE-GAS AVAILABILITY'!P497+O498*'RAP TEMPLATE-GAS AVAILABILITY'!Q497+P498*'RAP TEMPLATE-GAS AVAILABILITY'!R497)/('RAP TEMPLATE-GAS AVAILABILITY'!O497+'RAP TEMPLATE-GAS AVAILABILITY'!P497+'RAP TEMPLATE-GAS AVAILABILITY'!Q497+'RAP TEMPLATE-GAS AVAILABILITY'!R497)</f>
        <v>26.763058992805757</v>
      </c>
    </row>
    <row r="499" spans="1:29" ht="15.75" x14ac:dyDescent="0.25">
      <c r="A499" s="14">
        <v>56096</v>
      </c>
      <c r="B499" s="17">
        <f>CHOOSE(CONTROL!$C$42, 26.6158, 26.6158) * CHOOSE(CONTROL!$C$21, $C$9, 100%, $E$9)</f>
        <v>26.6158</v>
      </c>
      <c r="C499" s="17">
        <f>CHOOSE(CONTROL!$C$42, 26.6238, 26.6238) * CHOOSE(CONTROL!$C$21, $C$9, 100%, $E$9)</f>
        <v>26.623799999999999</v>
      </c>
      <c r="D499" s="17">
        <f>CHOOSE(CONTROL!$C$42, 26.8949, 26.8949) * CHOOSE(CONTROL!$C$21, $C$9, 100%, $E$9)</f>
        <v>26.8949</v>
      </c>
      <c r="E499" s="17">
        <f>CHOOSE(CONTROL!$C$42, 26.9264, 26.9264) * CHOOSE(CONTROL!$C$21, $C$9, 100%, $E$9)</f>
        <v>26.926400000000001</v>
      </c>
      <c r="F499" s="17">
        <f>CHOOSE(CONTROL!$C$42, 26.6347, 26.6347)*CHOOSE(CONTROL!$C$21, $C$9, 100%, $E$9)</f>
        <v>26.634699999999999</v>
      </c>
      <c r="G499" s="17">
        <f>CHOOSE(CONTROL!$C$42, 26.6515, 26.6515)*CHOOSE(CONTROL!$C$21, $C$9, 100%, $E$9)</f>
        <v>26.651499999999999</v>
      </c>
      <c r="H499" s="17">
        <f>CHOOSE(CONTROL!$C$42, 26.915, 26.915) * CHOOSE(CONTROL!$C$21, $C$9, 100%, $E$9)</f>
        <v>26.914999999999999</v>
      </c>
      <c r="I499" s="17">
        <f>CHOOSE(CONTROL!$C$42, 26.719, 26.719)* CHOOSE(CONTROL!$C$21, $C$9, 100%, $E$9)</f>
        <v>26.719000000000001</v>
      </c>
      <c r="J499" s="17">
        <f>CHOOSE(CONTROL!$C$42, 26.6277, 26.6277)* CHOOSE(CONTROL!$C$21, $C$9, 100%, $E$9)</f>
        <v>26.627700000000001</v>
      </c>
      <c r="K499" s="52">
        <f>CHOOSE(CONTROL!$C$42, 26.7148, 26.7148) * CHOOSE(CONTROL!$C$21, $C$9, 100%, $E$9)</f>
        <v>26.7148</v>
      </c>
      <c r="L499" s="17">
        <f>CHOOSE(CONTROL!$C$42, 27.502, 27.502) * CHOOSE(CONTROL!$C$21, $C$9, 100%, $E$9)</f>
        <v>27.501999999999999</v>
      </c>
      <c r="M499" s="17">
        <f>CHOOSE(CONTROL!$C$42, 26.1564, 26.1564) * CHOOSE(CONTROL!$C$21, $C$9, 100%, $E$9)</f>
        <v>26.156400000000001</v>
      </c>
      <c r="N499" s="17">
        <f>CHOOSE(CONTROL!$C$42, 26.1729, 26.1729) * CHOOSE(CONTROL!$C$21, $C$9, 100%, $E$9)</f>
        <v>26.172899999999998</v>
      </c>
      <c r="O499" s="17">
        <f>CHOOSE(CONTROL!$C$42, 26.4386, 26.4386) * CHOOSE(CONTROL!$C$21, $C$9, 100%, $E$9)</f>
        <v>26.438600000000001</v>
      </c>
      <c r="P499" s="17">
        <f>CHOOSE(CONTROL!$C$42, 26.2447, 26.2447) * CHOOSE(CONTROL!$C$21, $C$9, 100%, $E$9)</f>
        <v>26.244700000000002</v>
      </c>
      <c r="Q499" s="17">
        <f>CHOOSE(CONTROL!$C$42, 27.0333, 27.0333) * CHOOSE(CONTROL!$C$21, $C$9, 100%, $E$9)</f>
        <v>27.033300000000001</v>
      </c>
      <c r="R499" s="17">
        <f>CHOOSE(CONTROL!$C$42, 27.6879, 27.6879) * CHOOSE(CONTROL!$C$21, $C$9, 100%, $E$9)</f>
        <v>27.687899999999999</v>
      </c>
      <c r="S499" s="17">
        <f>CHOOSE(CONTROL!$C$42, 25.5645, 25.5645) * CHOOSE(CONTROL!$C$21, $C$9, 100%, $E$9)</f>
        <v>25.564499999999999</v>
      </c>
      <c r="T49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99" s="56">
        <f>(1000*CHOOSE(CONTROL!$C$42, 695, 695)*CHOOSE(CONTROL!$C$42, 0.5599, 0.5599)*CHOOSE(CONTROL!$C$42, 31, 31))/1000000</f>
        <v>12.063045499999998</v>
      </c>
      <c r="V499" s="56">
        <f>(1000*CHOOSE(CONTROL!$C$42, 500, 500)*CHOOSE(CONTROL!$C$42, 0.275, 0.275)*CHOOSE(CONTROL!$C$42, 31, 31))/1000000</f>
        <v>4.2625000000000002</v>
      </c>
      <c r="W499" s="56">
        <f>(1000*CHOOSE(CONTROL!$C$42, 0.1146, 0.1146)*CHOOSE(CONTROL!$C$42, 121.5, 121.5)*CHOOSE(CONTROL!$C$42, 31, 31))/1000000</f>
        <v>0.43164089999999994</v>
      </c>
      <c r="X499" s="56">
        <f>(31*0.1790888*145000/1000000)+(31*0.2374*100000/1000000)</f>
        <v>1.5409441560000001</v>
      </c>
      <c r="Y499" s="56"/>
      <c r="Z499" s="17"/>
      <c r="AA499" s="55"/>
      <c r="AB499" s="48">
        <f>(B499*194.205+C499*267.466+D499*133.845+E499*153.484+F499*40+G499*85+H499*0+I499*100+J499*300)/(194.205+267.466+133.845+153.484+0+40+85+100+300)</f>
        <v>26.698098663971738</v>
      </c>
      <c r="AC499" s="45">
        <f>(M499*'RAP TEMPLATE-GAS AVAILABILITY'!O498+N499*'RAP TEMPLATE-GAS AVAILABILITY'!P498+O499*'RAP TEMPLATE-GAS AVAILABILITY'!Q498+P499*'RAP TEMPLATE-GAS AVAILABILITY'!R498)/('RAP TEMPLATE-GAS AVAILABILITY'!O498+'RAP TEMPLATE-GAS AVAILABILITY'!P498+'RAP TEMPLATE-GAS AVAILABILITY'!Q498+'RAP TEMPLATE-GAS AVAILABILITY'!R498)</f>
        <v>26.252082014388488</v>
      </c>
    </row>
    <row r="500" spans="1:29" ht="15.75" x14ac:dyDescent="0.25">
      <c r="A500" s="14">
        <v>56127</v>
      </c>
      <c r="B500" s="17">
        <f>CHOOSE(CONTROL!$C$42, 25.3017, 25.3017) * CHOOSE(CONTROL!$C$21, $C$9, 100%, $E$9)</f>
        <v>25.3017</v>
      </c>
      <c r="C500" s="17">
        <f>CHOOSE(CONTROL!$C$42, 25.3097, 25.3097) * CHOOSE(CONTROL!$C$21, $C$9, 100%, $E$9)</f>
        <v>25.309699999999999</v>
      </c>
      <c r="D500" s="17">
        <f>CHOOSE(CONTROL!$C$42, 25.5808, 25.5808) * CHOOSE(CONTROL!$C$21, $C$9, 100%, $E$9)</f>
        <v>25.5808</v>
      </c>
      <c r="E500" s="17">
        <f>CHOOSE(CONTROL!$C$42, 25.6123, 25.6123) * CHOOSE(CONTROL!$C$21, $C$9, 100%, $E$9)</f>
        <v>25.612300000000001</v>
      </c>
      <c r="F500" s="17">
        <f>CHOOSE(CONTROL!$C$42, 25.3208, 25.3208)*CHOOSE(CONTROL!$C$21, $C$9, 100%, $E$9)</f>
        <v>25.320799999999998</v>
      </c>
      <c r="G500" s="17">
        <f>CHOOSE(CONTROL!$C$42, 25.3377, 25.3377)*CHOOSE(CONTROL!$C$21, $C$9, 100%, $E$9)</f>
        <v>25.337700000000002</v>
      </c>
      <c r="H500" s="17">
        <f>CHOOSE(CONTROL!$C$42, 25.6009, 25.6009) * CHOOSE(CONTROL!$C$21, $C$9, 100%, $E$9)</f>
        <v>25.600899999999999</v>
      </c>
      <c r="I500" s="17">
        <f>CHOOSE(CONTROL!$C$42, 25.4008, 25.4008)* CHOOSE(CONTROL!$C$21, $C$9, 100%, $E$9)</f>
        <v>25.4008</v>
      </c>
      <c r="J500" s="17">
        <f>CHOOSE(CONTROL!$C$42, 25.3138, 25.3138)* CHOOSE(CONTROL!$C$21, $C$9, 100%, $E$9)</f>
        <v>25.313800000000001</v>
      </c>
      <c r="K500" s="52">
        <f>CHOOSE(CONTROL!$C$42, 25.3966, 25.3966) * CHOOSE(CONTROL!$C$21, $C$9, 100%, $E$9)</f>
        <v>25.396599999999999</v>
      </c>
      <c r="L500" s="17">
        <f>CHOOSE(CONTROL!$C$42, 26.1879, 26.1879) * CHOOSE(CONTROL!$C$21, $C$9, 100%, $E$9)</f>
        <v>26.187899999999999</v>
      </c>
      <c r="M500" s="17">
        <f>CHOOSE(CONTROL!$C$42, 24.8662, 24.8662) * CHOOSE(CONTROL!$C$21, $C$9, 100%, $E$9)</f>
        <v>24.866199999999999</v>
      </c>
      <c r="N500" s="17">
        <f>CHOOSE(CONTROL!$C$42, 24.8828, 24.8828) * CHOOSE(CONTROL!$C$21, $C$9, 100%, $E$9)</f>
        <v>24.8828</v>
      </c>
      <c r="O500" s="17">
        <f>CHOOSE(CONTROL!$C$42, 25.1481, 25.1481) * CHOOSE(CONTROL!$C$21, $C$9, 100%, $E$9)</f>
        <v>25.148099999999999</v>
      </c>
      <c r="P500" s="17">
        <f>CHOOSE(CONTROL!$C$42, 24.9503, 24.9503) * CHOOSE(CONTROL!$C$21, $C$9, 100%, $E$9)</f>
        <v>24.950299999999999</v>
      </c>
      <c r="Q500" s="17">
        <f>CHOOSE(CONTROL!$C$42, 25.7428, 25.7428) * CHOOSE(CONTROL!$C$21, $C$9, 100%, $E$9)</f>
        <v>25.742799999999999</v>
      </c>
      <c r="R500" s="17">
        <f>CHOOSE(CONTROL!$C$42, 26.3942, 26.3942) * CHOOSE(CONTROL!$C$21, $C$9, 100%, $E$9)</f>
        <v>26.394200000000001</v>
      </c>
      <c r="S500" s="17">
        <f>CHOOSE(CONTROL!$C$42, 24.3018, 24.3018) * CHOOSE(CONTROL!$C$21, $C$9, 100%, $E$9)</f>
        <v>24.3018</v>
      </c>
      <c r="T50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00" s="56">
        <f>(1000*CHOOSE(CONTROL!$C$42, 695, 695)*CHOOSE(CONTROL!$C$42, 0.5599, 0.5599)*CHOOSE(CONTROL!$C$42, 31, 31))/1000000</f>
        <v>12.063045499999998</v>
      </c>
      <c r="V500" s="56">
        <f>(1000*CHOOSE(CONTROL!$C$42, 500, 500)*CHOOSE(CONTROL!$C$42, 0.275, 0.275)*CHOOSE(CONTROL!$C$42, 31, 31))/1000000</f>
        <v>4.2625000000000002</v>
      </c>
      <c r="W500" s="56">
        <f>(1000*CHOOSE(CONTROL!$C$42, 0.1146, 0.1146)*CHOOSE(CONTROL!$C$42, 121.5, 121.5)*CHOOSE(CONTROL!$C$42, 31, 31))/1000000</f>
        <v>0.43164089999999994</v>
      </c>
      <c r="X500" s="56">
        <f>(31*0.1790888*145000/1000000)+(31*0.2374*100000/1000000)</f>
        <v>1.5409441560000001</v>
      </c>
      <c r="Y500" s="56"/>
      <c r="Z500" s="17"/>
      <c r="AA500" s="55"/>
      <c r="AB500" s="48">
        <f>(B500*194.205+C500*267.466+D500*133.845+E500*153.484+F500*40+G500*85+H500*0+I500*100+J500*300)/(194.205+267.466+133.845+153.484+0+40+85+100+300)</f>
        <v>25.383750233830455</v>
      </c>
      <c r="AC500" s="45">
        <f>(M500*'RAP TEMPLATE-GAS AVAILABILITY'!O499+N500*'RAP TEMPLATE-GAS AVAILABILITY'!P499+O500*'RAP TEMPLATE-GAS AVAILABILITY'!Q499+P500*'RAP TEMPLATE-GAS AVAILABILITY'!R499)/('RAP TEMPLATE-GAS AVAILABILITY'!O499+'RAP TEMPLATE-GAS AVAILABILITY'!P499+'RAP TEMPLATE-GAS AVAILABILITY'!Q499+'RAP TEMPLATE-GAS AVAILABILITY'!R499)</f>
        <v>24.961216546762589</v>
      </c>
    </row>
    <row r="501" spans="1:29" ht="15.75" x14ac:dyDescent="0.25">
      <c r="A501" s="14">
        <v>56157</v>
      </c>
      <c r="B501" s="17">
        <f>CHOOSE(CONTROL!$C$42, 23.6959, 23.6959) * CHOOSE(CONTROL!$C$21, $C$9, 100%, $E$9)</f>
        <v>23.695900000000002</v>
      </c>
      <c r="C501" s="17">
        <f>CHOOSE(CONTROL!$C$42, 23.7039, 23.7039) * CHOOSE(CONTROL!$C$21, $C$9, 100%, $E$9)</f>
        <v>23.703900000000001</v>
      </c>
      <c r="D501" s="17">
        <f>CHOOSE(CONTROL!$C$42, 23.975, 23.975) * CHOOSE(CONTROL!$C$21, $C$9, 100%, $E$9)</f>
        <v>23.975000000000001</v>
      </c>
      <c r="E501" s="17">
        <f>CHOOSE(CONTROL!$C$42, 24.0064, 24.0064) * CHOOSE(CONTROL!$C$21, $C$9, 100%, $E$9)</f>
        <v>24.006399999999999</v>
      </c>
      <c r="F501" s="17">
        <f>CHOOSE(CONTROL!$C$42, 23.7151, 23.7151)*CHOOSE(CONTROL!$C$21, $C$9, 100%, $E$9)</f>
        <v>23.7151</v>
      </c>
      <c r="G501" s="17">
        <f>CHOOSE(CONTROL!$C$42, 23.732, 23.732)*CHOOSE(CONTROL!$C$21, $C$9, 100%, $E$9)</f>
        <v>23.731999999999999</v>
      </c>
      <c r="H501" s="17">
        <f>CHOOSE(CONTROL!$C$42, 23.9951, 23.9951) * CHOOSE(CONTROL!$C$21, $C$9, 100%, $E$9)</f>
        <v>23.995100000000001</v>
      </c>
      <c r="I501" s="17">
        <f>CHOOSE(CONTROL!$C$42, 23.79, 23.79)* CHOOSE(CONTROL!$C$21, $C$9, 100%, $E$9)</f>
        <v>23.79</v>
      </c>
      <c r="J501" s="17">
        <f>CHOOSE(CONTROL!$C$42, 23.7081, 23.7081)* CHOOSE(CONTROL!$C$21, $C$9, 100%, $E$9)</f>
        <v>23.708100000000002</v>
      </c>
      <c r="K501" s="52">
        <f>CHOOSE(CONTROL!$C$42, 23.7857, 23.7857) * CHOOSE(CONTROL!$C$21, $C$9, 100%, $E$9)</f>
        <v>23.785699999999999</v>
      </c>
      <c r="L501" s="17">
        <f>CHOOSE(CONTROL!$C$42, 24.5821, 24.5821) * CHOOSE(CONTROL!$C$21, $C$9, 100%, $E$9)</f>
        <v>24.582100000000001</v>
      </c>
      <c r="M501" s="17">
        <f>CHOOSE(CONTROL!$C$42, 23.2893, 23.2893) * CHOOSE(CONTROL!$C$21, $C$9, 100%, $E$9)</f>
        <v>23.289300000000001</v>
      </c>
      <c r="N501" s="17">
        <f>CHOOSE(CONTROL!$C$42, 23.3059, 23.3059) * CHOOSE(CONTROL!$C$21, $C$9, 100%, $E$9)</f>
        <v>23.305900000000001</v>
      </c>
      <c r="O501" s="17">
        <f>CHOOSE(CONTROL!$C$42, 23.5712, 23.5712) * CHOOSE(CONTROL!$C$21, $C$9, 100%, $E$9)</f>
        <v>23.571200000000001</v>
      </c>
      <c r="P501" s="17">
        <f>CHOOSE(CONTROL!$C$42, 23.3685, 23.3685) * CHOOSE(CONTROL!$C$21, $C$9, 100%, $E$9)</f>
        <v>23.368500000000001</v>
      </c>
      <c r="Q501" s="17">
        <f>CHOOSE(CONTROL!$C$42, 24.1659, 24.1659) * CHOOSE(CONTROL!$C$21, $C$9, 100%, $E$9)</f>
        <v>24.165900000000001</v>
      </c>
      <c r="R501" s="17">
        <f>CHOOSE(CONTROL!$C$42, 24.8133, 24.8133) * CHOOSE(CONTROL!$C$21, $C$9, 100%, $E$9)</f>
        <v>24.813300000000002</v>
      </c>
      <c r="S501" s="17">
        <f>CHOOSE(CONTROL!$C$42, 22.7587, 22.7587) * CHOOSE(CONTROL!$C$21, $C$9, 100%, $E$9)</f>
        <v>22.758700000000001</v>
      </c>
      <c r="T50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01" s="56">
        <f>(1000*CHOOSE(CONTROL!$C$42, 695, 695)*CHOOSE(CONTROL!$C$42, 0.5599, 0.5599)*CHOOSE(CONTROL!$C$42, 30, 30))/1000000</f>
        <v>11.673914999999997</v>
      </c>
      <c r="V501" s="56">
        <f>(1000*CHOOSE(CONTROL!$C$42, 500, 500)*CHOOSE(CONTROL!$C$42, 0.275, 0.275)*CHOOSE(CONTROL!$C$42, 30, 30))/1000000</f>
        <v>4.125</v>
      </c>
      <c r="W501" s="56">
        <f>(1000*CHOOSE(CONTROL!$C$42, 0.1146, 0.1146)*CHOOSE(CONTROL!$C$42, 121.5, 121.5)*CHOOSE(CONTROL!$C$42, 30, 30))/1000000</f>
        <v>0.417717</v>
      </c>
      <c r="X501" s="56">
        <f>(30*0.1790888*145000/1000000)+(30*0.2374*100000/1000000)</f>
        <v>1.4912362799999999</v>
      </c>
      <c r="Y501" s="56"/>
      <c r="Z501" s="17"/>
      <c r="AA501" s="55"/>
      <c r="AB501" s="48">
        <f>(B501*194.205+C501*267.466+D501*133.845+E501*153.484+F501*40+G501*85+H501*0+I501*100+J501*300)/(194.205+267.466+133.845+153.484+0+40+85+100+300)</f>
        <v>23.777579081240191</v>
      </c>
      <c r="AC501" s="45">
        <f>(M501*'RAP TEMPLATE-GAS AVAILABILITY'!O500+N501*'RAP TEMPLATE-GAS AVAILABILITY'!P500+O501*'RAP TEMPLATE-GAS AVAILABILITY'!Q500+P501*'RAP TEMPLATE-GAS AVAILABILITY'!R500)/('RAP TEMPLATE-GAS AVAILABILITY'!O500+'RAP TEMPLATE-GAS AVAILABILITY'!P500+'RAP TEMPLATE-GAS AVAILABILITY'!Q500+'RAP TEMPLATE-GAS AVAILABILITY'!R500)</f>
        <v>23.383611510791368</v>
      </c>
    </row>
    <row r="502" spans="1:29" ht="15.75" x14ac:dyDescent="0.25">
      <c r="A502" s="14">
        <v>56188</v>
      </c>
      <c r="B502" s="17">
        <f>CHOOSE(CONTROL!$C$42, 23.2132, 23.2132) * CHOOSE(CONTROL!$C$21, $C$9, 100%, $E$9)</f>
        <v>23.213200000000001</v>
      </c>
      <c r="C502" s="17">
        <f>CHOOSE(CONTROL!$C$42, 23.2186, 23.2186) * CHOOSE(CONTROL!$C$21, $C$9, 100%, $E$9)</f>
        <v>23.218599999999999</v>
      </c>
      <c r="D502" s="17">
        <f>CHOOSE(CONTROL!$C$42, 23.4946, 23.4946) * CHOOSE(CONTROL!$C$21, $C$9, 100%, $E$9)</f>
        <v>23.494599999999998</v>
      </c>
      <c r="E502" s="17">
        <f>CHOOSE(CONTROL!$C$42, 23.5237, 23.5237) * CHOOSE(CONTROL!$C$21, $C$9, 100%, $E$9)</f>
        <v>23.523700000000002</v>
      </c>
      <c r="F502" s="17">
        <f>CHOOSE(CONTROL!$C$42, 23.2346, 23.2346)*CHOOSE(CONTROL!$C$21, $C$9, 100%, $E$9)</f>
        <v>23.2346</v>
      </c>
      <c r="G502" s="17">
        <f>CHOOSE(CONTROL!$C$42, 23.2514, 23.2514)*CHOOSE(CONTROL!$C$21, $C$9, 100%, $E$9)</f>
        <v>23.2514</v>
      </c>
      <c r="H502" s="17">
        <f>CHOOSE(CONTROL!$C$42, 23.5142, 23.5142) * CHOOSE(CONTROL!$C$21, $C$9, 100%, $E$9)</f>
        <v>23.514199999999999</v>
      </c>
      <c r="I502" s="17">
        <f>CHOOSE(CONTROL!$C$42, 23.3076, 23.3076)* CHOOSE(CONTROL!$C$21, $C$9, 100%, $E$9)</f>
        <v>23.307600000000001</v>
      </c>
      <c r="J502" s="17">
        <f>CHOOSE(CONTROL!$C$42, 23.2276, 23.2276)* CHOOSE(CONTROL!$C$21, $C$9, 100%, $E$9)</f>
        <v>23.227599999999999</v>
      </c>
      <c r="K502" s="52">
        <f>CHOOSE(CONTROL!$C$42, 23.3033, 23.3033) * CHOOSE(CONTROL!$C$21, $C$9, 100%, $E$9)</f>
        <v>23.3033</v>
      </c>
      <c r="L502" s="17">
        <f>CHOOSE(CONTROL!$C$42, 24.1012, 24.1012) * CHOOSE(CONTROL!$C$21, $C$9, 100%, $E$9)</f>
        <v>24.101199999999999</v>
      </c>
      <c r="M502" s="17">
        <f>CHOOSE(CONTROL!$C$42, 22.8175, 22.8175) * CHOOSE(CONTROL!$C$21, $C$9, 100%, $E$9)</f>
        <v>22.817499999999999</v>
      </c>
      <c r="N502" s="17">
        <f>CHOOSE(CONTROL!$C$42, 22.834, 22.834) * CHOOSE(CONTROL!$C$21, $C$9, 100%, $E$9)</f>
        <v>22.834</v>
      </c>
      <c r="O502" s="17">
        <f>CHOOSE(CONTROL!$C$42, 23.0989, 23.0989) * CHOOSE(CONTROL!$C$21, $C$9, 100%, $E$9)</f>
        <v>23.0989</v>
      </c>
      <c r="P502" s="17">
        <f>CHOOSE(CONTROL!$C$42, 22.8948, 22.8948) * CHOOSE(CONTROL!$C$21, $C$9, 100%, $E$9)</f>
        <v>22.8948</v>
      </c>
      <c r="Q502" s="17">
        <f>CHOOSE(CONTROL!$C$42, 23.6936, 23.6936) * CHOOSE(CONTROL!$C$21, $C$9, 100%, $E$9)</f>
        <v>23.6936</v>
      </c>
      <c r="R502" s="17">
        <f>CHOOSE(CONTROL!$C$42, 24.3399, 24.3399) * CHOOSE(CONTROL!$C$21, $C$9, 100%, $E$9)</f>
        <v>24.3399</v>
      </c>
      <c r="S502" s="17">
        <f>CHOOSE(CONTROL!$C$42, 22.2967, 22.2967) * CHOOSE(CONTROL!$C$21, $C$9, 100%, $E$9)</f>
        <v>22.296700000000001</v>
      </c>
      <c r="T50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02" s="56">
        <f>(1000*CHOOSE(CONTROL!$C$42, 695, 695)*CHOOSE(CONTROL!$C$42, 0.5599, 0.5599)*CHOOSE(CONTROL!$C$42, 31, 31))/1000000</f>
        <v>12.063045499999998</v>
      </c>
      <c r="V502" s="56">
        <f>(1000*CHOOSE(CONTROL!$C$42, 500, 500)*CHOOSE(CONTROL!$C$42, 0.275, 0.275)*CHOOSE(CONTROL!$C$42, 31, 31))/1000000</f>
        <v>4.2625000000000002</v>
      </c>
      <c r="W502" s="56">
        <f>(1000*CHOOSE(CONTROL!$C$42, 0.1146, 0.1146)*CHOOSE(CONTROL!$C$42, 121.5, 121.5)*CHOOSE(CONTROL!$C$42, 31, 31))/1000000</f>
        <v>0.43164089999999994</v>
      </c>
      <c r="X502" s="56">
        <f>(31*0.1790888*145000/1000000)+(31*0.2374*100000/1000000)</f>
        <v>1.5409441560000001</v>
      </c>
      <c r="Y502" s="56"/>
      <c r="Z502" s="17"/>
      <c r="AA502" s="55"/>
      <c r="AB502" s="48">
        <f>(B502*131.881+C502*277.167+D502*79.08+E502*225.872+F502*40+G502*85+H502*0+I502*100+J502*300)/(131.881+277.167+79.08+225.872+0+40+85+100+300)</f>
        <v>23.303390532526226</v>
      </c>
      <c r="AC502" s="45">
        <f>(M502*'RAP TEMPLATE-GAS AVAILABILITY'!O501+N502*'RAP TEMPLATE-GAS AVAILABILITY'!P501+O502*'RAP TEMPLATE-GAS AVAILABILITY'!Q501+P502*'RAP TEMPLATE-GAS AVAILABILITY'!R501)/('RAP TEMPLATE-GAS AVAILABILITY'!O501+'RAP TEMPLATE-GAS AVAILABILITY'!P501+'RAP TEMPLATE-GAS AVAILABILITY'!Q501+'RAP TEMPLATE-GAS AVAILABILITY'!R501)</f>
        <v>22.911374820143884</v>
      </c>
    </row>
    <row r="503" spans="1:29" ht="15.75" x14ac:dyDescent="0.25">
      <c r="A503" s="14">
        <v>56218</v>
      </c>
      <c r="B503" s="17">
        <f>CHOOSE(CONTROL!$C$42, 23.8241, 23.8241) * CHOOSE(CONTROL!$C$21, $C$9, 100%, $E$9)</f>
        <v>23.824100000000001</v>
      </c>
      <c r="C503" s="17">
        <f>CHOOSE(CONTROL!$C$42, 23.8292, 23.8292) * CHOOSE(CONTROL!$C$21, $C$9, 100%, $E$9)</f>
        <v>23.8292</v>
      </c>
      <c r="D503" s="17">
        <f>CHOOSE(CONTROL!$C$42, 23.9242, 23.9242) * CHOOSE(CONTROL!$C$21, $C$9, 100%, $E$9)</f>
        <v>23.924199999999999</v>
      </c>
      <c r="E503" s="17">
        <f>CHOOSE(CONTROL!$C$42, 23.9583, 23.9583) * CHOOSE(CONTROL!$C$21, $C$9, 100%, $E$9)</f>
        <v>23.958300000000001</v>
      </c>
      <c r="F503" s="17">
        <f>CHOOSE(CONTROL!$C$42, 23.848, 23.848)*CHOOSE(CONTROL!$C$21, $C$9, 100%, $E$9)</f>
        <v>23.847999999999999</v>
      </c>
      <c r="G503" s="17">
        <f>CHOOSE(CONTROL!$C$42, 23.8651, 23.8651)*CHOOSE(CONTROL!$C$21, $C$9, 100%, $E$9)</f>
        <v>23.865100000000002</v>
      </c>
      <c r="H503" s="17">
        <f>CHOOSE(CONTROL!$C$42, 23.9475, 23.9475) * CHOOSE(CONTROL!$C$21, $C$9, 100%, $E$9)</f>
        <v>23.947500000000002</v>
      </c>
      <c r="I503" s="17">
        <f>CHOOSE(CONTROL!$C$42, 23.9187, 23.9187)* CHOOSE(CONTROL!$C$21, $C$9, 100%, $E$9)</f>
        <v>23.918700000000001</v>
      </c>
      <c r="J503" s="17">
        <f>CHOOSE(CONTROL!$C$42, 23.841, 23.841)* CHOOSE(CONTROL!$C$21, $C$9, 100%, $E$9)</f>
        <v>23.841000000000001</v>
      </c>
      <c r="K503" s="52">
        <f>CHOOSE(CONTROL!$C$42, 23.9145, 23.9145) * CHOOSE(CONTROL!$C$21, $C$9, 100%, $E$9)</f>
        <v>23.9145</v>
      </c>
      <c r="L503" s="17">
        <f>CHOOSE(CONTROL!$C$42, 24.5345, 24.5345) * CHOOSE(CONTROL!$C$21, $C$9, 100%, $E$9)</f>
        <v>24.534500000000001</v>
      </c>
      <c r="M503" s="17">
        <f>CHOOSE(CONTROL!$C$42, 23.4199, 23.4199) * CHOOSE(CONTROL!$C$21, $C$9, 100%, $E$9)</f>
        <v>23.419899999999998</v>
      </c>
      <c r="N503" s="17">
        <f>CHOOSE(CONTROL!$C$42, 23.4366, 23.4366) * CHOOSE(CONTROL!$C$21, $C$9, 100%, $E$9)</f>
        <v>23.436599999999999</v>
      </c>
      <c r="O503" s="17">
        <f>CHOOSE(CONTROL!$C$42, 23.5245, 23.5245) * CHOOSE(CONTROL!$C$21, $C$9, 100%, $E$9)</f>
        <v>23.5245</v>
      </c>
      <c r="P503" s="17">
        <f>CHOOSE(CONTROL!$C$42, 23.4949, 23.4949) * CHOOSE(CONTROL!$C$21, $C$9, 100%, $E$9)</f>
        <v>23.494900000000001</v>
      </c>
      <c r="Q503" s="17">
        <f>CHOOSE(CONTROL!$C$42, 24.1192, 24.1192) * CHOOSE(CONTROL!$C$21, $C$9, 100%, $E$9)</f>
        <v>24.119199999999999</v>
      </c>
      <c r="R503" s="17">
        <f>CHOOSE(CONTROL!$C$42, 24.7665, 24.7665) * CHOOSE(CONTROL!$C$21, $C$9, 100%, $E$9)</f>
        <v>24.766500000000001</v>
      </c>
      <c r="S503" s="17">
        <f>CHOOSE(CONTROL!$C$42, 22.884, 22.884) * CHOOSE(CONTROL!$C$21, $C$9, 100%, $E$9)</f>
        <v>22.884</v>
      </c>
      <c r="T50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03" s="56">
        <f>(1000*CHOOSE(CONTROL!$C$42, 695, 695)*CHOOSE(CONTROL!$C$42, 0.5599, 0.5599)*CHOOSE(CONTROL!$C$42, 30, 30))/1000000</f>
        <v>11.673914999999997</v>
      </c>
      <c r="V503" s="56">
        <f>(1000*CHOOSE(CONTROL!$C$42, 500, 500)*CHOOSE(CONTROL!$C$42, 0.275, 0.275)*CHOOSE(CONTROL!$C$42, 30, 30))/1000000</f>
        <v>4.125</v>
      </c>
      <c r="W503" s="56">
        <f>(1000*CHOOSE(CONTROL!$C$42, 0.1146, 0.1146)*CHOOSE(CONTROL!$C$42, 121.5, 121.5)*CHOOSE(CONTROL!$C$42, 30, 30))/1000000</f>
        <v>0.417717</v>
      </c>
      <c r="X503" s="56">
        <f>(30*0.2374*100000/1000000)</f>
        <v>0.71220000000000006</v>
      </c>
      <c r="Y503" s="56"/>
      <c r="Z503" s="17"/>
      <c r="AA503" s="55"/>
      <c r="AB503" s="48">
        <f>(B503*122.58+C503*297.941+D503*89.177+E503*140.302+F503*40+G503*60+H503*0+I503*100+J503*300)/(122.58+297.941+89.177+140.302+0+40+60+100+300)</f>
        <v>23.865161430608691</v>
      </c>
      <c r="AC503" s="45">
        <f>(M503*'RAP TEMPLATE-GAS AVAILABILITY'!O502+N503*'RAP TEMPLATE-GAS AVAILABILITY'!P502+O503*'RAP TEMPLATE-GAS AVAILABILITY'!Q502+P503*'RAP TEMPLATE-GAS AVAILABILITY'!R502)/('RAP TEMPLATE-GAS AVAILABILITY'!O502+'RAP TEMPLATE-GAS AVAILABILITY'!P502+'RAP TEMPLATE-GAS AVAILABILITY'!Q502+'RAP TEMPLATE-GAS AVAILABILITY'!R502)</f>
        <v>23.479061151079136</v>
      </c>
    </row>
    <row r="504" spans="1:29" ht="15.75" x14ac:dyDescent="0.25">
      <c r="A504" s="14">
        <v>56249</v>
      </c>
      <c r="B504" s="17">
        <f>CHOOSE(CONTROL!$C$42, 25.4478, 25.4478) * CHOOSE(CONTROL!$C$21, $C$9, 100%, $E$9)</f>
        <v>25.447800000000001</v>
      </c>
      <c r="C504" s="17">
        <f>CHOOSE(CONTROL!$C$42, 25.4528, 25.4528) * CHOOSE(CONTROL!$C$21, $C$9, 100%, $E$9)</f>
        <v>25.4528</v>
      </c>
      <c r="D504" s="17">
        <f>CHOOSE(CONTROL!$C$42, 25.5479, 25.5479) * CHOOSE(CONTROL!$C$21, $C$9, 100%, $E$9)</f>
        <v>25.547899999999998</v>
      </c>
      <c r="E504" s="17">
        <f>CHOOSE(CONTROL!$C$42, 25.582, 25.582) * CHOOSE(CONTROL!$C$21, $C$9, 100%, $E$9)</f>
        <v>25.582000000000001</v>
      </c>
      <c r="F504" s="17">
        <f>CHOOSE(CONTROL!$C$42, 25.474, 25.474)*CHOOSE(CONTROL!$C$21, $C$9, 100%, $E$9)</f>
        <v>25.474</v>
      </c>
      <c r="G504" s="17">
        <f>CHOOSE(CONTROL!$C$42, 25.4917, 25.4917)*CHOOSE(CONTROL!$C$21, $C$9, 100%, $E$9)</f>
        <v>25.491700000000002</v>
      </c>
      <c r="H504" s="17">
        <f>CHOOSE(CONTROL!$C$42, 25.5712, 25.5712) * CHOOSE(CONTROL!$C$21, $C$9, 100%, $E$9)</f>
        <v>25.571200000000001</v>
      </c>
      <c r="I504" s="17">
        <f>CHOOSE(CONTROL!$C$42, 25.5474, 25.5474)* CHOOSE(CONTROL!$C$21, $C$9, 100%, $E$9)</f>
        <v>25.5474</v>
      </c>
      <c r="J504" s="17">
        <f>CHOOSE(CONTROL!$C$42, 25.467, 25.467)* CHOOSE(CONTROL!$C$21, $C$9, 100%, $E$9)</f>
        <v>25.466999999999999</v>
      </c>
      <c r="K504" s="52">
        <f>CHOOSE(CONTROL!$C$42, 25.5432, 25.5432) * CHOOSE(CONTROL!$C$21, $C$9, 100%, $E$9)</f>
        <v>25.543199999999999</v>
      </c>
      <c r="L504" s="17">
        <f>CHOOSE(CONTROL!$C$42, 26.1582, 26.1582) * CHOOSE(CONTROL!$C$21, $C$9, 100%, $E$9)</f>
        <v>26.158200000000001</v>
      </c>
      <c r="M504" s="17">
        <f>CHOOSE(CONTROL!$C$42, 25.0166, 25.0166) * CHOOSE(CONTROL!$C$21, $C$9, 100%, $E$9)</f>
        <v>25.0166</v>
      </c>
      <c r="N504" s="17">
        <f>CHOOSE(CONTROL!$C$42, 25.034, 25.034) * CHOOSE(CONTROL!$C$21, $C$9, 100%, $E$9)</f>
        <v>25.033999999999999</v>
      </c>
      <c r="O504" s="17">
        <f>CHOOSE(CONTROL!$C$42, 25.1189, 25.1189) * CHOOSE(CONTROL!$C$21, $C$9, 100%, $E$9)</f>
        <v>25.1189</v>
      </c>
      <c r="P504" s="17">
        <f>CHOOSE(CONTROL!$C$42, 25.0943, 25.0943) * CHOOSE(CONTROL!$C$21, $C$9, 100%, $E$9)</f>
        <v>25.0943</v>
      </c>
      <c r="Q504" s="17">
        <f>CHOOSE(CONTROL!$C$42, 25.7136, 25.7136) * CHOOSE(CONTROL!$C$21, $C$9, 100%, $E$9)</f>
        <v>25.7136</v>
      </c>
      <c r="R504" s="17">
        <f>CHOOSE(CONTROL!$C$42, 26.3649, 26.3649) * CHOOSE(CONTROL!$C$21, $C$9, 100%, $E$9)</f>
        <v>26.364899999999999</v>
      </c>
      <c r="S504" s="17">
        <f>CHOOSE(CONTROL!$C$42, 24.4442, 24.4442) * CHOOSE(CONTROL!$C$21, $C$9, 100%, $E$9)</f>
        <v>24.444199999999999</v>
      </c>
      <c r="T50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04" s="56">
        <f>(1000*CHOOSE(CONTROL!$C$42, 695, 695)*CHOOSE(CONTROL!$C$42, 0.5599, 0.5599)*CHOOSE(CONTROL!$C$42, 31, 31))/1000000</f>
        <v>12.063045499999998</v>
      </c>
      <c r="V504" s="56">
        <f>(1000*CHOOSE(CONTROL!$C$42, 500, 500)*CHOOSE(CONTROL!$C$42, 0.275, 0.275)*CHOOSE(CONTROL!$C$42, 31, 31))/1000000</f>
        <v>4.2625000000000002</v>
      </c>
      <c r="W504" s="56">
        <f>(1000*CHOOSE(CONTROL!$C$42, 0.1146, 0.1146)*CHOOSE(CONTROL!$C$42, 121.5, 121.5)*CHOOSE(CONTROL!$C$42, 31, 31))/1000000</f>
        <v>0.43164089999999994</v>
      </c>
      <c r="X504" s="56">
        <f>(31*0.2374*100000/1000000)</f>
        <v>0.73594000000000004</v>
      </c>
      <c r="Y504" s="56"/>
      <c r="Z504" s="17"/>
      <c r="AA504" s="55"/>
      <c r="AB504" s="48">
        <f>(B504*122.58+C504*297.941+D504*89.177+E504*140.302+F504*40+G504*60+H504*0+I504*100+J504*300)/(122.58+297.941+89.177+140.302+0+40+60+100+300)</f>
        <v>25.490101609652168</v>
      </c>
      <c r="AC504" s="45">
        <f>(M504*'RAP TEMPLATE-GAS AVAILABILITY'!O503+N504*'RAP TEMPLATE-GAS AVAILABILITY'!P503+O504*'RAP TEMPLATE-GAS AVAILABILITY'!Q503+P504*'RAP TEMPLATE-GAS AVAILABILITY'!R503)/('RAP TEMPLATE-GAS AVAILABILITY'!O503+'RAP TEMPLATE-GAS AVAILABILITY'!P503+'RAP TEMPLATE-GAS AVAILABILITY'!Q503+'RAP TEMPLATE-GAS AVAILABILITY'!R503)</f>
        <v>25.07514748201439</v>
      </c>
    </row>
    <row r="505" spans="1:29" ht="15.75" x14ac:dyDescent="0.25">
      <c r="A505" s="14">
        <v>56280</v>
      </c>
      <c r="B505" s="17">
        <f>CHOOSE(CONTROL!$C$42, 27.5566, 27.5566) * CHOOSE(CONTROL!$C$21, $C$9, 100%, $E$9)</f>
        <v>27.5566</v>
      </c>
      <c r="C505" s="17">
        <f>CHOOSE(CONTROL!$C$42, 27.5617, 27.5617) * CHOOSE(CONTROL!$C$21, $C$9, 100%, $E$9)</f>
        <v>27.561699999999998</v>
      </c>
      <c r="D505" s="17">
        <f>CHOOSE(CONTROL!$C$42, 27.6801, 27.6801) * CHOOSE(CONTROL!$C$21, $C$9, 100%, $E$9)</f>
        <v>27.680099999999999</v>
      </c>
      <c r="E505" s="17">
        <f>CHOOSE(CONTROL!$C$42, 27.7142, 27.7142) * CHOOSE(CONTROL!$C$21, $C$9, 100%, $E$9)</f>
        <v>27.714200000000002</v>
      </c>
      <c r="F505" s="17">
        <f>CHOOSE(CONTROL!$C$42, 27.577, 27.577)*CHOOSE(CONTROL!$C$21, $C$9, 100%, $E$9)</f>
        <v>27.577000000000002</v>
      </c>
      <c r="G505" s="17">
        <f>CHOOSE(CONTROL!$C$42, 27.5938, 27.5938)*CHOOSE(CONTROL!$C$21, $C$9, 100%, $E$9)</f>
        <v>27.593800000000002</v>
      </c>
      <c r="H505" s="17">
        <f>CHOOSE(CONTROL!$C$42, 27.7034, 27.7034) * CHOOSE(CONTROL!$C$21, $C$9, 100%, $E$9)</f>
        <v>27.703399999999998</v>
      </c>
      <c r="I505" s="17">
        <f>CHOOSE(CONTROL!$C$42, 27.6665, 27.6665)* CHOOSE(CONTROL!$C$21, $C$9, 100%, $E$9)</f>
        <v>27.666499999999999</v>
      </c>
      <c r="J505" s="17">
        <f>CHOOSE(CONTROL!$C$42, 27.57, 27.57)* CHOOSE(CONTROL!$C$21, $C$9, 100%, $E$9)</f>
        <v>27.57</v>
      </c>
      <c r="K505" s="52">
        <f>CHOOSE(CONTROL!$C$42, 27.6623, 27.6623) * CHOOSE(CONTROL!$C$21, $C$9, 100%, $E$9)</f>
        <v>27.662299999999998</v>
      </c>
      <c r="L505" s="17">
        <f>CHOOSE(CONTROL!$C$42, 28.2904, 28.2904) * CHOOSE(CONTROL!$C$21, $C$9, 100%, $E$9)</f>
        <v>28.290400000000002</v>
      </c>
      <c r="M505" s="17">
        <f>CHOOSE(CONTROL!$C$42, 27.0818, 27.0818) * CHOOSE(CONTROL!$C$21, $C$9, 100%, $E$9)</f>
        <v>27.081800000000001</v>
      </c>
      <c r="N505" s="17">
        <f>CHOOSE(CONTROL!$C$42, 27.0983, 27.0983) * CHOOSE(CONTROL!$C$21, $C$9, 100%, $E$9)</f>
        <v>27.098299999999998</v>
      </c>
      <c r="O505" s="17">
        <f>CHOOSE(CONTROL!$C$42, 27.2128, 27.2128) * CHOOSE(CONTROL!$C$21, $C$9, 100%, $E$9)</f>
        <v>27.212800000000001</v>
      </c>
      <c r="P505" s="17">
        <f>CHOOSE(CONTROL!$C$42, 27.1751, 27.1751) * CHOOSE(CONTROL!$C$21, $C$9, 100%, $E$9)</f>
        <v>27.1751</v>
      </c>
      <c r="Q505" s="17">
        <f>CHOOSE(CONTROL!$C$42, 27.8075, 27.8075) * CHOOSE(CONTROL!$C$21, $C$9, 100%, $E$9)</f>
        <v>27.807500000000001</v>
      </c>
      <c r="R505" s="17">
        <f>CHOOSE(CONTROL!$C$42, 28.464, 28.464) * CHOOSE(CONTROL!$C$21, $C$9, 100%, $E$9)</f>
        <v>28.463999999999999</v>
      </c>
      <c r="S505" s="17">
        <f>CHOOSE(CONTROL!$C$42, 26.4706, 26.4706) * CHOOSE(CONTROL!$C$21, $C$9, 100%, $E$9)</f>
        <v>26.470600000000001</v>
      </c>
      <c r="T50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05" s="56">
        <f>(1000*CHOOSE(CONTROL!$C$42, 695, 695)*CHOOSE(CONTROL!$C$42, 0.5599, 0.5599)*CHOOSE(CONTROL!$C$42, 31, 31))/1000000</f>
        <v>12.063045499999998</v>
      </c>
      <c r="V505" s="56">
        <f>(1000*CHOOSE(CONTROL!$C$42, 500, 500)*CHOOSE(CONTROL!$C$42, 0.275, 0.275)*CHOOSE(CONTROL!$C$42, 31, 31))/1000000</f>
        <v>4.2625000000000002</v>
      </c>
      <c r="W505" s="56">
        <f>(1000*CHOOSE(CONTROL!$C$42, 0.1146, 0.1146)*CHOOSE(CONTROL!$C$42, 121.5, 121.5)*CHOOSE(CONTROL!$C$42, 31, 31))/1000000</f>
        <v>0.43164089999999994</v>
      </c>
      <c r="X505" s="56">
        <f>(31*0.2374*100000/1000000)</f>
        <v>0.73594000000000004</v>
      </c>
      <c r="Y505" s="56"/>
      <c r="Z505" s="17"/>
      <c r="AA505" s="55"/>
      <c r="AB505" s="48">
        <f>(B505*122.58+C505*297.941+D505*89.177+E505*140.302+F505*40+G505*60+H505*0+I505*100+J505*300)/(122.58+297.941+89.177+140.302+0+40+60+100+300)</f>
        <v>27.602428220695657</v>
      </c>
      <c r="AC505" s="45">
        <f>(M505*'RAP TEMPLATE-GAS AVAILABILITY'!O504+N505*'RAP TEMPLATE-GAS AVAILABILITY'!P504+O505*'RAP TEMPLATE-GAS AVAILABILITY'!Q504+P505*'RAP TEMPLATE-GAS AVAILABILITY'!R504)/('RAP TEMPLATE-GAS AVAILABILITY'!O504+'RAP TEMPLATE-GAS AVAILABILITY'!P504+'RAP TEMPLATE-GAS AVAILABILITY'!Q504+'RAP TEMPLATE-GAS AVAILABILITY'!R504)</f>
        <v>27.155548201438847</v>
      </c>
    </row>
    <row r="506" spans="1:29" ht="15.75" x14ac:dyDescent="0.25">
      <c r="A506" s="14">
        <v>56308</v>
      </c>
      <c r="B506" s="17">
        <f>CHOOSE(CONTROL!$C$42, 28.047, 28.047) * CHOOSE(CONTROL!$C$21, $C$9, 100%, $E$9)</f>
        <v>28.047000000000001</v>
      </c>
      <c r="C506" s="17">
        <f>CHOOSE(CONTROL!$C$42, 28.0521, 28.0521) * CHOOSE(CONTROL!$C$21, $C$9, 100%, $E$9)</f>
        <v>28.052099999999999</v>
      </c>
      <c r="D506" s="17">
        <f>CHOOSE(CONTROL!$C$42, 28.1705, 28.1705) * CHOOSE(CONTROL!$C$21, $C$9, 100%, $E$9)</f>
        <v>28.170500000000001</v>
      </c>
      <c r="E506" s="17">
        <f>CHOOSE(CONTROL!$C$42, 28.2046, 28.2046) * CHOOSE(CONTROL!$C$21, $C$9, 100%, $E$9)</f>
        <v>28.204599999999999</v>
      </c>
      <c r="F506" s="17">
        <f>CHOOSE(CONTROL!$C$42, 28.0674, 28.0674)*CHOOSE(CONTROL!$C$21, $C$9, 100%, $E$9)</f>
        <v>28.067399999999999</v>
      </c>
      <c r="G506" s="17">
        <f>CHOOSE(CONTROL!$C$42, 28.0842, 28.0842)*CHOOSE(CONTROL!$C$21, $C$9, 100%, $E$9)</f>
        <v>28.084199999999999</v>
      </c>
      <c r="H506" s="17">
        <f>CHOOSE(CONTROL!$C$42, 28.1938, 28.1938) * CHOOSE(CONTROL!$C$21, $C$9, 100%, $E$9)</f>
        <v>28.1938</v>
      </c>
      <c r="I506" s="17">
        <f>CHOOSE(CONTROL!$C$42, 28.1584, 28.1584)* CHOOSE(CONTROL!$C$21, $C$9, 100%, $E$9)</f>
        <v>28.1584</v>
      </c>
      <c r="J506" s="17">
        <f>CHOOSE(CONTROL!$C$42, 28.0604, 28.0604)* CHOOSE(CONTROL!$C$21, $C$9, 100%, $E$9)</f>
        <v>28.060400000000001</v>
      </c>
      <c r="K506" s="52">
        <f>CHOOSE(CONTROL!$C$42, 28.1542, 28.1542) * CHOOSE(CONTROL!$C$21, $C$9, 100%, $E$9)</f>
        <v>28.154199999999999</v>
      </c>
      <c r="L506" s="17">
        <f>CHOOSE(CONTROL!$C$42, 28.7808, 28.7808) * CHOOSE(CONTROL!$C$21, $C$9, 100%, $E$9)</f>
        <v>28.780799999999999</v>
      </c>
      <c r="M506" s="17">
        <f>CHOOSE(CONTROL!$C$42, 27.5633, 27.5633) * CHOOSE(CONTROL!$C$21, $C$9, 100%, $E$9)</f>
        <v>27.563300000000002</v>
      </c>
      <c r="N506" s="17">
        <f>CHOOSE(CONTROL!$C$42, 27.5799, 27.5799) * CHOOSE(CONTROL!$C$21, $C$9, 100%, $E$9)</f>
        <v>27.579899999999999</v>
      </c>
      <c r="O506" s="17">
        <f>CHOOSE(CONTROL!$C$42, 27.6944, 27.6944) * CHOOSE(CONTROL!$C$21, $C$9, 100%, $E$9)</f>
        <v>27.694400000000002</v>
      </c>
      <c r="P506" s="17">
        <f>CHOOSE(CONTROL!$C$42, 27.6582, 27.6582) * CHOOSE(CONTROL!$C$21, $C$9, 100%, $E$9)</f>
        <v>27.658200000000001</v>
      </c>
      <c r="Q506" s="17">
        <f>CHOOSE(CONTROL!$C$42, 28.2891, 28.2891) * CHOOSE(CONTROL!$C$21, $C$9, 100%, $E$9)</f>
        <v>28.289100000000001</v>
      </c>
      <c r="R506" s="17">
        <f>CHOOSE(CONTROL!$C$42, 28.9468, 28.9468) * CHOOSE(CONTROL!$C$21, $C$9, 100%, $E$9)</f>
        <v>28.9468</v>
      </c>
      <c r="S506" s="17">
        <f>CHOOSE(CONTROL!$C$42, 26.9418, 26.9418) * CHOOSE(CONTROL!$C$21, $C$9, 100%, $E$9)</f>
        <v>26.941800000000001</v>
      </c>
      <c r="T50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06" s="56">
        <f>(1000*CHOOSE(CONTROL!$C$42, 695, 695)*CHOOSE(CONTROL!$C$42, 0.5599, 0.5599)*CHOOSE(CONTROL!$C$42, 28, 28))/1000000</f>
        <v>10.895653999999999</v>
      </c>
      <c r="V506" s="56">
        <f>(1000*CHOOSE(CONTROL!$C$42, 500, 500)*CHOOSE(CONTROL!$C$42, 0.275, 0.275)*CHOOSE(CONTROL!$C$42, 28, 28))/1000000</f>
        <v>3.85</v>
      </c>
      <c r="W506" s="56">
        <f>(1000*CHOOSE(CONTROL!$C$42, 0.1146, 0.1146)*CHOOSE(CONTROL!$C$42, 121.5, 121.5)*CHOOSE(CONTROL!$C$42, 28, 28))/1000000</f>
        <v>0.38986920000000003</v>
      </c>
      <c r="X506" s="56">
        <f>(28*0.2374*100000/1000000)</f>
        <v>0.66471999999999998</v>
      </c>
      <c r="Y506" s="56"/>
      <c r="Z506" s="17"/>
      <c r="AA506" s="55"/>
      <c r="AB506" s="48">
        <f>(B506*122.58+C506*297.941+D506*89.177+E506*140.302+F506*40+G506*60+H506*0+I506*100+J506*300)/(122.58+297.941+89.177+140.302+0+40+60+100+300)</f>
        <v>28.092958655478263</v>
      </c>
      <c r="AC506" s="45">
        <f>(M506*'RAP TEMPLATE-GAS AVAILABILITY'!O505+N506*'RAP TEMPLATE-GAS AVAILABILITY'!P505+O506*'RAP TEMPLATE-GAS AVAILABILITY'!Q505+P506*'RAP TEMPLATE-GAS AVAILABILITY'!R505)/('RAP TEMPLATE-GAS AVAILABILITY'!O505+'RAP TEMPLATE-GAS AVAILABILITY'!P505+'RAP TEMPLATE-GAS AVAILABILITY'!Q505+'RAP TEMPLATE-GAS AVAILABILITY'!R505)</f>
        <v>27.637329496402877</v>
      </c>
    </row>
    <row r="507" spans="1:29" ht="15.75" x14ac:dyDescent="0.25">
      <c r="A507" s="14">
        <v>56339</v>
      </c>
      <c r="B507" s="17">
        <f>CHOOSE(CONTROL!$C$42, 27.251, 27.251) * CHOOSE(CONTROL!$C$21, $C$9, 100%, $E$9)</f>
        <v>27.251000000000001</v>
      </c>
      <c r="C507" s="17">
        <f>CHOOSE(CONTROL!$C$42, 27.2561, 27.2561) * CHOOSE(CONTROL!$C$21, $C$9, 100%, $E$9)</f>
        <v>27.2561</v>
      </c>
      <c r="D507" s="17">
        <f>CHOOSE(CONTROL!$C$42, 27.3745, 27.3745) * CHOOSE(CONTROL!$C$21, $C$9, 100%, $E$9)</f>
        <v>27.374500000000001</v>
      </c>
      <c r="E507" s="17">
        <f>CHOOSE(CONTROL!$C$42, 27.4086, 27.4086) * CHOOSE(CONTROL!$C$21, $C$9, 100%, $E$9)</f>
        <v>27.4086</v>
      </c>
      <c r="F507" s="17">
        <f>CHOOSE(CONTROL!$C$42, 27.2707, 27.2707)*CHOOSE(CONTROL!$C$21, $C$9, 100%, $E$9)</f>
        <v>27.270700000000001</v>
      </c>
      <c r="G507" s="17">
        <f>CHOOSE(CONTROL!$C$42, 27.2873, 27.2873)*CHOOSE(CONTROL!$C$21, $C$9, 100%, $E$9)</f>
        <v>27.287299999999998</v>
      </c>
      <c r="H507" s="17">
        <f>CHOOSE(CONTROL!$C$42, 27.3978, 27.3978) * CHOOSE(CONTROL!$C$21, $C$9, 100%, $E$9)</f>
        <v>27.3978</v>
      </c>
      <c r="I507" s="17">
        <f>CHOOSE(CONTROL!$C$42, 27.3599, 27.3599)* CHOOSE(CONTROL!$C$21, $C$9, 100%, $E$9)</f>
        <v>27.3599</v>
      </c>
      <c r="J507" s="17">
        <f>CHOOSE(CONTROL!$C$42, 27.2637, 27.2637)* CHOOSE(CONTROL!$C$21, $C$9, 100%, $E$9)</f>
        <v>27.2637</v>
      </c>
      <c r="K507" s="52">
        <f>CHOOSE(CONTROL!$C$42, 27.3557, 27.3557) * CHOOSE(CONTROL!$C$21, $C$9, 100%, $E$9)</f>
        <v>27.355699999999999</v>
      </c>
      <c r="L507" s="17">
        <f>CHOOSE(CONTROL!$C$42, 27.9848, 27.9848) * CHOOSE(CONTROL!$C$21, $C$9, 100%, $E$9)</f>
        <v>27.9848</v>
      </c>
      <c r="M507" s="17">
        <f>CHOOSE(CONTROL!$C$42, 26.781, 26.781) * CHOOSE(CONTROL!$C$21, $C$9, 100%, $E$9)</f>
        <v>26.780999999999999</v>
      </c>
      <c r="N507" s="17">
        <f>CHOOSE(CONTROL!$C$42, 26.7973, 26.7973) * CHOOSE(CONTROL!$C$21, $C$9, 100%, $E$9)</f>
        <v>26.7973</v>
      </c>
      <c r="O507" s="17">
        <f>CHOOSE(CONTROL!$C$42, 26.9127, 26.9127) * CHOOSE(CONTROL!$C$21, $C$9, 100%, $E$9)</f>
        <v>26.912700000000001</v>
      </c>
      <c r="P507" s="17">
        <f>CHOOSE(CONTROL!$C$42, 26.8741, 26.8741) * CHOOSE(CONTROL!$C$21, $C$9, 100%, $E$9)</f>
        <v>26.874099999999999</v>
      </c>
      <c r="Q507" s="17">
        <f>CHOOSE(CONTROL!$C$42, 27.5074, 27.5074) * CHOOSE(CONTROL!$C$21, $C$9, 100%, $E$9)</f>
        <v>27.507400000000001</v>
      </c>
      <c r="R507" s="17">
        <f>CHOOSE(CONTROL!$C$42, 28.1632, 28.1632) * CHOOSE(CONTROL!$C$21, $C$9, 100%, $E$9)</f>
        <v>28.1632</v>
      </c>
      <c r="S507" s="17">
        <f>CHOOSE(CONTROL!$C$42, 26.1769, 26.1769) * CHOOSE(CONTROL!$C$21, $C$9, 100%, $E$9)</f>
        <v>26.1769</v>
      </c>
      <c r="T50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07" s="56">
        <f>(1000*CHOOSE(CONTROL!$C$42, 695, 695)*CHOOSE(CONTROL!$C$42, 0.5599, 0.5599)*CHOOSE(CONTROL!$C$42, 31, 31))/1000000</f>
        <v>12.063045499999998</v>
      </c>
      <c r="V507" s="56">
        <f>(1000*CHOOSE(CONTROL!$C$42, 500, 500)*CHOOSE(CONTROL!$C$42, 0.275, 0.275)*CHOOSE(CONTROL!$C$42, 31, 31))/1000000</f>
        <v>4.2625000000000002</v>
      </c>
      <c r="W507" s="56">
        <f>(1000*CHOOSE(CONTROL!$C$42, 0.1146, 0.1146)*CHOOSE(CONTROL!$C$42, 121.5, 121.5)*CHOOSE(CONTROL!$C$42, 31, 31))/1000000</f>
        <v>0.43164089999999994</v>
      </c>
      <c r="X507" s="56">
        <f>(31*0.2374*100000/1000000)</f>
        <v>0.73594000000000004</v>
      </c>
      <c r="Y507" s="56"/>
      <c r="Z507" s="17"/>
      <c r="AA507" s="55"/>
      <c r="AB507" s="48">
        <f>(B507*122.58+C507*297.941+D507*89.177+E507*140.302+F507*40+G507*60+H507*0+I507*100+J507*300)/(122.58+297.941+89.177+140.302+0+40+60+100+300)</f>
        <v>27.296487351130441</v>
      </c>
      <c r="AC507" s="45">
        <f>(M507*'RAP TEMPLATE-GAS AVAILABILITY'!O506+N507*'RAP TEMPLATE-GAS AVAILABILITY'!P506+O507*'RAP TEMPLATE-GAS AVAILABILITY'!Q506+P507*'RAP TEMPLATE-GAS AVAILABILITY'!R506)/('RAP TEMPLATE-GAS AVAILABILITY'!O506+'RAP TEMPLATE-GAS AVAILABILITY'!P506+'RAP TEMPLATE-GAS AVAILABILITY'!Q506+'RAP TEMPLATE-GAS AVAILABILITY'!R506)</f>
        <v>26.855025179856117</v>
      </c>
    </row>
    <row r="508" spans="1:29" ht="15.75" x14ac:dyDescent="0.25">
      <c r="A508" s="14">
        <v>56369</v>
      </c>
      <c r="B508" s="17">
        <f>CHOOSE(CONTROL!$C$42, 27.1704, 27.1704) * CHOOSE(CONTROL!$C$21, $C$9, 100%, $E$9)</f>
        <v>27.170400000000001</v>
      </c>
      <c r="C508" s="17">
        <f>CHOOSE(CONTROL!$C$42, 27.1749, 27.1749) * CHOOSE(CONTROL!$C$21, $C$9, 100%, $E$9)</f>
        <v>27.174900000000001</v>
      </c>
      <c r="D508" s="17">
        <f>CHOOSE(CONTROL!$C$42, 27.4491, 27.4491) * CHOOSE(CONTROL!$C$21, $C$9, 100%, $E$9)</f>
        <v>27.449100000000001</v>
      </c>
      <c r="E508" s="17">
        <f>CHOOSE(CONTROL!$C$42, 27.4812, 27.4812) * CHOOSE(CONTROL!$C$21, $C$9, 100%, $E$9)</f>
        <v>27.481200000000001</v>
      </c>
      <c r="F508" s="17">
        <f>CHOOSE(CONTROL!$C$42, 27.1897, 27.1897)*CHOOSE(CONTROL!$C$21, $C$9, 100%, $E$9)</f>
        <v>27.189699999999998</v>
      </c>
      <c r="G508" s="17">
        <f>CHOOSE(CONTROL!$C$42, 27.2061, 27.2061)*CHOOSE(CONTROL!$C$21, $C$9, 100%, $E$9)</f>
        <v>27.206099999999999</v>
      </c>
      <c r="H508" s="17">
        <f>CHOOSE(CONTROL!$C$42, 27.471, 27.471) * CHOOSE(CONTROL!$C$21, $C$9, 100%, $E$9)</f>
        <v>27.471</v>
      </c>
      <c r="I508" s="17">
        <f>CHOOSE(CONTROL!$C$42, 27.2768, 27.2768)* CHOOSE(CONTROL!$C$21, $C$9, 100%, $E$9)</f>
        <v>27.276800000000001</v>
      </c>
      <c r="J508" s="17">
        <f>CHOOSE(CONTROL!$C$42, 27.1827, 27.1827)* CHOOSE(CONTROL!$C$21, $C$9, 100%, $E$9)</f>
        <v>27.182700000000001</v>
      </c>
      <c r="K508" s="52">
        <f>CHOOSE(CONTROL!$C$42, 27.2726, 27.2726) * CHOOSE(CONTROL!$C$21, $C$9, 100%, $E$9)</f>
        <v>27.272600000000001</v>
      </c>
      <c r="L508" s="17">
        <f>CHOOSE(CONTROL!$C$42, 28.058, 28.058) * CHOOSE(CONTROL!$C$21, $C$9, 100%, $E$9)</f>
        <v>28.058</v>
      </c>
      <c r="M508" s="17">
        <f>CHOOSE(CONTROL!$C$42, 26.7015, 26.7015) * CHOOSE(CONTROL!$C$21, $C$9, 100%, $E$9)</f>
        <v>26.701499999999999</v>
      </c>
      <c r="N508" s="17">
        <f>CHOOSE(CONTROL!$C$42, 26.7176, 26.7176) * CHOOSE(CONTROL!$C$21, $C$9, 100%, $E$9)</f>
        <v>26.717600000000001</v>
      </c>
      <c r="O508" s="17">
        <f>CHOOSE(CONTROL!$C$42, 26.9846, 26.9846) * CHOOSE(CONTROL!$C$21, $C$9, 100%, $E$9)</f>
        <v>26.9846</v>
      </c>
      <c r="P508" s="17">
        <f>CHOOSE(CONTROL!$C$42, 26.7924, 26.7924) * CHOOSE(CONTROL!$C$21, $C$9, 100%, $E$9)</f>
        <v>26.792400000000001</v>
      </c>
      <c r="Q508" s="17">
        <f>CHOOSE(CONTROL!$C$42, 27.5793, 27.5793) * CHOOSE(CONTROL!$C$21, $C$9, 100%, $E$9)</f>
        <v>27.5793</v>
      </c>
      <c r="R508" s="17">
        <f>CHOOSE(CONTROL!$C$42, 28.2352, 28.2352) * CHOOSE(CONTROL!$C$21, $C$9, 100%, $E$9)</f>
        <v>28.235199999999999</v>
      </c>
      <c r="S508" s="17">
        <f>CHOOSE(CONTROL!$C$42, 26.0988, 26.0988) * CHOOSE(CONTROL!$C$21, $C$9, 100%, $E$9)</f>
        <v>26.098800000000001</v>
      </c>
      <c r="T50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08" s="56">
        <f>(1000*CHOOSE(CONTROL!$C$42, 695, 695)*CHOOSE(CONTROL!$C$42, 0.5599, 0.5599)*CHOOSE(CONTROL!$C$42, 30, 30))/1000000</f>
        <v>11.673914999999997</v>
      </c>
      <c r="V508" s="56">
        <f>(1000*CHOOSE(CONTROL!$C$42, 500, 500)*CHOOSE(CONTROL!$C$42, 0.275, 0.275)*CHOOSE(CONTROL!$C$42, 30, 30))/1000000</f>
        <v>4.125</v>
      </c>
      <c r="W508" s="56">
        <f>(1000*CHOOSE(CONTROL!$C$42, 0.1146, 0.1146)*CHOOSE(CONTROL!$C$42, 121.5, 121.5)*CHOOSE(CONTROL!$C$42, 30, 30))/1000000</f>
        <v>0.417717</v>
      </c>
      <c r="X508" s="56">
        <f>(30*0.1790888*145000/1000000)+(30*0.2374*100000/1000000)</f>
        <v>1.4912362799999999</v>
      </c>
      <c r="Y508" s="56"/>
      <c r="Z508" s="17"/>
      <c r="AA508" s="55"/>
      <c r="AB508" s="48">
        <f>(B508*141.293+C508*267.993+D508*115.016+E508*189.698+F508*40+G508*85+H508*0+I508*100+J508*300)/(141.293+267.993+115.016+189.698+0+40+85+100+300)</f>
        <v>27.259468253510896</v>
      </c>
      <c r="AC508" s="45">
        <f>(M508*'RAP TEMPLATE-GAS AVAILABILITY'!O507+N508*'RAP TEMPLATE-GAS AVAILABILITY'!P507+O508*'RAP TEMPLATE-GAS AVAILABILITY'!Q507+P508*'RAP TEMPLATE-GAS AVAILABILITY'!R507)/('RAP TEMPLATE-GAS AVAILABILITY'!O507+'RAP TEMPLATE-GAS AVAILABILITY'!P507+'RAP TEMPLATE-GAS AVAILABILITY'!Q507+'RAP TEMPLATE-GAS AVAILABILITY'!R507)</f>
        <v>26.79771654676259</v>
      </c>
    </row>
    <row r="509" spans="1:29" ht="15.75" x14ac:dyDescent="0.25">
      <c r="A509" s="14">
        <v>56400</v>
      </c>
      <c r="B509" s="17">
        <f>CHOOSE(CONTROL!$C$42, 27.4115, 27.4115) * CHOOSE(CONTROL!$C$21, $C$9, 100%, $E$9)</f>
        <v>27.4115</v>
      </c>
      <c r="C509" s="17">
        <f>CHOOSE(CONTROL!$C$42, 27.4196, 27.4196) * CHOOSE(CONTROL!$C$21, $C$9, 100%, $E$9)</f>
        <v>27.419599999999999</v>
      </c>
      <c r="D509" s="17">
        <f>CHOOSE(CONTROL!$C$42, 27.6906, 27.6906) * CHOOSE(CONTROL!$C$21, $C$9, 100%, $E$9)</f>
        <v>27.6906</v>
      </c>
      <c r="E509" s="17">
        <f>CHOOSE(CONTROL!$C$42, 27.7221, 27.7221) * CHOOSE(CONTROL!$C$21, $C$9, 100%, $E$9)</f>
        <v>27.722100000000001</v>
      </c>
      <c r="F509" s="17">
        <f>CHOOSE(CONTROL!$C$42, 27.4297, 27.4297)*CHOOSE(CONTROL!$C$21, $C$9, 100%, $E$9)</f>
        <v>27.4297</v>
      </c>
      <c r="G509" s="17">
        <f>CHOOSE(CONTROL!$C$42, 27.4463, 27.4463)*CHOOSE(CONTROL!$C$21, $C$9, 100%, $E$9)</f>
        <v>27.446300000000001</v>
      </c>
      <c r="H509" s="17">
        <f>CHOOSE(CONTROL!$C$42, 27.7107, 27.7107) * CHOOSE(CONTROL!$C$21, $C$9, 100%, $E$9)</f>
        <v>27.710699999999999</v>
      </c>
      <c r="I509" s="17">
        <f>CHOOSE(CONTROL!$C$42, 27.5173, 27.5173)* CHOOSE(CONTROL!$C$21, $C$9, 100%, $E$9)</f>
        <v>27.517299999999999</v>
      </c>
      <c r="J509" s="17">
        <f>CHOOSE(CONTROL!$C$42, 27.4227, 27.4227)* CHOOSE(CONTROL!$C$21, $C$9, 100%, $E$9)</f>
        <v>27.422699999999999</v>
      </c>
      <c r="K509" s="52">
        <f>CHOOSE(CONTROL!$C$42, 27.513, 27.513) * CHOOSE(CONTROL!$C$21, $C$9, 100%, $E$9)</f>
        <v>27.513000000000002</v>
      </c>
      <c r="L509" s="17">
        <f>CHOOSE(CONTROL!$C$42, 28.2977, 28.2977) * CHOOSE(CONTROL!$C$21, $C$9, 100%, $E$9)</f>
        <v>28.297699999999999</v>
      </c>
      <c r="M509" s="17">
        <f>CHOOSE(CONTROL!$C$42, 26.9372, 26.9372) * CHOOSE(CONTROL!$C$21, $C$9, 100%, $E$9)</f>
        <v>26.937200000000001</v>
      </c>
      <c r="N509" s="17">
        <f>CHOOSE(CONTROL!$C$42, 26.9535, 26.9535) * CHOOSE(CONTROL!$C$21, $C$9, 100%, $E$9)</f>
        <v>26.953499999999998</v>
      </c>
      <c r="O509" s="17">
        <f>CHOOSE(CONTROL!$C$42, 27.22, 27.22) * CHOOSE(CONTROL!$C$21, $C$9, 100%, $E$9)</f>
        <v>27.22</v>
      </c>
      <c r="P509" s="17">
        <f>CHOOSE(CONTROL!$C$42, 27.0286, 27.0286) * CHOOSE(CONTROL!$C$21, $C$9, 100%, $E$9)</f>
        <v>27.028600000000001</v>
      </c>
      <c r="Q509" s="17">
        <f>CHOOSE(CONTROL!$C$42, 27.8147, 27.8147) * CHOOSE(CONTROL!$C$21, $C$9, 100%, $E$9)</f>
        <v>27.814699999999998</v>
      </c>
      <c r="R509" s="17">
        <f>CHOOSE(CONTROL!$C$42, 28.4712, 28.4712) * CHOOSE(CONTROL!$C$21, $C$9, 100%, $E$9)</f>
        <v>28.4712</v>
      </c>
      <c r="S509" s="17">
        <f>CHOOSE(CONTROL!$C$42, 26.3291, 26.3291) * CHOOSE(CONTROL!$C$21, $C$9, 100%, $E$9)</f>
        <v>26.3291</v>
      </c>
      <c r="T50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09" s="56">
        <f>(1000*CHOOSE(CONTROL!$C$42, 695, 695)*CHOOSE(CONTROL!$C$42, 0.5599, 0.5599)*CHOOSE(CONTROL!$C$42, 31, 31))/1000000</f>
        <v>12.063045499999998</v>
      </c>
      <c r="V509" s="56">
        <f>(1000*CHOOSE(CONTROL!$C$42, 500, 500)*CHOOSE(CONTROL!$C$42, 0.275, 0.275)*CHOOSE(CONTROL!$C$42, 31, 31))/1000000</f>
        <v>4.2625000000000002</v>
      </c>
      <c r="W509" s="56">
        <f>(1000*CHOOSE(CONTROL!$C$42, 0.1146, 0.1146)*CHOOSE(CONTROL!$C$42, 121.5, 121.5)*CHOOSE(CONTROL!$C$42, 31, 31))/1000000</f>
        <v>0.43164089999999994</v>
      </c>
      <c r="X509" s="56">
        <f>(31*0.1790888*145000/1000000)+(31*0.2374*100000/1000000)</f>
        <v>1.5409441560000001</v>
      </c>
      <c r="Y509" s="56"/>
      <c r="Z509" s="17"/>
      <c r="AA509" s="55"/>
      <c r="AB509" s="48">
        <f>(B509*194.205+C509*267.466+D509*133.845+E509*153.484+F509*40+G509*85+H509*0+I509*100+J509*300)/(194.205+267.466+133.845+153.484+0+40+85+100+300)</f>
        <v>27.493776879513348</v>
      </c>
      <c r="AC509" s="45">
        <f>(M509*'RAP TEMPLATE-GAS AVAILABILITY'!O508+N509*'RAP TEMPLATE-GAS AVAILABILITY'!P508+O509*'RAP TEMPLATE-GAS AVAILABILITY'!Q508+P509*'RAP TEMPLATE-GAS AVAILABILITY'!R508)/('RAP TEMPLATE-GAS AVAILABILITY'!O508+'RAP TEMPLATE-GAS AVAILABILITY'!P508+'RAP TEMPLATE-GAS AVAILABILITY'!Q508+'RAP TEMPLATE-GAS AVAILABILITY'!R508)</f>
        <v>27.03345035971223</v>
      </c>
    </row>
    <row r="510" spans="1:29" ht="15.75" x14ac:dyDescent="0.25">
      <c r="A510" s="14">
        <v>56430</v>
      </c>
      <c r="B510" s="17">
        <f>CHOOSE(CONTROL!$C$42, 28.1888, 28.1888) * CHOOSE(CONTROL!$C$21, $C$9, 100%, $E$9)</f>
        <v>28.188800000000001</v>
      </c>
      <c r="C510" s="17">
        <f>CHOOSE(CONTROL!$C$42, 28.1968, 28.1968) * CHOOSE(CONTROL!$C$21, $C$9, 100%, $E$9)</f>
        <v>28.1968</v>
      </c>
      <c r="D510" s="17">
        <f>CHOOSE(CONTROL!$C$42, 28.4679, 28.4679) * CHOOSE(CONTROL!$C$21, $C$9, 100%, $E$9)</f>
        <v>28.4679</v>
      </c>
      <c r="E510" s="17">
        <f>CHOOSE(CONTROL!$C$42, 28.4993, 28.4993) * CHOOSE(CONTROL!$C$21, $C$9, 100%, $E$9)</f>
        <v>28.499300000000002</v>
      </c>
      <c r="F510" s="17">
        <f>CHOOSE(CONTROL!$C$42, 28.2072, 28.2072)*CHOOSE(CONTROL!$C$21, $C$9, 100%, $E$9)</f>
        <v>28.2072</v>
      </c>
      <c r="G510" s="17">
        <f>CHOOSE(CONTROL!$C$42, 28.2239, 28.2239)*CHOOSE(CONTROL!$C$21, $C$9, 100%, $E$9)</f>
        <v>28.2239</v>
      </c>
      <c r="H510" s="17">
        <f>CHOOSE(CONTROL!$C$42, 28.488, 28.488) * CHOOSE(CONTROL!$C$21, $C$9, 100%, $E$9)</f>
        <v>28.488</v>
      </c>
      <c r="I510" s="17">
        <f>CHOOSE(CONTROL!$C$42, 28.2969, 28.2969)* CHOOSE(CONTROL!$C$21, $C$9, 100%, $E$9)</f>
        <v>28.296900000000001</v>
      </c>
      <c r="J510" s="17">
        <f>CHOOSE(CONTROL!$C$42, 28.2002, 28.2002)* CHOOSE(CONTROL!$C$21, $C$9, 100%, $E$9)</f>
        <v>28.200199999999999</v>
      </c>
      <c r="K510" s="52">
        <f>CHOOSE(CONTROL!$C$42, 28.2927, 28.2927) * CHOOSE(CONTROL!$C$21, $C$9, 100%, $E$9)</f>
        <v>28.2927</v>
      </c>
      <c r="L510" s="17">
        <f>CHOOSE(CONTROL!$C$42, 29.075, 29.075) * CHOOSE(CONTROL!$C$21, $C$9, 100%, $E$9)</f>
        <v>29.074999999999999</v>
      </c>
      <c r="M510" s="17">
        <f>CHOOSE(CONTROL!$C$42, 27.7007, 27.7007) * CHOOSE(CONTROL!$C$21, $C$9, 100%, $E$9)</f>
        <v>27.700700000000001</v>
      </c>
      <c r="N510" s="17">
        <f>CHOOSE(CONTROL!$C$42, 27.7171, 27.7171) * CHOOSE(CONTROL!$C$21, $C$9, 100%, $E$9)</f>
        <v>27.717099999999999</v>
      </c>
      <c r="O510" s="17">
        <f>CHOOSE(CONTROL!$C$42, 27.9832, 27.9832) * CHOOSE(CONTROL!$C$21, $C$9, 100%, $E$9)</f>
        <v>27.9832</v>
      </c>
      <c r="P510" s="17">
        <f>CHOOSE(CONTROL!$C$42, 27.7942, 27.7942) * CHOOSE(CONTROL!$C$21, $C$9, 100%, $E$9)</f>
        <v>27.7942</v>
      </c>
      <c r="Q510" s="17">
        <f>CHOOSE(CONTROL!$C$42, 28.5779, 28.5779) * CHOOSE(CONTROL!$C$21, $C$9, 100%, $E$9)</f>
        <v>28.5779</v>
      </c>
      <c r="R510" s="17">
        <f>CHOOSE(CONTROL!$C$42, 29.2364, 29.2364) * CHOOSE(CONTROL!$C$21, $C$9, 100%, $E$9)</f>
        <v>29.2364</v>
      </c>
      <c r="S510" s="17">
        <f>CHOOSE(CONTROL!$C$42, 27.076, 27.076) * CHOOSE(CONTROL!$C$21, $C$9, 100%, $E$9)</f>
        <v>27.076000000000001</v>
      </c>
      <c r="T51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10" s="56">
        <f>(1000*CHOOSE(CONTROL!$C$42, 695, 695)*CHOOSE(CONTROL!$C$42, 0.5599, 0.5599)*CHOOSE(CONTROL!$C$42, 30, 30))/1000000</f>
        <v>11.673914999999997</v>
      </c>
      <c r="V510" s="56">
        <f>(1000*CHOOSE(CONTROL!$C$42, 500, 500)*CHOOSE(CONTROL!$C$42, 0.275, 0.275)*CHOOSE(CONTROL!$C$42, 30, 30))/1000000</f>
        <v>4.125</v>
      </c>
      <c r="W510" s="56">
        <f>(1000*CHOOSE(CONTROL!$C$42, 0.1146, 0.1146)*CHOOSE(CONTROL!$C$42, 121.5, 121.5)*CHOOSE(CONTROL!$C$42, 30, 30))/1000000</f>
        <v>0.417717</v>
      </c>
      <c r="X510" s="56">
        <f>(30*0.1790888*145000/1000000)+(30*0.2374*100000/1000000)</f>
        <v>1.4912362799999999</v>
      </c>
      <c r="Y510" s="56"/>
      <c r="Z510" s="17"/>
      <c r="AA510" s="55"/>
      <c r="AB510" s="48">
        <f>(B510*194.205+C510*267.466+D510*133.845+E510*153.484+F510*40+G510*85+H510*0+I510*100+J510*300)/(194.205+267.466+133.845+153.484+0+40+85+100+300)</f>
        <v>28.27129776255887</v>
      </c>
      <c r="AC510" s="45">
        <f>(M510*'RAP TEMPLATE-GAS AVAILABILITY'!O509+N510*'RAP TEMPLATE-GAS AVAILABILITY'!P509+O510*'RAP TEMPLATE-GAS AVAILABILITY'!Q509+P510*'RAP TEMPLATE-GAS AVAILABILITY'!R509)/('RAP TEMPLATE-GAS AVAILABILITY'!O509+'RAP TEMPLATE-GAS AVAILABILITY'!P509+'RAP TEMPLATE-GAS AVAILABILITY'!Q509+'RAP TEMPLATE-GAS AVAILABILITY'!R509)</f>
        <v>27.797191366906478</v>
      </c>
    </row>
    <row r="511" spans="1:29" ht="15.75" x14ac:dyDescent="0.25">
      <c r="A511" s="14">
        <v>56461</v>
      </c>
      <c r="B511" s="17">
        <f>CHOOSE(CONTROL!$C$42, 27.6482, 27.6482) * CHOOSE(CONTROL!$C$21, $C$9, 100%, $E$9)</f>
        <v>27.648199999999999</v>
      </c>
      <c r="C511" s="17">
        <f>CHOOSE(CONTROL!$C$42, 27.6562, 27.6562) * CHOOSE(CONTROL!$C$21, $C$9, 100%, $E$9)</f>
        <v>27.656199999999998</v>
      </c>
      <c r="D511" s="17">
        <f>CHOOSE(CONTROL!$C$42, 27.9273, 27.9273) * CHOOSE(CONTROL!$C$21, $C$9, 100%, $E$9)</f>
        <v>27.927299999999999</v>
      </c>
      <c r="E511" s="17">
        <f>CHOOSE(CONTROL!$C$42, 27.9588, 27.9588) * CHOOSE(CONTROL!$C$21, $C$9, 100%, $E$9)</f>
        <v>27.9588</v>
      </c>
      <c r="F511" s="17">
        <f>CHOOSE(CONTROL!$C$42, 27.6671, 27.6671)*CHOOSE(CONTROL!$C$21, $C$9, 100%, $E$9)</f>
        <v>27.667100000000001</v>
      </c>
      <c r="G511" s="17">
        <f>CHOOSE(CONTROL!$C$42, 27.6839, 27.6839)*CHOOSE(CONTROL!$C$21, $C$9, 100%, $E$9)</f>
        <v>27.683900000000001</v>
      </c>
      <c r="H511" s="17">
        <f>CHOOSE(CONTROL!$C$42, 27.9474, 27.9474) * CHOOSE(CONTROL!$C$21, $C$9, 100%, $E$9)</f>
        <v>27.947399999999998</v>
      </c>
      <c r="I511" s="17">
        <f>CHOOSE(CONTROL!$C$42, 27.7547, 27.7547)* CHOOSE(CONTROL!$C$21, $C$9, 100%, $E$9)</f>
        <v>27.7547</v>
      </c>
      <c r="J511" s="17">
        <f>CHOOSE(CONTROL!$C$42, 27.6601, 27.6601)* CHOOSE(CONTROL!$C$21, $C$9, 100%, $E$9)</f>
        <v>27.6601</v>
      </c>
      <c r="K511" s="52">
        <f>CHOOSE(CONTROL!$C$42, 27.7504, 27.7504) * CHOOSE(CONTROL!$C$21, $C$9, 100%, $E$9)</f>
        <v>27.750399999999999</v>
      </c>
      <c r="L511" s="17">
        <f>CHOOSE(CONTROL!$C$42, 28.5344, 28.5344) * CHOOSE(CONTROL!$C$21, $C$9, 100%, $E$9)</f>
        <v>28.534400000000002</v>
      </c>
      <c r="M511" s="17">
        <f>CHOOSE(CONTROL!$C$42, 27.1703, 27.1703) * CHOOSE(CONTROL!$C$21, $C$9, 100%, $E$9)</f>
        <v>27.170300000000001</v>
      </c>
      <c r="N511" s="17">
        <f>CHOOSE(CONTROL!$C$42, 27.1868, 27.1868) * CHOOSE(CONTROL!$C$21, $C$9, 100%, $E$9)</f>
        <v>27.186800000000002</v>
      </c>
      <c r="O511" s="17">
        <f>CHOOSE(CONTROL!$C$42, 27.4524, 27.4524) * CHOOSE(CONTROL!$C$21, $C$9, 100%, $E$9)</f>
        <v>27.452400000000001</v>
      </c>
      <c r="P511" s="17">
        <f>CHOOSE(CONTROL!$C$42, 27.2617, 27.2617) * CHOOSE(CONTROL!$C$21, $C$9, 100%, $E$9)</f>
        <v>27.261700000000001</v>
      </c>
      <c r="Q511" s="17">
        <f>CHOOSE(CONTROL!$C$42, 28.0471, 28.0471) * CHOOSE(CONTROL!$C$21, $C$9, 100%, $E$9)</f>
        <v>28.0471</v>
      </c>
      <c r="R511" s="17">
        <f>CHOOSE(CONTROL!$C$42, 28.7042, 28.7042) * CHOOSE(CONTROL!$C$21, $C$9, 100%, $E$9)</f>
        <v>28.7042</v>
      </c>
      <c r="S511" s="17">
        <f>CHOOSE(CONTROL!$C$42, 26.5565, 26.5565) * CHOOSE(CONTROL!$C$21, $C$9, 100%, $E$9)</f>
        <v>26.5565</v>
      </c>
      <c r="T51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11" s="56">
        <f>(1000*CHOOSE(CONTROL!$C$42, 695, 695)*CHOOSE(CONTROL!$C$42, 0.5599, 0.5599)*CHOOSE(CONTROL!$C$42, 31, 31))/1000000</f>
        <v>12.063045499999998</v>
      </c>
      <c r="V511" s="56">
        <f>(1000*CHOOSE(CONTROL!$C$42, 500, 500)*CHOOSE(CONTROL!$C$42, 0.275, 0.275)*CHOOSE(CONTROL!$C$42, 31, 31))/1000000</f>
        <v>4.2625000000000002</v>
      </c>
      <c r="W511" s="56">
        <f>(1000*CHOOSE(CONTROL!$C$42, 0.1146, 0.1146)*CHOOSE(CONTROL!$C$42, 121.5, 121.5)*CHOOSE(CONTROL!$C$42, 31, 31))/1000000</f>
        <v>0.43164089999999994</v>
      </c>
      <c r="X511" s="56">
        <f>(31*0.1790888*145000/1000000)+(31*0.2374*100000/1000000)</f>
        <v>1.5409441560000001</v>
      </c>
      <c r="Y511" s="56"/>
      <c r="Z511" s="17"/>
      <c r="AA511" s="55"/>
      <c r="AB511" s="48">
        <f>(B511*194.205+C511*267.466+D511*133.845+E511*153.484+F511*40+G511*85+H511*0+I511*100+J511*300)/(194.205+267.466+133.845+153.484+0+40+85+100+300)</f>
        <v>27.730757690659338</v>
      </c>
      <c r="AC511" s="45">
        <f>(M511*'RAP TEMPLATE-GAS AVAILABILITY'!O510+N511*'RAP TEMPLATE-GAS AVAILABILITY'!P510+O511*'RAP TEMPLATE-GAS AVAILABILITY'!Q510+P511*'RAP TEMPLATE-GAS AVAILABILITY'!R510)/('RAP TEMPLATE-GAS AVAILABILITY'!O510+'RAP TEMPLATE-GAS AVAILABILITY'!P510+'RAP TEMPLATE-GAS AVAILABILITY'!Q510+'RAP TEMPLATE-GAS AVAILABILITY'!R510)</f>
        <v>27.266400000000001</v>
      </c>
    </row>
    <row r="512" spans="1:29" ht="15.75" x14ac:dyDescent="0.25">
      <c r="A512" s="14">
        <v>56492</v>
      </c>
      <c r="B512" s="17">
        <f>CHOOSE(CONTROL!$C$42, 26.2831, 26.2831) * CHOOSE(CONTROL!$C$21, $C$9, 100%, $E$9)</f>
        <v>26.283100000000001</v>
      </c>
      <c r="C512" s="17">
        <f>CHOOSE(CONTROL!$C$42, 26.2911, 26.2911) * CHOOSE(CONTROL!$C$21, $C$9, 100%, $E$9)</f>
        <v>26.2911</v>
      </c>
      <c r="D512" s="17">
        <f>CHOOSE(CONTROL!$C$42, 26.5622, 26.5622) * CHOOSE(CONTROL!$C$21, $C$9, 100%, $E$9)</f>
        <v>26.562200000000001</v>
      </c>
      <c r="E512" s="17">
        <f>CHOOSE(CONTROL!$C$42, 26.5937, 26.5937) * CHOOSE(CONTROL!$C$21, $C$9, 100%, $E$9)</f>
        <v>26.593699999999998</v>
      </c>
      <c r="F512" s="17">
        <f>CHOOSE(CONTROL!$C$42, 26.3022, 26.3022)*CHOOSE(CONTROL!$C$21, $C$9, 100%, $E$9)</f>
        <v>26.302199999999999</v>
      </c>
      <c r="G512" s="17">
        <f>CHOOSE(CONTROL!$C$42, 26.3191, 26.3191)*CHOOSE(CONTROL!$C$21, $C$9, 100%, $E$9)</f>
        <v>26.319099999999999</v>
      </c>
      <c r="H512" s="17">
        <f>CHOOSE(CONTROL!$C$42, 26.5823, 26.5823) * CHOOSE(CONTROL!$C$21, $C$9, 100%, $E$9)</f>
        <v>26.5823</v>
      </c>
      <c r="I512" s="17">
        <f>CHOOSE(CONTROL!$C$42, 26.3853, 26.3853)* CHOOSE(CONTROL!$C$21, $C$9, 100%, $E$9)</f>
        <v>26.385300000000001</v>
      </c>
      <c r="J512" s="17">
        <f>CHOOSE(CONTROL!$C$42, 26.2952, 26.2952)* CHOOSE(CONTROL!$C$21, $C$9, 100%, $E$9)</f>
        <v>26.295200000000001</v>
      </c>
      <c r="K512" s="52">
        <f>CHOOSE(CONTROL!$C$42, 26.3811, 26.3811) * CHOOSE(CONTROL!$C$21, $C$9, 100%, $E$9)</f>
        <v>26.3811</v>
      </c>
      <c r="L512" s="17">
        <f>CHOOSE(CONTROL!$C$42, 27.1693, 27.1693) * CHOOSE(CONTROL!$C$21, $C$9, 100%, $E$9)</f>
        <v>27.1693</v>
      </c>
      <c r="M512" s="17">
        <f>CHOOSE(CONTROL!$C$42, 25.83, 25.83) * CHOOSE(CONTROL!$C$21, $C$9, 100%, $E$9)</f>
        <v>25.83</v>
      </c>
      <c r="N512" s="17">
        <f>CHOOSE(CONTROL!$C$42, 25.8465, 25.8465) * CHOOSE(CONTROL!$C$21, $C$9, 100%, $E$9)</f>
        <v>25.846499999999999</v>
      </c>
      <c r="O512" s="17">
        <f>CHOOSE(CONTROL!$C$42, 26.1119, 26.1119) * CHOOSE(CONTROL!$C$21, $C$9, 100%, $E$9)</f>
        <v>26.111899999999999</v>
      </c>
      <c r="P512" s="17">
        <f>CHOOSE(CONTROL!$C$42, 25.917, 25.917) * CHOOSE(CONTROL!$C$21, $C$9, 100%, $E$9)</f>
        <v>25.917000000000002</v>
      </c>
      <c r="Q512" s="17">
        <f>CHOOSE(CONTROL!$C$42, 26.7066, 26.7066) * CHOOSE(CONTROL!$C$21, $C$9, 100%, $E$9)</f>
        <v>26.706600000000002</v>
      </c>
      <c r="R512" s="17">
        <f>CHOOSE(CONTROL!$C$42, 27.3603, 27.3603) * CHOOSE(CONTROL!$C$21, $C$9, 100%, $E$9)</f>
        <v>27.360299999999999</v>
      </c>
      <c r="S512" s="17">
        <f>CHOOSE(CONTROL!$C$42, 25.2448, 25.2448) * CHOOSE(CONTROL!$C$21, $C$9, 100%, $E$9)</f>
        <v>25.244800000000001</v>
      </c>
      <c r="T51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12" s="56">
        <f>(1000*CHOOSE(CONTROL!$C$42, 695, 695)*CHOOSE(CONTROL!$C$42, 0.5599, 0.5599)*CHOOSE(CONTROL!$C$42, 31, 31))/1000000</f>
        <v>12.063045499999998</v>
      </c>
      <c r="V512" s="56">
        <f>(1000*CHOOSE(CONTROL!$C$42, 500, 500)*CHOOSE(CONTROL!$C$42, 0.275, 0.275)*CHOOSE(CONTROL!$C$42, 31, 31))/1000000</f>
        <v>4.2625000000000002</v>
      </c>
      <c r="W512" s="56">
        <f>(1000*CHOOSE(CONTROL!$C$42, 0.1146, 0.1146)*CHOOSE(CONTROL!$C$42, 121.5, 121.5)*CHOOSE(CONTROL!$C$42, 31, 31))/1000000</f>
        <v>0.43164089999999994</v>
      </c>
      <c r="X512" s="56">
        <f>(31*0.1790888*145000/1000000)+(31*0.2374*100000/1000000)</f>
        <v>1.5409441560000001</v>
      </c>
      <c r="Y512" s="56"/>
      <c r="Z512" s="17"/>
      <c r="AA512" s="55"/>
      <c r="AB512" s="48">
        <f>(B512*194.205+C512*267.466+D512*133.845+E512*153.484+F512*40+G512*85+H512*0+I512*100+J512*300)/(194.205+267.466+133.845+153.484+0+40+85+100+300)</f>
        <v>26.365393561930922</v>
      </c>
      <c r="AC512" s="45">
        <f>(M512*'RAP TEMPLATE-GAS AVAILABILITY'!O511+N512*'RAP TEMPLATE-GAS AVAILABILITY'!P511+O512*'RAP TEMPLATE-GAS AVAILABILITY'!Q511+P512*'RAP TEMPLATE-GAS AVAILABILITY'!R511)/('RAP TEMPLATE-GAS AVAILABILITY'!O511+'RAP TEMPLATE-GAS AVAILABILITY'!P511+'RAP TEMPLATE-GAS AVAILABILITY'!Q511+'RAP TEMPLATE-GAS AVAILABILITY'!R511)</f>
        <v>25.925410791366904</v>
      </c>
    </row>
    <row r="513" spans="1:29" ht="15.75" x14ac:dyDescent="0.25">
      <c r="A513" s="14">
        <v>56522</v>
      </c>
      <c r="B513" s="17">
        <f>CHOOSE(CONTROL!$C$42, 24.615, 24.615) * CHOOSE(CONTROL!$C$21, $C$9, 100%, $E$9)</f>
        <v>24.614999999999998</v>
      </c>
      <c r="C513" s="17">
        <f>CHOOSE(CONTROL!$C$42, 24.623, 24.623) * CHOOSE(CONTROL!$C$21, $C$9, 100%, $E$9)</f>
        <v>24.623000000000001</v>
      </c>
      <c r="D513" s="17">
        <f>CHOOSE(CONTROL!$C$42, 24.8941, 24.8941) * CHOOSE(CONTROL!$C$21, $C$9, 100%, $E$9)</f>
        <v>24.894100000000002</v>
      </c>
      <c r="E513" s="17">
        <f>CHOOSE(CONTROL!$C$42, 24.9255, 24.9255) * CHOOSE(CONTROL!$C$21, $C$9, 100%, $E$9)</f>
        <v>24.9255</v>
      </c>
      <c r="F513" s="17">
        <f>CHOOSE(CONTROL!$C$42, 24.6342, 24.6342)*CHOOSE(CONTROL!$C$21, $C$9, 100%, $E$9)</f>
        <v>24.6342</v>
      </c>
      <c r="G513" s="17">
        <f>CHOOSE(CONTROL!$C$42, 24.6511, 24.6511)*CHOOSE(CONTROL!$C$21, $C$9, 100%, $E$9)</f>
        <v>24.6511</v>
      </c>
      <c r="H513" s="17">
        <f>CHOOSE(CONTROL!$C$42, 24.9142, 24.9142) * CHOOSE(CONTROL!$C$21, $C$9, 100%, $E$9)</f>
        <v>24.914200000000001</v>
      </c>
      <c r="I513" s="17">
        <f>CHOOSE(CONTROL!$C$42, 24.7119, 24.7119)* CHOOSE(CONTROL!$C$21, $C$9, 100%, $E$9)</f>
        <v>24.7119</v>
      </c>
      <c r="J513" s="17">
        <f>CHOOSE(CONTROL!$C$42, 24.6272, 24.6272)* CHOOSE(CONTROL!$C$21, $C$9, 100%, $E$9)</f>
        <v>24.627199999999998</v>
      </c>
      <c r="K513" s="52">
        <f>CHOOSE(CONTROL!$C$42, 24.7077, 24.7077) * CHOOSE(CONTROL!$C$21, $C$9, 100%, $E$9)</f>
        <v>24.707699999999999</v>
      </c>
      <c r="L513" s="17">
        <f>CHOOSE(CONTROL!$C$42, 25.5012, 25.5012) * CHOOSE(CONTROL!$C$21, $C$9, 100%, $E$9)</f>
        <v>25.501200000000001</v>
      </c>
      <c r="M513" s="17">
        <f>CHOOSE(CONTROL!$C$42, 24.1919, 24.1919) * CHOOSE(CONTROL!$C$21, $C$9, 100%, $E$9)</f>
        <v>24.1919</v>
      </c>
      <c r="N513" s="17">
        <f>CHOOSE(CONTROL!$C$42, 24.2085, 24.2085) * CHOOSE(CONTROL!$C$21, $C$9, 100%, $E$9)</f>
        <v>24.208500000000001</v>
      </c>
      <c r="O513" s="17">
        <f>CHOOSE(CONTROL!$C$42, 24.4737, 24.4737) * CHOOSE(CONTROL!$C$21, $C$9, 100%, $E$9)</f>
        <v>24.473700000000001</v>
      </c>
      <c r="P513" s="17">
        <f>CHOOSE(CONTROL!$C$42, 24.2738, 24.2738) * CHOOSE(CONTROL!$C$21, $C$9, 100%, $E$9)</f>
        <v>24.273800000000001</v>
      </c>
      <c r="Q513" s="17">
        <f>CHOOSE(CONTROL!$C$42, 25.0684, 25.0684) * CHOOSE(CONTROL!$C$21, $C$9, 100%, $E$9)</f>
        <v>25.0684</v>
      </c>
      <c r="R513" s="17">
        <f>CHOOSE(CONTROL!$C$42, 25.7181, 25.7181) * CHOOSE(CONTROL!$C$21, $C$9, 100%, $E$9)</f>
        <v>25.7181</v>
      </c>
      <c r="S513" s="17">
        <f>CHOOSE(CONTROL!$C$42, 23.6419, 23.6419) * CHOOSE(CONTROL!$C$21, $C$9, 100%, $E$9)</f>
        <v>23.6419</v>
      </c>
      <c r="T51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13" s="56">
        <f>(1000*CHOOSE(CONTROL!$C$42, 695, 695)*CHOOSE(CONTROL!$C$42, 0.5599, 0.5599)*CHOOSE(CONTROL!$C$42, 30, 30))/1000000</f>
        <v>11.673914999999997</v>
      </c>
      <c r="V513" s="56">
        <f>(1000*CHOOSE(CONTROL!$C$42, 500, 500)*CHOOSE(CONTROL!$C$42, 0.275, 0.275)*CHOOSE(CONTROL!$C$42, 30, 30))/1000000</f>
        <v>4.125</v>
      </c>
      <c r="W513" s="56">
        <f>(1000*CHOOSE(CONTROL!$C$42, 0.1146, 0.1146)*CHOOSE(CONTROL!$C$42, 121.5, 121.5)*CHOOSE(CONTROL!$C$42, 30, 30))/1000000</f>
        <v>0.417717</v>
      </c>
      <c r="X513" s="56">
        <f>(30*0.1790888*145000/1000000)+(30*0.2374*100000/1000000)</f>
        <v>1.4912362799999999</v>
      </c>
      <c r="Y513" s="56"/>
      <c r="Z513" s="17"/>
      <c r="AA513" s="55"/>
      <c r="AB513" s="48">
        <f>(B513*194.205+C513*267.466+D513*133.845+E513*153.484+F513*40+G513*85+H513*0+I513*100+J513*300)/(194.205+267.466+133.845+153.484+0+40+85+100+300)</f>
        <v>24.696898861459967</v>
      </c>
      <c r="AC513" s="45">
        <f>(M513*'RAP TEMPLATE-GAS AVAILABILITY'!O512+N513*'RAP TEMPLATE-GAS AVAILABILITY'!P512+O513*'RAP TEMPLATE-GAS AVAILABILITY'!Q512+P513*'RAP TEMPLATE-GAS AVAILABILITY'!R512)/('RAP TEMPLATE-GAS AVAILABILITY'!O512+'RAP TEMPLATE-GAS AVAILABILITY'!P512+'RAP TEMPLATE-GAS AVAILABILITY'!Q512+'RAP TEMPLATE-GAS AVAILABILITY'!R512)</f>
        <v>24.286571942446049</v>
      </c>
    </row>
    <row r="514" spans="1:29" ht="15.75" x14ac:dyDescent="0.25">
      <c r="A514" s="14">
        <v>56553</v>
      </c>
      <c r="B514" s="17">
        <f>CHOOSE(CONTROL!$C$42, 24.1137, 24.1137) * CHOOSE(CONTROL!$C$21, $C$9, 100%, $E$9)</f>
        <v>24.113700000000001</v>
      </c>
      <c r="C514" s="17">
        <f>CHOOSE(CONTROL!$C$42, 24.119, 24.119) * CHOOSE(CONTROL!$C$21, $C$9, 100%, $E$9)</f>
        <v>24.119</v>
      </c>
      <c r="D514" s="17">
        <f>CHOOSE(CONTROL!$C$42, 24.395, 24.395) * CHOOSE(CONTROL!$C$21, $C$9, 100%, $E$9)</f>
        <v>24.395</v>
      </c>
      <c r="E514" s="17">
        <f>CHOOSE(CONTROL!$C$42, 24.4241, 24.4241) * CHOOSE(CONTROL!$C$21, $C$9, 100%, $E$9)</f>
        <v>24.424099999999999</v>
      </c>
      <c r="F514" s="17">
        <f>CHOOSE(CONTROL!$C$42, 24.1351, 24.1351)*CHOOSE(CONTROL!$C$21, $C$9, 100%, $E$9)</f>
        <v>24.135100000000001</v>
      </c>
      <c r="G514" s="17">
        <f>CHOOSE(CONTROL!$C$42, 24.1519, 24.1519)*CHOOSE(CONTROL!$C$21, $C$9, 100%, $E$9)</f>
        <v>24.151900000000001</v>
      </c>
      <c r="H514" s="17">
        <f>CHOOSE(CONTROL!$C$42, 24.4146, 24.4146) * CHOOSE(CONTROL!$C$21, $C$9, 100%, $E$9)</f>
        <v>24.4146</v>
      </c>
      <c r="I514" s="17">
        <f>CHOOSE(CONTROL!$C$42, 24.2108, 24.2108)* CHOOSE(CONTROL!$C$21, $C$9, 100%, $E$9)</f>
        <v>24.210799999999999</v>
      </c>
      <c r="J514" s="17">
        <f>CHOOSE(CONTROL!$C$42, 24.1281, 24.1281)* CHOOSE(CONTROL!$C$21, $C$9, 100%, $E$9)</f>
        <v>24.1281</v>
      </c>
      <c r="K514" s="52">
        <f>CHOOSE(CONTROL!$C$42, 24.2066, 24.2066) * CHOOSE(CONTROL!$C$21, $C$9, 100%, $E$9)</f>
        <v>24.206600000000002</v>
      </c>
      <c r="L514" s="17">
        <f>CHOOSE(CONTROL!$C$42, 25.0016, 25.0016) * CHOOSE(CONTROL!$C$21, $C$9, 100%, $E$9)</f>
        <v>25.0016</v>
      </c>
      <c r="M514" s="17">
        <f>CHOOSE(CONTROL!$C$42, 23.7018, 23.7018) * CHOOSE(CONTROL!$C$21, $C$9, 100%, $E$9)</f>
        <v>23.701799999999999</v>
      </c>
      <c r="N514" s="17">
        <f>CHOOSE(CONTROL!$C$42, 23.7183, 23.7183) * CHOOSE(CONTROL!$C$21, $C$9, 100%, $E$9)</f>
        <v>23.718299999999999</v>
      </c>
      <c r="O514" s="17">
        <f>CHOOSE(CONTROL!$C$42, 23.9832, 23.9832) * CHOOSE(CONTROL!$C$21, $C$9, 100%, $E$9)</f>
        <v>23.9832</v>
      </c>
      <c r="P514" s="17">
        <f>CHOOSE(CONTROL!$C$42, 23.7818, 23.7818) * CHOOSE(CONTROL!$C$21, $C$9, 100%, $E$9)</f>
        <v>23.7818</v>
      </c>
      <c r="Q514" s="17">
        <f>CHOOSE(CONTROL!$C$42, 24.5779, 24.5779) * CHOOSE(CONTROL!$C$21, $C$9, 100%, $E$9)</f>
        <v>24.5779</v>
      </c>
      <c r="R514" s="17">
        <f>CHOOSE(CONTROL!$C$42, 25.2263, 25.2263) * CHOOSE(CONTROL!$C$21, $C$9, 100%, $E$9)</f>
        <v>25.226299999999998</v>
      </c>
      <c r="S514" s="17">
        <f>CHOOSE(CONTROL!$C$42, 23.1619, 23.1619) * CHOOSE(CONTROL!$C$21, $C$9, 100%, $E$9)</f>
        <v>23.161899999999999</v>
      </c>
      <c r="T51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14" s="56">
        <f>(1000*CHOOSE(CONTROL!$C$42, 695, 695)*CHOOSE(CONTROL!$C$42, 0.5599, 0.5599)*CHOOSE(CONTROL!$C$42, 31, 31))/1000000</f>
        <v>12.063045499999998</v>
      </c>
      <c r="V514" s="56">
        <f>(1000*CHOOSE(CONTROL!$C$42, 500, 500)*CHOOSE(CONTROL!$C$42, 0.275, 0.275)*CHOOSE(CONTROL!$C$42, 31, 31))/1000000</f>
        <v>4.2625000000000002</v>
      </c>
      <c r="W514" s="56">
        <f>(1000*CHOOSE(CONTROL!$C$42, 0.1146, 0.1146)*CHOOSE(CONTROL!$C$42, 121.5, 121.5)*CHOOSE(CONTROL!$C$42, 31, 31))/1000000</f>
        <v>0.43164089999999994</v>
      </c>
      <c r="X514" s="56">
        <f>(31*0.1790888*145000/1000000)+(31*0.2374*100000/1000000)</f>
        <v>1.5409441560000001</v>
      </c>
      <c r="Y514" s="56"/>
      <c r="Z514" s="17"/>
      <c r="AA514" s="55"/>
      <c r="AB514" s="48">
        <f>(B514*131.881+C514*277.167+D514*79.08+E514*225.872+F514*40+G514*85+H514*0+I514*100+J514*300)/(131.881+277.167+79.08+225.872+0+40+85+100+300)</f>
        <v>24.204061467231636</v>
      </c>
      <c r="AC514" s="45">
        <f>(M514*'RAP TEMPLATE-GAS AVAILABILITY'!O513+N514*'RAP TEMPLATE-GAS AVAILABILITY'!P513+O514*'RAP TEMPLATE-GAS AVAILABILITY'!Q513+P514*'RAP TEMPLATE-GAS AVAILABILITY'!R513)/('RAP TEMPLATE-GAS AVAILABILITY'!O513+'RAP TEMPLATE-GAS AVAILABILITY'!P513+'RAP TEMPLATE-GAS AVAILABILITY'!Q513+'RAP TEMPLATE-GAS AVAILABILITY'!R513)</f>
        <v>23.796063309352515</v>
      </c>
    </row>
    <row r="515" spans="1:29" ht="15.75" x14ac:dyDescent="0.25">
      <c r="A515" s="14">
        <v>56583</v>
      </c>
      <c r="B515" s="17">
        <f>CHOOSE(CONTROL!$C$42, 24.7483, 24.7483) * CHOOSE(CONTROL!$C$21, $C$9, 100%, $E$9)</f>
        <v>24.7483</v>
      </c>
      <c r="C515" s="17">
        <f>CHOOSE(CONTROL!$C$42, 24.7533, 24.7533) * CHOOSE(CONTROL!$C$21, $C$9, 100%, $E$9)</f>
        <v>24.753299999999999</v>
      </c>
      <c r="D515" s="17">
        <f>CHOOSE(CONTROL!$C$42, 24.8484, 24.8484) * CHOOSE(CONTROL!$C$21, $C$9, 100%, $E$9)</f>
        <v>24.848400000000002</v>
      </c>
      <c r="E515" s="17">
        <f>CHOOSE(CONTROL!$C$42, 24.8825, 24.8825) * CHOOSE(CONTROL!$C$21, $C$9, 100%, $E$9)</f>
        <v>24.8825</v>
      </c>
      <c r="F515" s="17">
        <f>CHOOSE(CONTROL!$C$42, 24.7722, 24.7722)*CHOOSE(CONTROL!$C$21, $C$9, 100%, $E$9)</f>
        <v>24.772200000000002</v>
      </c>
      <c r="G515" s="17">
        <f>CHOOSE(CONTROL!$C$42, 24.7892, 24.7892)*CHOOSE(CONTROL!$C$21, $C$9, 100%, $E$9)</f>
        <v>24.789200000000001</v>
      </c>
      <c r="H515" s="17">
        <f>CHOOSE(CONTROL!$C$42, 24.8717, 24.8717) * CHOOSE(CONTROL!$C$21, $C$9, 100%, $E$9)</f>
        <v>24.871700000000001</v>
      </c>
      <c r="I515" s="17">
        <f>CHOOSE(CONTROL!$C$42, 24.8457, 24.8457)* CHOOSE(CONTROL!$C$21, $C$9, 100%, $E$9)</f>
        <v>24.845700000000001</v>
      </c>
      <c r="J515" s="17">
        <f>CHOOSE(CONTROL!$C$42, 24.7652, 24.7652)* CHOOSE(CONTROL!$C$21, $C$9, 100%, $E$9)</f>
        <v>24.7652</v>
      </c>
      <c r="K515" s="52">
        <f>CHOOSE(CONTROL!$C$42, 24.8415, 24.8415) * CHOOSE(CONTROL!$C$21, $C$9, 100%, $E$9)</f>
        <v>24.8415</v>
      </c>
      <c r="L515" s="17">
        <f>CHOOSE(CONTROL!$C$42, 25.4587, 25.4587) * CHOOSE(CONTROL!$C$21, $C$9, 100%, $E$9)</f>
        <v>25.4587</v>
      </c>
      <c r="M515" s="17">
        <f>CHOOSE(CONTROL!$C$42, 24.3274, 24.3274) * CHOOSE(CONTROL!$C$21, $C$9, 100%, $E$9)</f>
        <v>24.327400000000001</v>
      </c>
      <c r="N515" s="17">
        <f>CHOOSE(CONTROL!$C$42, 24.3442, 24.3442) * CHOOSE(CONTROL!$C$21, $C$9, 100%, $E$9)</f>
        <v>24.344200000000001</v>
      </c>
      <c r="O515" s="17">
        <f>CHOOSE(CONTROL!$C$42, 24.432, 24.432) * CHOOSE(CONTROL!$C$21, $C$9, 100%, $E$9)</f>
        <v>24.431999999999999</v>
      </c>
      <c r="P515" s="17">
        <f>CHOOSE(CONTROL!$C$42, 24.4052, 24.4052) * CHOOSE(CONTROL!$C$21, $C$9, 100%, $E$9)</f>
        <v>24.405200000000001</v>
      </c>
      <c r="Q515" s="17">
        <f>CHOOSE(CONTROL!$C$42, 25.0267, 25.0267) * CHOOSE(CONTROL!$C$21, $C$9, 100%, $E$9)</f>
        <v>25.026700000000002</v>
      </c>
      <c r="R515" s="17">
        <f>CHOOSE(CONTROL!$C$42, 25.6763, 25.6763) * CHOOSE(CONTROL!$C$21, $C$9, 100%, $E$9)</f>
        <v>25.676300000000001</v>
      </c>
      <c r="S515" s="17">
        <f>CHOOSE(CONTROL!$C$42, 23.7721, 23.7721) * CHOOSE(CONTROL!$C$21, $C$9, 100%, $E$9)</f>
        <v>23.772099999999998</v>
      </c>
      <c r="T51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15" s="56">
        <f>(1000*CHOOSE(CONTROL!$C$42, 695, 695)*CHOOSE(CONTROL!$C$42, 0.5599, 0.5599)*CHOOSE(CONTROL!$C$42, 30, 30))/1000000</f>
        <v>11.673914999999997</v>
      </c>
      <c r="V515" s="56">
        <f>(1000*CHOOSE(CONTROL!$C$42, 500, 500)*CHOOSE(CONTROL!$C$42, 0.275, 0.275)*CHOOSE(CONTROL!$C$42, 30, 30))/1000000</f>
        <v>4.125</v>
      </c>
      <c r="W515" s="56">
        <f>(1000*CHOOSE(CONTROL!$C$42, 0.1146, 0.1146)*CHOOSE(CONTROL!$C$42, 121.5, 121.5)*CHOOSE(CONTROL!$C$42, 30, 30))/1000000</f>
        <v>0.417717</v>
      </c>
      <c r="X515" s="56">
        <f>(30*0.2374*100000/1000000)</f>
        <v>0.71220000000000006</v>
      </c>
      <c r="Y515" s="56"/>
      <c r="Z515" s="17"/>
      <c r="AA515" s="55"/>
      <c r="AB515" s="48">
        <f>(B515*122.58+C515*297.941+D515*89.177+E515*140.302+F515*40+G515*60+H515*0+I515*100+J515*300)/(122.58+297.941+89.177+140.302+0+40+60+100+300)</f>
        <v>24.789573783565217</v>
      </c>
      <c r="AC515" s="45">
        <f>(M515*'RAP TEMPLATE-GAS AVAILABILITY'!O514+N515*'RAP TEMPLATE-GAS AVAILABILITY'!P514+O515*'RAP TEMPLATE-GAS AVAILABILITY'!Q514+P515*'RAP TEMPLATE-GAS AVAILABILITY'!R514)/('RAP TEMPLATE-GAS AVAILABILITY'!O514+'RAP TEMPLATE-GAS AVAILABILITY'!P514+'RAP TEMPLATE-GAS AVAILABILITY'!Q514+'RAP TEMPLATE-GAS AVAILABILITY'!R514)</f>
        <v>24.38696978417266</v>
      </c>
    </row>
    <row r="516" spans="1:29" ht="15.75" x14ac:dyDescent="0.25">
      <c r="A516" s="14">
        <v>56614</v>
      </c>
      <c r="B516" s="17">
        <f>CHOOSE(CONTROL!$C$42, 26.4349, 26.4349) * CHOOSE(CONTROL!$C$21, $C$9, 100%, $E$9)</f>
        <v>26.434899999999999</v>
      </c>
      <c r="C516" s="17">
        <f>CHOOSE(CONTROL!$C$42, 26.44, 26.44) * CHOOSE(CONTROL!$C$21, $C$9, 100%, $E$9)</f>
        <v>26.44</v>
      </c>
      <c r="D516" s="17">
        <f>CHOOSE(CONTROL!$C$42, 26.535, 26.535) * CHOOSE(CONTROL!$C$21, $C$9, 100%, $E$9)</f>
        <v>26.535</v>
      </c>
      <c r="E516" s="17">
        <f>CHOOSE(CONTROL!$C$42, 26.5691, 26.5691) * CHOOSE(CONTROL!$C$21, $C$9, 100%, $E$9)</f>
        <v>26.569099999999999</v>
      </c>
      <c r="F516" s="17">
        <f>CHOOSE(CONTROL!$C$42, 26.4612, 26.4612)*CHOOSE(CONTROL!$C$21, $C$9, 100%, $E$9)</f>
        <v>26.461200000000002</v>
      </c>
      <c r="G516" s="17">
        <f>CHOOSE(CONTROL!$C$42, 26.4789, 26.4789)*CHOOSE(CONTROL!$C$21, $C$9, 100%, $E$9)</f>
        <v>26.478899999999999</v>
      </c>
      <c r="H516" s="17">
        <f>CHOOSE(CONTROL!$C$42, 26.5583, 26.5583) * CHOOSE(CONTROL!$C$21, $C$9, 100%, $E$9)</f>
        <v>26.558299999999999</v>
      </c>
      <c r="I516" s="17">
        <f>CHOOSE(CONTROL!$C$42, 26.5377, 26.5377)* CHOOSE(CONTROL!$C$21, $C$9, 100%, $E$9)</f>
        <v>26.537700000000001</v>
      </c>
      <c r="J516" s="17">
        <f>CHOOSE(CONTROL!$C$42, 26.4542, 26.4542)* CHOOSE(CONTROL!$C$21, $C$9, 100%, $E$9)</f>
        <v>26.4542</v>
      </c>
      <c r="K516" s="52">
        <f>CHOOSE(CONTROL!$C$42, 26.5335, 26.5335) * CHOOSE(CONTROL!$C$21, $C$9, 100%, $E$9)</f>
        <v>26.5335</v>
      </c>
      <c r="L516" s="17">
        <f>CHOOSE(CONTROL!$C$42, 27.1453, 27.1453) * CHOOSE(CONTROL!$C$21, $C$9, 100%, $E$9)</f>
        <v>27.145299999999999</v>
      </c>
      <c r="M516" s="17">
        <f>CHOOSE(CONTROL!$C$42, 25.9861, 25.9861) * CHOOSE(CONTROL!$C$21, $C$9, 100%, $E$9)</f>
        <v>25.9861</v>
      </c>
      <c r="N516" s="17">
        <f>CHOOSE(CONTROL!$C$42, 26.0034, 26.0034) * CHOOSE(CONTROL!$C$21, $C$9, 100%, $E$9)</f>
        <v>26.003399999999999</v>
      </c>
      <c r="O516" s="17">
        <f>CHOOSE(CONTROL!$C$42, 26.0883, 26.0883) * CHOOSE(CONTROL!$C$21, $C$9, 100%, $E$9)</f>
        <v>26.0883</v>
      </c>
      <c r="P516" s="17">
        <f>CHOOSE(CONTROL!$C$42, 26.0667, 26.0667) * CHOOSE(CONTROL!$C$21, $C$9, 100%, $E$9)</f>
        <v>26.066700000000001</v>
      </c>
      <c r="Q516" s="17">
        <f>CHOOSE(CONTROL!$C$42, 26.683, 26.683) * CHOOSE(CONTROL!$C$21, $C$9, 100%, $E$9)</f>
        <v>26.683</v>
      </c>
      <c r="R516" s="17">
        <f>CHOOSE(CONTROL!$C$42, 27.3367, 27.3367) * CHOOSE(CONTROL!$C$21, $C$9, 100%, $E$9)</f>
        <v>27.3367</v>
      </c>
      <c r="S516" s="17">
        <f>CHOOSE(CONTROL!$C$42, 25.3928, 25.3928) * CHOOSE(CONTROL!$C$21, $C$9, 100%, $E$9)</f>
        <v>25.392800000000001</v>
      </c>
      <c r="T51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16" s="56">
        <f>(1000*CHOOSE(CONTROL!$C$42, 695, 695)*CHOOSE(CONTROL!$C$42, 0.5599, 0.5599)*CHOOSE(CONTROL!$C$42, 31, 31))/1000000</f>
        <v>12.063045499999998</v>
      </c>
      <c r="V516" s="56">
        <f>(1000*CHOOSE(CONTROL!$C$42, 500, 500)*CHOOSE(CONTROL!$C$42, 0.275, 0.275)*CHOOSE(CONTROL!$C$42, 31, 31))/1000000</f>
        <v>4.2625000000000002</v>
      </c>
      <c r="W516" s="56">
        <f>(1000*CHOOSE(CONTROL!$C$42, 0.1146, 0.1146)*CHOOSE(CONTROL!$C$42, 121.5, 121.5)*CHOOSE(CONTROL!$C$42, 31, 31))/1000000</f>
        <v>0.43164089999999994</v>
      </c>
      <c r="X516" s="56">
        <f>(31*0.2374*100000/1000000)</f>
        <v>0.73594000000000004</v>
      </c>
      <c r="Y516" s="56"/>
      <c r="Z516" s="17"/>
      <c r="AA516" s="55"/>
      <c r="AB516" s="48">
        <f>(B516*122.58+C516*297.941+D516*89.177+E516*140.302+F516*40+G516*60+H516*0+I516*100+J516*300)/(122.58+297.941+89.177+140.302+0+40+60+100+300)</f>
        <v>26.477540561043483</v>
      </c>
      <c r="AC516" s="45">
        <f>(M516*'RAP TEMPLATE-GAS AVAILABILITY'!O515+N516*'RAP TEMPLATE-GAS AVAILABILITY'!P515+O516*'RAP TEMPLATE-GAS AVAILABILITY'!Q515+P516*'RAP TEMPLATE-GAS AVAILABILITY'!R515)/('RAP TEMPLATE-GAS AVAILABILITY'!O515+'RAP TEMPLATE-GAS AVAILABILITY'!P515+'RAP TEMPLATE-GAS AVAILABILITY'!Q515+'RAP TEMPLATE-GAS AVAILABILITY'!R515)</f>
        <v>26.045013669064751</v>
      </c>
    </row>
    <row r="517" spans="1:29" ht="15.75" x14ac:dyDescent="0.25">
      <c r="A517" s="13">
        <v>56645</v>
      </c>
      <c r="B517" s="17">
        <f>CHOOSE(CONTROL!$C$42, 28.6256, 28.6256) * CHOOSE(CONTROL!$C$21, $C$9, 100%, $E$9)</f>
        <v>28.625599999999999</v>
      </c>
      <c r="C517" s="17">
        <f>CHOOSE(CONTROL!$C$42, 28.6307, 28.6307) * CHOOSE(CONTROL!$C$21, $C$9, 100%, $E$9)</f>
        <v>28.630700000000001</v>
      </c>
      <c r="D517" s="17">
        <f>CHOOSE(CONTROL!$C$42, 28.7491, 28.7491) * CHOOSE(CONTROL!$C$21, $C$9, 100%, $E$9)</f>
        <v>28.749099999999999</v>
      </c>
      <c r="E517" s="17">
        <f>CHOOSE(CONTROL!$C$42, 28.7832, 28.7832) * CHOOSE(CONTROL!$C$21, $C$9, 100%, $E$9)</f>
        <v>28.783200000000001</v>
      </c>
      <c r="F517" s="17">
        <f>CHOOSE(CONTROL!$C$42, 28.646, 28.646)*CHOOSE(CONTROL!$C$21, $C$9, 100%, $E$9)</f>
        <v>28.646000000000001</v>
      </c>
      <c r="G517" s="17">
        <f>CHOOSE(CONTROL!$C$42, 28.6628, 28.6628)*CHOOSE(CONTROL!$C$21, $C$9, 100%, $E$9)</f>
        <v>28.662800000000001</v>
      </c>
      <c r="H517" s="17">
        <f>CHOOSE(CONTROL!$C$42, 28.7724, 28.7724) * CHOOSE(CONTROL!$C$21, $C$9, 100%, $E$9)</f>
        <v>28.772400000000001</v>
      </c>
      <c r="I517" s="17">
        <f>CHOOSE(CONTROL!$C$42, 28.7389, 28.7389)* CHOOSE(CONTROL!$C$21, $C$9, 100%, $E$9)</f>
        <v>28.738900000000001</v>
      </c>
      <c r="J517" s="17">
        <f>CHOOSE(CONTROL!$C$42, 28.639, 28.639)* CHOOSE(CONTROL!$C$21, $C$9, 100%, $E$9)</f>
        <v>28.638999999999999</v>
      </c>
      <c r="K517" s="52">
        <f>CHOOSE(CONTROL!$C$42, 28.7347, 28.7347) * CHOOSE(CONTROL!$C$21, $C$9, 100%, $E$9)</f>
        <v>28.7347</v>
      </c>
      <c r="L517" s="17">
        <f>CHOOSE(CONTROL!$C$42, 29.3594, 29.3594) * CHOOSE(CONTROL!$C$21, $C$9, 100%, $E$9)</f>
        <v>29.359400000000001</v>
      </c>
      <c r="M517" s="17">
        <f>CHOOSE(CONTROL!$C$42, 28.1316, 28.1316) * CHOOSE(CONTROL!$C$21, $C$9, 100%, $E$9)</f>
        <v>28.131599999999999</v>
      </c>
      <c r="N517" s="17">
        <f>CHOOSE(CONTROL!$C$42, 28.1481, 28.1481) * CHOOSE(CONTROL!$C$21, $C$9, 100%, $E$9)</f>
        <v>28.148099999999999</v>
      </c>
      <c r="O517" s="17">
        <f>CHOOSE(CONTROL!$C$42, 28.2626, 28.2626) * CHOOSE(CONTROL!$C$21, $C$9, 100%, $E$9)</f>
        <v>28.262599999999999</v>
      </c>
      <c r="P517" s="17">
        <f>CHOOSE(CONTROL!$C$42, 28.2281, 28.2281) * CHOOSE(CONTROL!$C$21, $C$9, 100%, $E$9)</f>
        <v>28.228100000000001</v>
      </c>
      <c r="Q517" s="17">
        <f>CHOOSE(CONTROL!$C$42, 28.8573, 28.8573) * CHOOSE(CONTROL!$C$21, $C$9, 100%, $E$9)</f>
        <v>28.857299999999999</v>
      </c>
      <c r="R517" s="17">
        <f>CHOOSE(CONTROL!$C$42, 29.5164, 29.5164) * CHOOSE(CONTROL!$C$21, $C$9, 100%, $E$9)</f>
        <v>29.516400000000001</v>
      </c>
      <c r="S517" s="17">
        <f>CHOOSE(CONTROL!$C$42, 27.4978, 27.4978) * CHOOSE(CONTROL!$C$21, $C$9, 100%, $E$9)</f>
        <v>27.497800000000002</v>
      </c>
      <c r="T51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17" s="56">
        <f>(1000*CHOOSE(CONTROL!$C$42, 695, 695)*CHOOSE(CONTROL!$C$42, 0.5599, 0.5599)*CHOOSE(CONTROL!$C$42, 31, 31))/1000000</f>
        <v>12.063045499999998</v>
      </c>
      <c r="V517" s="56">
        <f>(1000*CHOOSE(CONTROL!$C$42, 500, 500)*CHOOSE(CONTROL!$C$42, 0.275, 0.275)*CHOOSE(CONTROL!$C$42, 31, 31))/1000000</f>
        <v>4.2625000000000002</v>
      </c>
      <c r="W517" s="56">
        <f>(1000*CHOOSE(CONTROL!$C$42, 0.1146, 0.1146)*CHOOSE(CONTROL!$C$42, 121.5, 121.5)*CHOOSE(CONTROL!$C$42, 31, 31))/1000000</f>
        <v>0.43164089999999994</v>
      </c>
      <c r="X517" s="56">
        <f>(31*0.2374*100000/1000000)</f>
        <v>0.73594000000000004</v>
      </c>
      <c r="Y517" s="56"/>
      <c r="Z517" s="17"/>
      <c r="AA517" s="55"/>
      <c r="AB517" s="48">
        <f>(B517*122.58+C517*297.941+D517*89.177+E517*140.302+F517*40+G517*60+H517*0+I517*100+J517*300)/(122.58+297.941+89.177+140.302+0+40+60+100+300)</f>
        <v>28.67172387286956</v>
      </c>
      <c r="AC517" s="45">
        <f>(M517*'RAP TEMPLATE-GAS AVAILABILITY'!O516+N517*'RAP TEMPLATE-GAS AVAILABILITY'!P516+O517*'RAP TEMPLATE-GAS AVAILABILITY'!Q516+P517*'RAP TEMPLATE-GAS AVAILABILITY'!R516)/('RAP TEMPLATE-GAS AVAILABILITY'!O516+'RAP TEMPLATE-GAS AVAILABILITY'!P516+'RAP TEMPLATE-GAS AVAILABILITY'!Q516+'RAP TEMPLATE-GAS AVAILABILITY'!R516)</f>
        <v>28.205808633093525</v>
      </c>
    </row>
    <row r="518" spans="1:29" ht="15.75" x14ac:dyDescent="0.25">
      <c r="A518" s="13">
        <v>56673</v>
      </c>
      <c r="B518" s="17">
        <f>CHOOSE(CONTROL!$C$42, 29.135, 29.135) * CHOOSE(CONTROL!$C$21, $C$9, 100%, $E$9)</f>
        <v>29.135000000000002</v>
      </c>
      <c r="C518" s="17">
        <f>CHOOSE(CONTROL!$C$42, 29.1401, 29.1401) * CHOOSE(CONTROL!$C$21, $C$9, 100%, $E$9)</f>
        <v>29.1401</v>
      </c>
      <c r="D518" s="17">
        <f>CHOOSE(CONTROL!$C$42, 29.2585, 29.2585) * CHOOSE(CONTROL!$C$21, $C$9, 100%, $E$9)</f>
        <v>29.258500000000002</v>
      </c>
      <c r="E518" s="17">
        <f>CHOOSE(CONTROL!$C$42, 29.2926, 29.2926) * CHOOSE(CONTROL!$C$21, $C$9, 100%, $E$9)</f>
        <v>29.2926</v>
      </c>
      <c r="F518" s="17">
        <f>CHOOSE(CONTROL!$C$42, 29.1554, 29.1554)*CHOOSE(CONTROL!$C$21, $C$9, 100%, $E$9)</f>
        <v>29.1554</v>
      </c>
      <c r="G518" s="17">
        <f>CHOOSE(CONTROL!$C$42, 29.1722, 29.1722)*CHOOSE(CONTROL!$C$21, $C$9, 100%, $E$9)</f>
        <v>29.1722</v>
      </c>
      <c r="H518" s="17">
        <f>CHOOSE(CONTROL!$C$42, 29.2818, 29.2818) * CHOOSE(CONTROL!$C$21, $C$9, 100%, $E$9)</f>
        <v>29.2818</v>
      </c>
      <c r="I518" s="17">
        <f>CHOOSE(CONTROL!$C$42, 29.2499, 29.2499)* CHOOSE(CONTROL!$C$21, $C$9, 100%, $E$9)</f>
        <v>29.2499</v>
      </c>
      <c r="J518" s="17">
        <f>CHOOSE(CONTROL!$C$42, 29.1484, 29.1484)* CHOOSE(CONTROL!$C$21, $C$9, 100%, $E$9)</f>
        <v>29.148399999999999</v>
      </c>
      <c r="K518" s="52">
        <f>CHOOSE(CONTROL!$C$42, 29.2457, 29.2457) * CHOOSE(CONTROL!$C$21, $C$9, 100%, $E$9)</f>
        <v>29.245699999999999</v>
      </c>
      <c r="L518" s="17">
        <f>CHOOSE(CONTROL!$C$42, 29.8688, 29.8688) * CHOOSE(CONTROL!$C$21, $C$9, 100%, $E$9)</f>
        <v>29.8688</v>
      </c>
      <c r="M518" s="17">
        <f>CHOOSE(CONTROL!$C$42, 28.6318, 28.6318) * CHOOSE(CONTROL!$C$21, $C$9, 100%, $E$9)</f>
        <v>28.631799999999998</v>
      </c>
      <c r="N518" s="17">
        <f>CHOOSE(CONTROL!$C$42, 28.6483, 28.6483) * CHOOSE(CONTROL!$C$21, $C$9, 100%, $E$9)</f>
        <v>28.648299999999999</v>
      </c>
      <c r="O518" s="17">
        <f>CHOOSE(CONTROL!$C$42, 28.7628, 28.7628) * CHOOSE(CONTROL!$C$21, $C$9, 100%, $E$9)</f>
        <v>28.762799999999999</v>
      </c>
      <c r="P518" s="17">
        <f>CHOOSE(CONTROL!$C$42, 28.7299, 28.7299) * CHOOSE(CONTROL!$C$21, $C$9, 100%, $E$9)</f>
        <v>28.729900000000001</v>
      </c>
      <c r="Q518" s="17">
        <f>CHOOSE(CONTROL!$C$42, 29.3575, 29.3575) * CHOOSE(CONTROL!$C$21, $C$9, 100%, $E$9)</f>
        <v>29.357500000000002</v>
      </c>
      <c r="R518" s="17">
        <f>CHOOSE(CONTROL!$C$42, 30.0179, 30.0179) * CHOOSE(CONTROL!$C$21, $C$9, 100%, $E$9)</f>
        <v>30.017900000000001</v>
      </c>
      <c r="S518" s="17">
        <f>CHOOSE(CONTROL!$C$42, 27.9873, 27.9873) * CHOOSE(CONTROL!$C$21, $C$9, 100%, $E$9)</f>
        <v>27.987300000000001</v>
      </c>
      <c r="T51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18" s="56">
        <f>(1000*CHOOSE(CONTROL!$C$42, 695, 695)*CHOOSE(CONTROL!$C$42, 0.5599, 0.5599)*CHOOSE(CONTROL!$C$42, 28, 28))/1000000</f>
        <v>10.895653999999999</v>
      </c>
      <c r="V518" s="56">
        <f>(1000*CHOOSE(CONTROL!$C$42, 500, 500)*CHOOSE(CONTROL!$C$42, 0.275, 0.275)*CHOOSE(CONTROL!$C$42, 28, 28))/1000000</f>
        <v>3.85</v>
      </c>
      <c r="W518" s="56">
        <f>(1000*CHOOSE(CONTROL!$C$42, 0.1146, 0.1146)*CHOOSE(CONTROL!$C$42, 121.5, 121.5)*CHOOSE(CONTROL!$C$42, 28, 28))/1000000</f>
        <v>0.38986920000000003</v>
      </c>
      <c r="X518" s="56">
        <f>(28*0.2374*100000/1000000)</f>
        <v>0.66471999999999998</v>
      </c>
      <c r="Y518" s="56"/>
      <c r="Z518" s="17"/>
      <c r="AA518" s="55"/>
      <c r="AB518" s="48">
        <f>(B518*122.58+C518*297.941+D518*89.177+E518*140.302+F518*40+G518*60+H518*0+I518*100+J518*300)/(122.58+297.941+89.177+140.302+0+40+60+100+300)</f>
        <v>29.181263003304345</v>
      </c>
      <c r="AC518" s="45">
        <f>(M518*'RAP TEMPLATE-GAS AVAILABILITY'!O517+N518*'RAP TEMPLATE-GAS AVAILABILITY'!P517+O518*'RAP TEMPLATE-GAS AVAILABILITY'!Q517+P518*'RAP TEMPLATE-GAS AVAILABILITY'!R517)/('RAP TEMPLATE-GAS AVAILABILITY'!O517+'RAP TEMPLATE-GAS AVAILABILITY'!P517+'RAP TEMPLATE-GAS AVAILABILITY'!Q517+'RAP TEMPLATE-GAS AVAILABILITY'!R517)</f>
        <v>28.706238848920862</v>
      </c>
    </row>
    <row r="519" spans="1:29" ht="15.75" x14ac:dyDescent="0.25">
      <c r="A519" s="13">
        <v>56704</v>
      </c>
      <c r="B519" s="17">
        <f>CHOOSE(CONTROL!$C$42, 28.3081, 28.3081) * CHOOSE(CONTROL!$C$21, $C$9, 100%, $E$9)</f>
        <v>28.3081</v>
      </c>
      <c r="C519" s="17">
        <f>CHOOSE(CONTROL!$C$42, 28.3132, 28.3132) * CHOOSE(CONTROL!$C$21, $C$9, 100%, $E$9)</f>
        <v>28.313199999999998</v>
      </c>
      <c r="D519" s="17">
        <f>CHOOSE(CONTROL!$C$42, 28.4316, 28.4316) * CHOOSE(CONTROL!$C$21, $C$9, 100%, $E$9)</f>
        <v>28.4316</v>
      </c>
      <c r="E519" s="17">
        <f>CHOOSE(CONTROL!$C$42, 28.4658, 28.4658) * CHOOSE(CONTROL!$C$21, $C$9, 100%, $E$9)</f>
        <v>28.465800000000002</v>
      </c>
      <c r="F519" s="17">
        <f>CHOOSE(CONTROL!$C$42, 28.3278, 28.3278)*CHOOSE(CONTROL!$C$21, $C$9, 100%, $E$9)</f>
        <v>28.3278</v>
      </c>
      <c r="G519" s="17">
        <f>CHOOSE(CONTROL!$C$42, 28.3445, 28.3445)*CHOOSE(CONTROL!$C$21, $C$9, 100%, $E$9)</f>
        <v>28.3445</v>
      </c>
      <c r="H519" s="17">
        <f>CHOOSE(CONTROL!$C$42, 28.4549, 28.4549) * CHOOSE(CONTROL!$C$21, $C$9, 100%, $E$9)</f>
        <v>28.454899999999999</v>
      </c>
      <c r="I519" s="17">
        <f>CHOOSE(CONTROL!$C$42, 28.4204, 28.4204)* CHOOSE(CONTROL!$C$21, $C$9, 100%, $E$9)</f>
        <v>28.420400000000001</v>
      </c>
      <c r="J519" s="17">
        <f>CHOOSE(CONTROL!$C$42, 28.3208, 28.3208)* CHOOSE(CONTROL!$C$21, $C$9, 100%, $E$9)</f>
        <v>28.320799999999998</v>
      </c>
      <c r="K519" s="52">
        <f>CHOOSE(CONTROL!$C$42, 28.4162, 28.4162) * CHOOSE(CONTROL!$C$21, $C$9, 100%, $E$9)</f>
        <v>28.4162</v>
      </c>
      <c r="L519" s="17">
        <f>CHOOSE(CONTROL!$C$42, 29.0419, 29.0419) * CHOOSE(CONTROL!$C$21, $C$9, 100%, $E$9)</f>
        <v>29.041899999999998</v>
      </c>
      <c r="M519" s="17">
        <f>CHOOSE(CONTROL!$C$42, 27.8191, 27.8191) * CHOOSE(CONTROL!$C$21, $C$9, 100%, $E$9)</f>
        <v>27.819099999999999</v>
      </c>
      <c r="N519" s="17">
        <f>CHOOSE(CONTROL!$C$42, 27.8355, 27.8355) * CHOOSE(CONTROL!$C$21, $C$9, 100%, $E$9)</f>
        <v>27.8355</v>
      </c>
      <c r="O519" s="17">
        <f>CHOOSE(CONTROL!$C$42, 27.9508, 27.9508) * CHOOSE(CONTROL!$C$21, $C$9, 100%, $E$9)</f>
        <v>27.950800000000001</v>
      </c>
      <c r="P519" s="17">
        <f>CHOOSE(CONTROL!$C$42, 27.9154, 27.9154) * CHOOSE(CONTROL!$C$21, $C$9, 100%, $E$9)</f>
        <v>27.915400000000002</v>
      </c>
      <c r="Q519" s="17">
        <f>CHOOSE(CONTROL!$C$42, 28.5455, 28.5455) * CHOOSE(CONTROL!$C$21, $C$9, 100%, $E$9)</f>
        <v>28.545500000000001</v>
      </c>
      <c r="R519" s="17">
        <f>CHOOSE(CONTROL!$C$42, 29.2039, 29.2039) * CHOOSE(CONTROL!$C$21, $C$9, 100%, $E$9)</f>
        <v>29.203900000000001</v>
      </c>
      <c r="S519" s="17">
        <f>CHOOSE(CONTROL!$C$42, 27.1927, 27.1927) * CHOOSE(CONTROL!$C$21, $C$9, 100%, $E$9)</f>
        <v>27.192699999999999</v>
      </c>
      <c r="T51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19" s="56">
        <f>(1000*CHOOSE(CONTROL!$C$42, 695, 695)*CHOOSE(CONTROL!$C$42, 0.5599, 0.5599)*CHOOSE(CONTROL!$C$42, 31, 31))/1000000</f>
        <v>12.063045499999998</v>
      </c>
      <c r="V519" s="56">
        <f>(1000*CHOOSE(CONTROL!$C$42, 500, 500)*CHOOSE(CONTROL!$C$42, 0.275, 0.275)*CHOOSE(CONTROL!$C$42, 31, 31))/1000000</f>
        <v>4.2625000000000002</v>
      </c>
      <c r="W519" s="56">
        <f>(1000*CHOOSE(CONTROL!$C$42, 0.1146, 0.1146)*CHOOSE(CONTROL!$C$42, 121.5, 121.5)*CHOOSE(CONTROL!$C$42, 31, 31))/1000000</f>
        <v>0.43164089999999994</v>
      </c>
      <c r="X519" s="56">
        <f>(31*0.2374*100000/1000000)</f>
        <v>0.73594000000000004</v>
      </c>
      <c r="Y519" s="56"/>
      <c r="Z519" s="17"/>
      <c r="AA519" s="55"/>
      <c r="AB519" s="48">
        <f>(B519*122.58+C519*297.941+D519*89.177+E519*140.302+F519*40+G519*60+H519*0+I519*100+J519*300)/(122.58+297.941+89.177+140.302+0+40+60+100+300)</f>
        <v>28.353900420869564</v>
      </c>
      <c r="AC519" s="45">
        <f>(M519*'RAP TEMPLATE-GAS AVAILABILITY'!O518+N519*'RAP TEMPLATE-GAS AVAILABILITY'!P518+O519*'RAP TEMPLATE-GAS AVAILABILITY'!Q518+P519*'RAP TEMPLATE-GAS AVAILABILITY'!R518)/('RAP TEMPLATE-GAS AVAILABILITY'!O518+'RAP TEMPLATE-GAS AVAILABILITY'!P518+'RAP TEMPLATE-GAS AVAILABILITY'!Q518+'RAP TEMPLATE-GAS AVAILABILITY'!R518)</f>
        <v>27.893591366906477</v>
      </c>
    </row>
    <row r="520" spans="1:29" ht="15.75" x14ac:dyDescent="0.25">
      <c r="A520" s="13">
        <v>56734</v>
      </c>
      <c r="B520" s="17">
        <f>CHOOSE(CONTROL!$C$42, 28.2244, 28.2244) * CHOOSE(CONTROL!$C$21, $C$9, 100%, $E$9)</f>
        <v>28.224399999999999</v>
      </c>
      <c r="C520" s="17">
        <f>CHOOSE(CONTROL!$C$42, 28.2289, 28.2289) * CHOOSE(CONTROL!$C$21, $C$9, 100%, $E$9)</f>
        <v>28.228899999999999</v>
      </c>
      <c r="D520" s="17">
        <f>CHOOSE(CONTROL!$C$42, 28.5031, 28.5031) * CHOOSE(CONTROL!$C$21, $C$9, 100%, $E$9)</f>
        <v>28.5031</v>
      </c>
      <c r="E520" s="17">
        <f>CHOOSE(CONTROL!$C$42, 28.5352, 28.5352) * CHOOSE(CONTROL!$C$21, $C$9, 100%, $E$9)</f>
        <v>28.5352</v>
      </c>
      <c r="F520" s="17">
        <f>CHOOSE(CONTROL!$C$42, 28.2437, 28.2437)*CHOOSE(CONTROL!$C$21, $C$9, 100%, $E$9)</f>
        <v>28.2437</v>
      </c>
      <c r="G520" s="17">
        <f>CHOOSE(CONTROL!$C$42, 28.2601, 28.2601)*CHOOSE(CONTROL!$C$21, $C$9, 100%, $E$9)</f>
        <v>28.260100000000001</v>
      </c>
      <c r="H520" s="17">
        <f>CHOOSE(CONTROL!$C$42, 28.525, 28.525) * CHOOSE(CONTROL!$C$21, $C$9, 100%, $E$9)</f>
        <v>28.524999999999999</v>
      </c>
      <c r="I520" s="17">
        <f>CHOOSE(CONTROL!$C$42, 28.3341, 28.3341)* CHOOSE(CONTROL!$C$21, $C$9, 100%, $E$9)</f>
        <v>28.334099999999999</v>
      </c>
      <c r="J520" s="17">
        <f>CHOOSE(CONTROL!$C$42, 28.2367, 28.2367)* CHOOSE(CONTROL!$C$21, $C$9, 100%, $E$9)</f>
        <v>28.236699999999999</v>
      </c>
      <c r="K520" s="52">
        <f>CHOOSE(CONTROL!$C$42, 28.3298, 28.3298) * CHOOSE(CONTROL!$C$21, $C$9, 100%, $E$9)</f>
        <v>28.329799999999999</v>
      </c>
      <c r="L520" s="17">
        <f>CHOOSE(CONTROL!$C$42, 29.112, 29.112) * CHOOSE(CONTROL!$C$21, $C$9, 100%, $E$9)</f>
        <v>29.111999999999998</v>
      </c>
      <c r="M520" s="17">
        <f>CHOOSE(CONTROL!$C$42, 27.7365, 27.7365) * CHOOSE(CONTROL!$C$21, $C$9, 100%, $E$9)</f>
        <v>27.736499999999999</v>
      </c>
      <c r="N520" s="17">
        <f>CHOOSE(CONTROL!$C$42, 27.7526, 27.7526) * CHOOSE(CONTROL!$C$21, $C$9, 100%, $E$9)</f>
        <v>27.752600000000001</v>
      </c>
      <c r="O520" s="17">
        <f>CHOOSE(CONTROL!$C$42, 28.0196, 28.0196) * CHOOSE(CONTROL!$C$21, $C$9, 100%, $E$9)</f>
        <v>28.019600000000001</v>
      </c>
      <c r="P520" s="17">
        <f>CHOOSE(CONTROL!$C$42, 27.8306, 27.8306) * CHOOSE(CONTROL!$C$21, $C$9, 100%, $E$9)</f>
        <v>27.8306</v>
      </c>
      <c r="Q520" s="17">
        <f>CHOOSE(CONTROL!$C$42, 28.6143, 28.6143) * CHOOSE(CONTROL!$C$21, $C$9, 100%, $E$9)</f>
        <v>28.6143</v>
      </c>
      <c r="R520" s="17">
        <f>CHOOSE(CONTROL!$C$42, 29.2728, 29.2728) * CHOOSE(CONTROL!$C$21, $C$9, 100%, $E$9)</f>
        <v>29.2728</v>
      </c>
      <c r="S520" s="17">
        <f>CHOOSE(CONTROL!$C$42, 27.1115, 27.1115) * CHOOSE(CONTROL!$C$21, $C$9, 100%, $E$9)</f>
        <v>27.111499999999999</v>
      </c>
      <c r="T52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20" s="56">
        <f>(1000*CHOOSE(CONTROL!$C$42, 695, 695)*CHOOSE(CONTROL!$C$42, 0.5599, 0.5599)*CHOOSE(CONTROL!$C$42, 30, 30))/1000000</f>
        <v>11.673914999999997</v>
      </c>
      <c r="V520" s="56">
        <f>(1000*CHOOSE(CONTROL!$C$42, 500, 500)*CHOOSE(CONTROL!$C$42, 0.275, 0.275)*CHOOSE(CONTROL!$C$42, 30, 30))/1000000</f>
        <v>4.125</v>
      </c>
      <c r="W520" s="56">
        <f>(1000*CHOOSE(CONTROL!$C$42, 0.1146, 0.1146)*CHOOSE(CONTROL!$C$42, 121.5, 121.5)*CHOOSE(CONTROL!$C$42, 30, 30))/1000000</f>
        <v>0.417717</v>
      </c>
      <c r="X520" s="56">
        <f>(30*0.1790888*145000/1000000)+(30*0.2374*100000/1000000)</f>
        <v>1.4912362799999999</v>
      </c>
      <c r="Y520" s="56"/>
      <c r="Z520" s="17"/>
      <c r="AA520" s="55"/>
      <c r="AB520" s="48">
        <f>(B520*141.293+C520*267.993+D520*115.016+E520*189.698+F520*40+G520*85+H520*0+I520*100+J520*300)/(141.293+267.993+115.016+189.698+0+40+85+100+300)</f>
        <v>28.313734597336563</v>
      </c>
      <c r="AC520" s="45">
        <f>(M520*'RAP TEMPLATE-GAS AVAILABILITY'!O519+N520*'RAP TEMPLATE-GAS AVAILABILITY'!P519+O520*'RAP TEMPLATE-GAS AVAILABILITY'!Q519+P520*'RAP TEMPLATE-GAS AVAILABILITY'!R519)/('RAP TEMPLATE-GAS AVAILABILITY'!O519+'RAP TEMPLATE-GAS AVAILABILITY'!P519+'RAP TEMPLATE-GAS AVAILABILITY'!Q519+'RAP TEMPLATE-GAS AVAILABILITY'!R519)</f>
        <v>27.833176978417267</v>
      </c>
    </row>
    <row r="521" spans="1:29" ht="15.75" x14ac:dyDescent="0.25">
      <c r="A521" s="13">
        <v>56765</v>
      </c>
      <c r="B521" s="17">
        <f>CHOOSE(CONTROL!$C$42, 28.4748, 28.4748) * CHOOSE(CONTROL!$C$21, $C$9, 100%, $E$9)</f>
        <v>28.474799999999998</v>
      </c>
      <c r="C521" s="17">
        <f>CHOOSE(CONTROL!$C$42, 28.4829, 28.4829) * CHOOSE(CONTROL!$C$21, $C$9, 100%, $E$9)</f>
        <v>28.482900000000001</v>
      </c>
      <c r="D521" s="17">
        <f>CHOOSE(CONTROL!$C$42, 28.7539, 28.7539) * CHOOSE(CONTROL!$C$21, $C$9, 100%, $E$9)</f>
        <v>28.753900000000002</v>
      </c>
      <c r="E521" s="17">
        <f>CHOOSE(CONTROL!$C$42, 28.7854, 28.7854) * CHOOSE(CONTROL!$C$21, $C$9, 100%, $E$9)</f>
        <v>28.785399999999999</v>
      </c>
      <c r="F521" s="17">
        <f>CHOOSE(CONTROL!$C$42, 28.493, 28.493)*CHOOSE(CONTROL!$C$21, $C$9, 100%, $E$9)</f>
        <v>28.492999999999999</v>
      </c>
      <c r="G521" s="17">
        <f>CHOOSE(CONTROL!$C$42, 28.5096, 28.5096)*CHOOSE(CONTROL!$C$21, $C$9, 100%, $E$9)</f>
        <v>28.509599999999999</v>
      </c>
      <c r="H521" s="17">
        <f>CHOOSE(CONTROL!$C$42, 28.774, 28.774) * CHOOSE(CONTROL!$C$21, $C$9, 100%, $E$9)</f>
        <v>28.774000000000001</v>
      </c>
      <c r="I521" s="17">
        <f>CHOOSE(CONTROL!$C$42, 28.5839, 28.5839)* CHOOSE(CONTROL!$C$21, $C$9, 100%, $E$9)</f>
        <v>28.5839</v>
      </c>
      <c r="J521" s="17">
        <f>CHOOSE(CONTROL!$C$42, 28.486, 28.486)* CHOOSE(CONTROL!$C$21, $C$9, 100%, $E$9)</f>
        <v>28.486000000000001</v>
      </c>
      <c r="K521" s="52">
        <f>CHOOSE(CONTROL!$C$42, 28.5796, 28.5796) * CHOOSE(CONTROL!$C$21, $C$9, 100%, $E$9)</f>
        <v>28.579599999999999</v>
      </c>
      <c r="L521" s="17">
        <f>CHOOSE(CONTROL!$C$42, 29.361, 29.361) * CHOOSE(CONTROL!$C$21, $C$9, 100%, $E$9)</f>
        <v>29.361000000000001</v>
      </c>
      <c r="M521" s="17">
        <f>CHOOSE(CONTROL!$C$42, 27.9813, 27.9813) * CHOOSE(CONTROL!$C$21, $C$9, 100%, $E$9)</f>
        <v>27.981300000000001</v>
      </c>
      <c r="N521" s="17">
        <f>CHOOSE(CONTROL!$C$42, 27.9976, 27.9976) * CHOOSE(CONTROL!$C$21, $C$9, 100%, $E$9)</f>
        <v>27.997599999999998</v>
      </c>
      <c r="O521" s="17">
        <f>CHOOSE(CONTROL!$C$42, 28.2641, 28.2641) * CHOOSE(CONTROL!$C$21, $C$9, 100%, $E$9)</f>
        <v>28.264099999999999</v>
      </c>
      <c r="P521" s="17">
        <f>CHOOSE(CONTROL!$C$42, 28.0759, 28.0759) * CHOOSE(CONTROL!$C$21, $C$9, 100%, $E$9)</f>
        <v>28.075900000000001</v>
      </c>
      <c r="Q521" s="17">
        <f>CHOOSE(CONTROL!$C$42, 28.8588, 28.8588) * CHOOSE(CONTROL!$C$21, $C$9, 100%, $E$9)</f>
        <v>28.858799999999999</v>
      </c>
      <c r="R521" s="17">
        <f>CHOOSE(CONTROL!$C$42, 29.518, 29.518) * CHOOSE(CONTROL!$C$21, $C$9, 100%, $E$9)</f>
        <v>29.518000000000001</v>
      </c>
      <c r="S521" s="17">
        <f>CHOOSE(CONTROL!$C$42, 27.3508, 27.3508) * CHOOSE(CONTROL!$C$21, $C$9, 100%, $E$9)</f>
        <v>27.3508</v>
      </c>
      <c r="T52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21" s="56">
        <f>(1000*CHOOSE(CONTROL!$C$42, 695, 695)*CHOOSE(CONTROL!$C$42, 0.5599, 0.5599)*CHOOSE(CONTROL!$C$42, 31, 31))/1000000</f>
        <v>12.063045499999998</v>
      </c>
      <c r="V521" s="56">
        <f>(1000*CHOOSE(CONTROL!$C$42, 500, 500)*CHOOSE(CONTROL!$C$42, 0.275, 0.275)*CHOOSE(CONTROL!$C$42, 31, 31))/1000000</f>
        <v>4.2625000000000002</v>
      </c>
      <c r="W521" s="56">
        <f>(1000*CHOOSE(CONTROL!$C$42, 0.1146, 0.1146)*CHOOSE(CONTROL!$C$42, 121.5, 121.5)*CHOOSE(CONTROL!$C$42, 31, 31))/1000000</f>
        <v>0.43164089999999994</v>
      </c>
      <c r="X521" s="56">
        <f>(31*0.1790888*145000/1000000)+(31*0.2374*100000/1000000)</f>
        <v>1.5409441560000001</v>
      </c>
      <c r="Y521" s="56"/>
      <c r="Z521" s="17"/>
      <c r="AA521" s="55"/>
      <c r="AB521" s="48">
        <f>(B521*194.205+C521*267.466+D521*133.845+E521*153.484+F521*40+G521*85+H521*0+I521*100+J521*300)/(194.205+267.466+133.845+153.484+0+40+85+100+300)</f>
        <v>28.557335906200944</v>
      </c>
      <c r="AC521" s="45">
        <f>(M521*'RAP TEMPLATE-GAS AVAILABILITY'!O520+N521*'RAP TEMPLATE-GAS AVAILABILITY'!P520+O521*'RAP TEMPLATE-GAS AVAILABILITY'!Q520+P521*'RAP TEMPLATE-GAS AVAILABILITY'!R520)/('RAP TEMPLATE-GAS AVAILABILITY'!O520+'RAP TEMPLATE-GAS AVAILABILITY'!P520+'RAP TEMPLATE-GAS AVAILABILITY'!Q520+'RAP TEMPLATE-GAS AVAILABILITY'!R520)</f>
        <v>28.078010791366911</v>
      </c>
    </row>
    <row r="522" spans="1:29" ht="15.75" x14ac:dyDescent="0.25">
      <c r="A522" s="13">
        <v>56795</v>
      </c>
      <c r="B522" s="17">
        <f>CHOOSE(CONTROL!$C$42, 29.2822, 29.2822) * CHOOSE(CONTROL!$C$21, $C$9, 100%, $E$9)</f>
        <v>29.2822</v>
      </c>
      <c r="C522" s="17">
        <f>CHOOSE(CONTROL!$C$42, 29.2902, 29.2902) * CHOOSE(CONTROL!$C$21, $C$9, 100%, $E$9)</f>
        <v>29.290199999999999</v>
      </c>
      <c r="D522" s="17">
        <f>CHOOSE(CONTROL!$C$42, 29.5613, 29.5613) * CHOOSE(CONTROL!$C$21, $C$9, 100%, $E$9)</f>
        <v>29.561299999999999</v>
      </c>
      <c r="E522" s="17">
        <f>CHOOSE(CONTROL!$C$42, 29.5928, 29.5928) * CHOOSE(CONTROL!$C$21, $C$9, 100%, $E$9)</f>
        <v>29.5928</v>
      </c>
      <c r="F522" s="17">
        <f>CHOOSE(CONTROL!$C$42, 29.3007, 29.3007)*CHOOSE(CONTROL!$C$21, $C$9, 100%, $E$9)</f>
        <v>29.300699999999999</v>
      </c>
      <c r="G522" s="17">
        <f>CHOOSE(CONTROL!$C$42, 29.3174, 29.3174)*CHOOSE(CONTROL!$C$21, $C$9, 100%, $E$9)</f>
        <v>29.317399999999999</v>
      </c>
      <c r="H522" s="17">
        <f>CHOOSE(CONTROL!$C$42, 29.5814, 29.5814) * CHOOSE(CONTROL!$C$21, $C$9, 100%, $E$9)</f>
        <v>29.581399999999999</v>
      </c>
      <c r="I522" s="17">
        <f>CHOOSE(CONTROL!$C$42, 29.3938, 29.3938)* CHOOSE(CONTROL!$C$21, $C$9, 100%, $E$9)</f>
        <v>29.393799999999999</v>
      </c>
      <c r="J522" s="17">
        <f>CHOOSE(CONTROL!$C$42, 29.2937, 29.2937)* CHOOSE(CONTROL!$C$21, $C$9, 100%, $E$9)</f>
        <v>29.293700000000001</v>
      </c>
      <c r="K522" s="52">
        <f>CHOOSE(CONTROL!$C$42, 29.3896, 29.3896) * CHOOSE(CONTROL!$C$21, $C$9, 100%, $E$9)</f>
        <v>29.389600000000002</v>
      </c>
      <c r="L522" s="17">
        <f>CHOOSE(CONTROL!$C$42, 30.1684, 30.1684) * CHOOSE(CONTROL!$C$21, $C$9, 100%, $E$9)</f>
        <v>30.168399999999998</v>
      </c>
      <c r="M522" s="17">
        <f>CHOOSE(CONTROL!$C$42, 28.7745, 28.7745) * CHOOSE(CONTROL!$C$21, $C$9, 100%, $E$9)</f>
        <v>28.7745</v>
      </c>
      <c r="N522" s="17">
        <f>CHOOSE(CONTROL!$C$42, 28.7909, 28.7909) * CHOOSE(CONTROL!$C$21, $C$9, 100%, $E$9)</f>
        <v>28.790900000000001</v>
      </c>
      <c r="O522" s="17">
        <f>CHOOSE(CONTROL!$C$42, 29.057, 29.057) * CHOOSE(CONTROL!$C$21, $C$9, 100%, $E$9)</f>
        <v>29.056999999999999</v>
      </c>
      <c r="P522" s="17">
        <f>CHOOSE(CONTROL!$C$42, 28.8712, 28.8712) * CHOOSE(CONTROL!$C$21, $C$9, 100%, $E$9)</f>
        <v>28.871200000000002</v>
      </c>
      <c r="Q522" s="17">
        <f>CHOOSE(CONTROL!$C$42, 29.6517, 29.6517) * CHOOSE(CONTROL!$C$21, $C$9, 100%, $E$9)</f>
        <v>29.651700000000002</v>
      </c>
      <c r="R522" s="17">
        <f>CHOOSE(CONTROL!$C$42, 30.3128, 30.3128) * CHOOSE(CONTROL!$C$21, $C$9, 100%, $E$9)</f>
        <v>30.312799999999999</v>
      </c>
      <c r="S522" s="17">
        <f>CHOOSE(CONTROL!$C$42, 28.1266, 28.1266) * CHOOSE(CONTROL!$C$21, $C$9, 100%, $E$9)</f>
        <v>28.1266</v>
      </c>
      <c r="T52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22" s="56">
        <f>(1000*CHOOSE(CONTROL!$C$42, 695, 695)*CHOOSE(CONTROL!$C$42, 0.5599, 0.5599)*CHOOSE(CONTROL!$C$42, 30, 30))/1000000</f>
        <v>11.673914999999997</v>
      </c>
      <c r="V522" s="56">
        <f>(1000*CHOOSE(CONTROL!$C$42, 500, 500)*CHOOSE(CONTROL!$C$42, 0.275, 0.275)*CHOOSE(CONTROL!$C$42, 30, 30))/1000000</f>
        <v>4.125</v>
      </c>
      <c r="W522" s="56">
        <f>(1000*CHOOSE(CONTROL!$C$42, 0.1146, 0.1146)*CHOOSE(CONTROL!$C$42, 121.5, 121.5)*CHOOSE(CONTROL!$C$42, 30, 30))/1000000</f>
        <v>0.417717</v>
      </c>
      <c r="X522" s="56">
        <f>(30*0.1790888*145000/1000000)+(30*0.2374*100000/1000000)</f>
        <v>1.4912362799999999</v>
      </c>
      <c r="Y522" s="56"/>
      <c r="Z522" s="17"/>
      <c r="AA522" s="55"/>
      <c r="AB522" s="48">
        <f>(B522*194.205+C522*267.466+D522*133.845+E522*153.484+F522*40+G522*85+H522*0+I522*100+J522*300)/(194.205+267.466+133.845+153.484+0+40+85+100+300)</f>
        <v>29.365017894740973</v>
      </c>
      <c r="AC522" s="45">
        <f>(M522*'RAP TEMPLATE-GAS AVAILABILITY'!O521+N522*'RAP TEMPLATE-GAS AVAILABILITY'!P521+O522*'RAP TEMPLATE-GAS AVAILABILITY'!Q521+P522*'RAP TEMPLATE-GAS AVAILABILITY'!R521)/('RAP TEMPLATE-GAS AVAILABILITY'!O521+'RAP TEMPLATE-GAS AVAILABILITY'!P521+'RAP TEMPLATE-GAS AVAILABILITY'!Q521+'RAP TEMPLATE-GAS AVAILABILITY'!R521)</f>
        <v>28.871451798561147</v>
      </c>
    </row>
    <row r="523" spans="1:29" ht="15.75" x14ac:dyDescent="0.25">
      <c r="A523" s="13">
        <v>56826</v>
      </c>
      <c r="B523" s="17">
        <f>CHOOSE(CONTROL!$C$42, 28.7207, 28.7207) * CHOOSE(CONTROL!$C$21, $C$9, 100%, $E$9)</f>
        <v>28.720700000000001</v>
      </c>
      <c r="C523" s="17">
        <f>CHOOSE(CONTROL!$C$42, 28.7287, 28.7287) * CHOOSE(CONTROL!$C$21, $C$9, 100%, $E$9)</f>
        <v>28.7287</v>
      </c>
      <c r="D523" s="17">
        <f>CHOOSE(CONTROL!$C$42, 28.9998, 28.9998) * CHOOSE(CONTROL!$C$21, $C$9, 100%, $E$9)</f>
        <v>28.9998</v>
      </c>
      <c r="E523" s="17">
        <f>CHOOSE(CONTROL!$C$42, 29.0312, 29.0312) * CHOOSE(CONTROL!$C$21, $C$9, 100%, $E$9)</f>
        <v>29.031199999999998</v>
      </c>
      <c r="F523" s="17">
        <f>CHOOSE(CONTROL!$C$42, 28.7395, 28.7395)*CHOOSE(CONTROL!$C$21, $C$9, 100%, $E$9)</f>
        <v>28.7395</v>
      </c>
      <c r="G523" s="17">
        <f>CHOOSE(CONTROL!$C$42, 28.7564, 28.7564)*CHOOSE(CONTROL!$C$21, $C$9, 100%, $E$9)</f>
        <v>28.756399999999999</v>
      </c>
      <c r="H523" s="17">
        <f>CHOOSE(CONTROL!$C$42, 29.0199, 29.0199) * CHOOSE(CONTROL!$C$21, $C$9, 100%, $E$9)</f>
        <v>29.0199</v>
      </c>
      <c r="I523" s="17">
        <f>CHOOSE(CONTROL!$C$42, 28.8305, 28.8305)* CHOOSE(CONTROL!$C$21, $C$9, 100%, $E$9)</f>
        <v>28.830500000000001</v>
      </c>
      <c r="J523" s="17">
        <f>CHOOSE(CONTROL!$C$42, 28.7325, 28.7325)* CHOOSE(CONTROL!$C$21, $C$9, 100%, $E$9)</f>
        <v>28.732500000000002</v>
      </c>
      <c r="K523" s="52">
        <f>CHOOSE(CONTROL!$C$42, 28.8263, 28.8263) * CHOOSE(CONTROL!$C$21, $C$9, 100%, $E$9)</f>
        <v>28.8263</v>
      </c>
      <c r="L523" s="17">
        <f>CHOOSE(CONTROL!$C$42, 29.6069, 29.6069) * CHOOSE(CONTROL!$C$21, $C$9, 100%, $E$9)</f>
        <v>29.6069</v>
      </c>
      <c r="M523" s="17">
        <f>CHOOSE(CONTROL!$C$42, 28.2234, 28.2234) * CHOOSE(CONTROL!$C$21, $C$9, 100%, $E$9)</f>
        <v>28.223400000000002</v>
      </c>
      <c r="N523" s="17">
        <f>CHOOSE(CONTROL!$C$42, 28.2399, 28.2399) * CHOOSE(CONTROL!$C$21, $C$9, 100%, $E$9)</f>
        <v>28.239899999999999</v>
      </c>
      <c r="O523" s="17">
        <f>CHOOSE(CONTROL!$C$42, 28.5056, 28.5056) * CHOOSE(CONTROL!$C$21, $C$9, 100%, $E$9)</f>
        <v>28.505600000000001</v>
      </c>
      <c r="P523" s="17">
        <f>CHOOSE(CONTROL!$C$42, 28.3181, 28.3181) * CHOOSE(CONTROL!$C$21, $C$9, 100%, $E$9)</f>
        <v>28.318100000000001</v>
      </c>
      <c r="Q523" s="17">
        <f>CHOOSE(CONTROL!$C$42, 29.1003, 29.1003) * CHOOSE(CONTROL!$C$21, $C$9, 100%, $E$9)</f>
        <v>29.100300000000001</v>
      </c>
      <c r="R523" s="17">
        <f>CHOOSE(CONTROL!$C$42, 29.76, 29.76) * CHOOSE(CONTROL!$C$21, $C$9, 100%, $E$9)</f>
        <v>29.76</v>
      </c>
      <c r="S523" s="17">
        <f>CHOOSE(CONTROL!$C$42, 27.5871, 27.5871) * CHOOSE(CONTROL!$C$21, $C$9, 100%, $E$9)</f>
        <v>27.5871</v>
      </c>
      <c r="T52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23" s="56">
        <f>(1000*CHOOSE(CONTROL!$C$42, 695, 695)*CHOOSE(CONTROL!$C$42, 0.5599, 0.5599)*CHOOSE(CONTROL!$C$42, 31, 31))/1000000</f>
        <v>12.063045499999998</v>
      </c>
      <c r="V523" s="56">
        <f>(1000*CHOOSE(CONTROL!$C$42, 500, 500)*CHOOSE(CONTROL!$C$42, 0.275, 0.275)*CHOOSE(CONTROL!$C$42, 31, 31))/1000000</f>
        <v>4.2625000000000002</v>
      </c>
      <c r="W523" s="56">
        <f>(1000*CHOOSE(CONTROL!$C$42, 0.1146, 0.1146)*CHOOSE(CONTROL!$C$42, 121.5, 121.5)*CHOOSE(CONTROL!$C$42, 31, 31))/1000000</f>
        <v>0.43164089999999994</v>
      </c>
      <c r="X523" s="56">
        <f>(31*0.1790888*145000/1000000)+(31*0.2374*100000/1000000)</f>
        <v>1.5409441560000001</v>
      </c>
      <c r="Y523" s="56"/>
      <c r="Z523" s="17"/>
      <c r="AA523" s="55"/>
      <c r="AB523" s="48">
        <f>(B523*194.205+C523*267.466+D523*133.845+E523*153.484+F523*40+G523*85+H523*0+I523*100+J523*300)/(194.205+267.466+133.845+153.484+0+40+85+100+300)</f>
        <v>28.803477982339093</v>
      </c>
      <c r="AC523" s="45">
        <f>(M523*'RAP TEMPLATE-GAS AVAILABILITY'!O522+N523*'RAP TEMPLATE-GAS AVAILABILITY'!P522+O523*'RAP TEMPLATE-GAS AVAILABILITY'!Q522+P523*'RAP TEMPLATE-GAS AVAILABILITY'!R522)/('RAP TEMPLATE-GAS AVAILABILITY'!O522+'RAP TEMPLATE-GAS AVAILABILITY'!P522+'RAP TEMPLATE-GAS AVAILABILITY'!Q522+'RAP TEMPLATE-GAS AVAILABILITY'!R522)</f>
        <v>28.320002877697846</v>
      </c>
    </row>
    <row r="524" spans="1:29" ht="15.75" x14ac:dyDescent="0.25">
      <c r="A524" s="13">
        <v>56857</v>
      </c>
      <c r="B524" s="17">
        <f>CHOOSE(CONTROL!$C$42, 27.3026, 27.3026) * CHOOSE(CONTROL!$C$21, $C$9, 100%, $E$9)</f>
        <v>27.302600000000002</v>
      </c>
      <c r="C524" s="17">
        <f>CHOOSE(CONTROL!$C$42, 27.3106, 27.3106) * CHOOSE(CONTROL!$C$21, $C$9, 100%, $E$9)</f>
        <v>27.310600000000001</v>
      </c>
      <c r="D524" s="17">
        <f>CHOOSE(CONTROL!$C$42, 27.5817, 27.5817) * CHOOSE(CONTROL!$C$21, $C$9, 100%, $E$9)</f>
        <v>27.581700000000001</v>
      </c>
      <c r="E524" s="17">
        <f>CHOOSE(CONTROL!$C$42, 27.6131, 27.6131) * CHOOSE(CONTROL!$C$21, $C$9, 100%, $E$9)</f>
        <v>27.613099999999999</v>
      </c>
      <c r="F524" s="17">
        <f>CHOOSE(CONTROL!$C$42, 27.3217, 27.3217)*CHOOSE(CONTROL!$C$21, $C$9, 100%, $E$9)</f>
        <v>27.3217</v>
      </c>
      <c r="G524" s="17">
        <f>CHOOSE(CONTROL!$C$42, 27.3386, 27.3386)*CHOOSE(CONTROL!$C$21, $C$9, 100%, $E$9)</f>
        <v>27.3386</v>
      </c>
      <c r="H524" s="17">
        <f>CHOOSE(CONTROL!$C$42, 27.6018, 27.6018) * CHOOSE(CONTROL!$C$21, $C$9, 100%, $E$9)</f>
        <v>27.601800000000001</v>
      </c>
      <c r="I524" s="17">
        <f>CHOOSE(CONTROL!$C$42, 27.408, 27.408)* CHOOSE(CONTROL!$C$21, $C$9, 100%, $E$9)</f>
        <v>27.408000000000001</v>
      </c>
      <c r="J524" s="17">
        <f>CHOOSE(CONTROL!$C$42, 27.3147, 27.3147)* CHOOSE(CONTROL!$C$21, $C$9, 100%, $E$9)</f>
        <v>27.314699999999998</v>
      </c>
      <c r="K524" s="52">
        <f>CHOOSE(CONTROL!$C$42, 27.4037, 27.4037) * CHOOSE(CONTROL!$C$21, $C$9, 100%, $E$9)</f>
        <v>27.403700000000001</v>
      </c>
      <c r="L524" s="17">
        <f>CHOOSE(CONTROL!$C$42, 28.1888, 28.1888) * CHOOSE(CONTROL!$C$21, $C$9, 100%, $E$9)</f>
        <v>28.188800000000001</v>
      </c>
      <c r="M524" s="17">
        <f>CHOOSE(CONTROL!$C$42, 26.8311, 26.8311) * CHOOSE(CONTROL!$C$21, $C$9, 100%, $E$9)</f>
        <v>26.831099999999999</v>
      </c>
      <c r="N524" s="17">
        <f>CHOOSE(CONTROL!$C$42, 26.8477, 26.8477) * CHOOSE(CONTROL!$C$21, $C$9, 100%, $E$9)</f>
        <v>26.8477</v>
      </c>
      <c r="O524" s="17">
        <f>CHOOSE(CONTROL!$C$42, 27.113, 27.113) * CHOOSE(CONTROL!$C$21, $C$9, 100%, $E$9)</f>
        <v>27.113</v>
      </c>
      <c r="P524" s="17">
        <f>CHOOSE(CONTROL!$C$42, 26.9212, 26.9212) * CHOOSE(CONTROL!$C$21, $C$9, 100%, $E$9)</f>
        <v>26.921199999999999</v>
      </c>
      <c r="Q524" s="17">
        <f>CHOOSE(CONTROL!$C$42, 27.7077, 27.7077) * CHOOSE(CONTROL!$C$21, $C$9, 100%, $E$9)</f>
        <v>27.707699999999999</v>
      </c>
      <c r="R524" s="17">
        <f>CHOOSE(CONTROL!$C$42, 28.364, 28.364) * CHOOSE(CONTROL!$C$21, $C$9, 100%, $E$9)</f>
        <v>28.364000000000001</v>
      </c>
      <c r="S524" s="17">
        <f>CHOOSE(CONTROL!$C$42, 26.2244, 26.2244) * CHOOSE(CONTROL!$C$21, $C$9, 100%, $E$9)</f>
        <v>26.224399999999999</v>
      </c>
      <c r="T52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24" s="56">
        <f>(1000*CHOOSE(CONTROL!$C$42, 695, 695)*CHOOSE(CONTROL!$C$42, 0.5599, 0.5599)*CHOOSE(CONTROL!$C$42, 31, 31))/1000000</f>
        <v>12.063045499999998</v>
      </c>
      <c r="V524" s="56">
        <f>(1000*CHOOSE(CONTROL!$C$42, 500, 500)*CHOOSE(CONTROL!$C$42, 0.275, 0.275)*CHOOSE(CONTROL!$C$42, 31, 31))/1000000</f>
        <v>4.2625000000000002</v>
      </c>
      <c r="W524" s="56">
        <f>(1000*CHOOSE(CONTROL!$C$42, 0.1146, 0.1146)*CHOOSE(CONTROL!$C$42, 121.5, 121.5)*CHOOSE(CONTROL!$C$42, 31, 31))/1000000</f>
        <v>0.43164089999999994</v>
      </c>
      <c r="X524" s="56">
        <f>(31*0.1790888*145000/1000000)+(31*0.2374*100000/1000000)</f>
        <v>1.5409441560000001</v>
      </c>
      <c r="Y524" s="56"/>
      <c r="Z524" s="17"/>
      <c r="AA524" s="55"/>
      <c r="AB524" s="48">
        <f>(B524*194.205+C524*267.466+D524*133.845+E524*153.484+F524*40+G524*85+H524*0+I524*100+J524*300)/(194.205+267.466+133.845+153.484+0+40+85+100+300)</f>
        <v>27.385132691915228</v>
      </c>
      <c r="AC524" s="45">
        <f>(M524*'RAP TEMPLATE-GAS AVAILABILITY'!O523+N524*'RAP TEMPLATE-GAS AVAILABILITY'!P523+O524*'RAP TEMPLATE-GAS AVAILABILITY'!Q523+P524*'RAP TEMPLATE-GAS AVAILABILITY'!R523)/('RAP TEMPLATE-GAS AVAILABILITY'!O523+'RAP TEMPLATE-GAS AVAILABILITY'!P523+'RAP TEMPLATE-GAS AVAILABILITY'!Q523+'RAP TEMPLATE-GAS AVAILABILITY'!R523)</f>
        <v>26.926979856115107</v>
      </c>
    </row>
    <row r="525" spans="1:29" ht="15.75" x14ac:dyDescent="0.25">
      <c r="A525" s="13">
        <v>56887</v>
      </c>
      <c r="B525" s="17">
        <f>CHOOSE(CONTROL!$C$42, 25.5697, 25.5697) * CHOOSE(CONTROL!$C$21, $C$9, 100%, $E$9)</f>
        <v>25.569700000000001</v>
      </c>
      <c r="C525" s="17">
        <f>CHOOSE(CONTROL!$C$42, 25.5778, 25.5778) * CHOOSE(CONTROL!$C$21, $C$9, 100%, $E$9)</f>
        <v>25.5778</v>
      </c>
      <c r="D525" s="17">
        <f>CHOOSE(CONTROL!$C$42, 25.8488, 25.8488) * CHOOSE(CONTROL!$C$21, $C$9, 100%, $E$9)</f>
        <v>25.848800000000001</v>
      </c>
      <c r="E525" s="17">
        <f>CHOOSE(CONTROL!$C$42, 25.8803, 25.8803) * CHOOSE(CONTROL!$C$21, $C$9, 100%, $E$9)</f>
        <v>25.880299999999998</v>
      </c>
      <c r="F525" s="17">
        <f>CHOOSE(CONTROL!$C$42, 25.5889, 25.5889)*CHOOSE(CONTROL!$C$21, $C$9, 100%, $E$9)</f>
        <v>25.588899999999999</v>
      </c>
      <c r="G525" s="17">
        <f>CHOOSE(CONTROL!$C$42, 25.6058, 25.6058)*CHOOSE(CONTROL!$C$21, $C$9, 100%, $E$9)</f>
        <v>25.605799999999999</v>
      </c>
      <c r="H525" s="17">
        <f>CHOOSE(CONTROL!$C$42, 25.8689, 25.8689) * CHOOSE(CONTROL!$C$21, $C$9, 100%, $E$9)</f>
        <v>25.8689</v>
      </c>
      <c r="I525" s="17">
        <f>CHOOSE(CONTROL!$C$42, 25.6697, 25.6697)* CHOOSE(CONTROL!$C$21, $C$9, 100%, $E$9)</f>
        <v>25.669699999999999</v>
      </c>
      <c r="J525" s="17">
        <f>CHOOSE(CONTROL!$C$42, 25.5819, 25.5819)* CHOOSE(CONTROL!$C$21, $C$9, 100%, $E$9)</f>
        <v>25.581900000000001</v>
      </c>
      <c r="K525" s="52">
        <f>CHOOSE(CONTROL!$C$42, 25.6655, 25.6655) * CHOOSE(CONTROL!$C$21, $C$9, 100%, $E$9)</f>
        <v>25.665500000000002</v>
      </c>
      <c r="L525" s="17">
        <f>CHOOSE(CONTROL!$C$42, 26.4559, 26.4559) * CHOOSE(CONTROL!$C$21, $C$9, 100%, $E$9)</f>
        <v>26.4559</v>
      </c>
      <c r="M525" s="17">
        <f>CHOOSE(CONTROL!$C$42, 25.1295, 25.1295) * CHOOSE(CONTROL!$C$21, $C$9, 100%, $E$9)</f>
        <v>25.1295</v>
      </c>
      <c r="N525" s="17">
        <f>CHOOSE(CONTROL!$C$42, 25.1461, 25.1461) * CHOOSE(CONTROL!$C$21, $C$9, 100%, $E$9)</f>
        <v>25.146100000000001</v>
      </c>
      <c r="O525" s="17">
        <f>CHOOSE(CONTROL!$C$42, 25.4113, 25.4113) * CHOOSE(CONTROL!$C$21, $C$9, 100%, $E$9)</f>
        <v>25.411300000000001</v>
      </c>
      <c r="P525" s="17">
        <f>CHOOSE(CONTROL!$C$42, 25.2143, 25.2143) * CHOOSE(CONTROL!$C$21, $C$9, 100%, $E$9)</f>
        <v>25.214300000000001</v>
      </c>
      <c r="Q525" s="17">
        <f>CHOOSE(CONTROL!$C$42, 26.006, 26.006) * CHOOSE(CONTROL!$C$21, $C$9, 100%, $E$9)</f>
        <v>26.006</v>
      </c>
      <c r="R525" s="17">
        <f>CHOOSE(CONTROL!$C$42, 26.658, 26.658) * CHOOSE(CONTROL!$C$21, $C$9, 100%, $E$9)</f>
        <v>26.658000000000001</v>
      </c>
      <c r="S525" s="17">
        <f>CHOOSE(CONTROL!$C$42, 24.5593, 24.5593) * CHOOSE(CONTROL!$C$21, $C$9, 100%, $E$9)</f>
        <v>24.5593</v>
      </c>
      <c r="T52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25" s="56">
        <f>(1000*CHOOSE(CONTROL!$C$42, 695, 695)*CHOOSE(CONTROL!$C$42, 0.5599, 0.5599)*CHOOSE(CONTROL!$C$42, 30, 30))/1000000</f>
        <v>11.673914999999997</v>
      </c>
      <c r="V525" s="56">
        <f>(1000*CHOOSE(CONTROL!$C$42, 500, 500)*CHOOSE(CONTROL!$C$42, 0.275, 0.275)*CHOOSE(CONTROL!$C$42, 30, 30))/1000000</f>
        <v>4.125</v>
      </c>
      <c r="W525" s="56">
        <f>(1000*CHOOSE(CONTROL!$C$42, 0.1146, 0.1146)*CHOOSE(CONTROL!$C$42, 121.5, 121.5)*CHOOSE(CONTROL!$C$42, 30, 30))/1000000</f>
        <v>0.417717</v>
      </c>
      <c r="X525" s="56">
        <f>(30*0.1790888*145000/1000000)+(30*0.2374*100000/1000000)</f>
        <v>1.4912362799999999</v>
      </c>
      <c r="Y525" s="56"/>
      <c r="Z525" s="17"/>
      <c r="AA525" s="55"/>
      <c r="AB525" s="48">
        <f>(B525*194.205+C525*267.466+D525*133.845+E525*153.484+F525*40+G525*85+H525*0+I525*100+J525*300)/(194.205+267.466+133.845+153.484+0+40+85+100+300)</f>
        <v>25.651875231161696</v>
      </c>
      <c r="AC525" s="45">
        <f>(M525*'RAP TEMPLATE-GAS AVAILABILITY'!O524+N525*'RAP TEMPLATE-GAS AVAILABILITY'!P524+O525*'RAP TEMPLATE-GAS AVAILABILITY'!Q524+P525*'RAP TEMPLATE-GAS AVAILABILITY'!R524)/('RAP TEMPLATE-GAS AVAILABILITY'!O524+'RAP TEMPLATE-GAS AVAILABILITY'!P524+'RAP TEMPLATE-GAS AVAILABILITY'!Q524+'RAP TEMPLATE-GAS AVAILABILITY'!R524)</f>
        <v>25.224589208633095</v>
      </c>
    </row>
    <row r="526" spans="1:29" ht="15.75" x14ac:dyDescent="0.25">
      <c r="A526" s="13">
        <v>56918</v>
      </c>
      <c r="B526" s="17">
        <f>CHOOSE(CONTROL!$C$42, 25.0491, 25.0491) * CHOOSE(CONTROL!$C$21, $C$9, 100%, $E$9)</f>
        <v>25.049099999999999</v>
      </c>
      <c r="C526" s="17">
        <f>CHOOSE(CONTROL!$C$42, 25.0544, 25.0544) * CHOOSE(CONTROL!$C$21, $C$9, 100%, $E$9)</f>
        <v>25.054400000000001</v>
      </c>
      <c r="D526" s="17">
        <f>CHOOSE(CONTROL!$C$42, 25.3304, 25.3304) * CHOOSE(CONTROL!$C$21, $C$9, 100%, $E$9)</f>
        <v>25.330400000000001</v>
      </c>
      <c r="E526" s="17">
        <f>CHOOSE(CONTROL!$C$42, 25.3595, 25.3595) * CHOOSE(CONTROL!$C$21, $C$9, 100%, $E$9)</f>
        <v>25.359500000000001</v>
      </c>
      <c r="F526" s="17">
        <f>CHOOSE(CONTROL!$C$42, 25.0705, 25.0705)*CHOOSE(CONTROL!$C$21, $C$9, 100%, $E$9)</f>
        <v>25.070499999999999</v>
      </c>
      <c r="G526" s="17">
        <f>CHOOSE(CONTROL!$C$42, 25.0872, 25.0872)*CHOOSE(CONTROL!$C$21, $C$9, 100%, $E$9)</f>
        <v>25.087199999999999</v>
      </c>
      <c r="H526" s="17">
        <f>CHOOSE(CONTROL!$C$42, 25.35, 25.35) * CHOOSE(CONTROL!$C$21, $C$9, 100%, $E$9)</f>
        <v>25.35</v>
      </c>
      <c r="I526" s="17">
        <f>CHOOSE(CONTROL!$C$42, 25.1491, 25.1491)* CHOOSE(CONTROL!$C$21, $C$9, 100%, $E$9)</f>
        <v>25.149100000000001</v>
      </c>
      <c r="J526" s="17">
        <f>CHOOSE(CONTROL!$C$42, 25.0635, 25.0635)* CHOOSE(CONTROL!$C$21, $C$9, 100%, $E$9)</f>
        <v>25.063500000000001</v>
      </c>
      <c r="K526" s="52">
        <f>CHOOSE(CONTROL!$C$42, 25.1449, 25.1449) * CHOOSE(CONTROL!$C$21, $C$9, 100%, $E$9)</f>
        <v>25.1449</v>
      </c>
      <c r="L526" s="17">
        <f>CHOOSE(CONTROL!$C$42, 25.937, 25.937) * CHOOSE(CONTROL!$C$21, $C$9, 100%, $E$9)</f>
        <v>25.937000000000001</v>
      </c>
      <c r="M526" s="17">
        <f>CHOOSE(CONTROL!$C$42, 24.6203, 24.6203) * CHOOSE(CONTROL!$C$21, $C$9, 100%, $E$9)</f>
        <v>24.6203</v>
      </c>
      <c r="N526" s="17">
        <f>CHOOSE(CONTROL!$C$42, 24.6368, 24.6368) * CHOOSE(CONTROL!$C$21, $C$9, 100%, $E$9)</f>
        <v>24.636800000000001</v>
      </c>
      <c r="O526" s="17">
        <f>CHOOSE(CONTROL!$C$42, 24.9017, 24.9017) * CHOOSE(CONTROL!$C$21, $C$9, 100%, $E$9)</f>
        <v>24.901700000000002</v>
      </c>
      <c r="P526" s="17">
        <f>CHOOSE(CONTROL!$C$42, 24.7032, 24.7032) * CHOOSE(CONTROL!$C$21, $C$9, 100%, $E$9)</f>
        <v>24.703199999999999</v>
      </c>
      <c r="Q526" s="17">
        <f>CHOOSE(CONTROL!$C$42, 25.4964, 25.4964) * CHOOSE(CONTROL!$C$21, $C$9, 100%, $E$9)</f>
        <v>25.496400000000001</v>
      </c>
      <c r="R526" s="17">
        <f>CHOOSE(CONTROL!$C$42, 26.1472, 26.1472) * CHOOSE(CONTROL!$C$21, $C$9, 100%, $E$9)</f>
        <v>26.147200000000002</v>
      </c>
      <c r="S526" s="17">
        <f>CHOOSE(CONTROL!$C$42, 24.0607, 24.0607) * CHOOSE(CONTROL!$C$21, $C$9, 100%, $E$9)</f>
        <v>24.060700000000001</v>
      </c>
      <c r="T52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26" s="56">
        <f>(1000*CHOOSE(CONTROL!$C$42, 695, 695)*CHOOSE(CONTROL!$C$42, 0.5599, 0.5599)*CHOOSE(CONTROL!$C$42, 31, 31))/1000000</f>
        <v>12.063045499999998</v>
      </c>
      <c r="V526" s="56">
        <f>(1000*CHOOSE(CONTROL!$C$42, 500, 500)*CHOOSE(CONTROL!$C$42, 0.275, 0.275)*CHOOSE(CONTROL!$C$42, 31, 31))/1000000</f>
        <v>4.2625000000000002</v>
      </c>
      <c r="W526" s="56">
        <f>(1000*CHOOSE(CONTROL!$C$42, 0.1146, 0.1146)*CHOOSE(CONTROL!$C$42, 121.5, 121.5)*CHOOSE(CONTROL!$C$42, 31, 31))/1000000</f>
        <v>0.43164089999999994</v>
      </c>
      <c r="X526" s="56">
        <f>(31*0.1790888*145000/1000000)+(31*0.2374*100000/1000000)</f>
        <v>1.5409441560000001</v>
      </c>
      <c r="Y526" s="56"/>
      <c r="Z526" s="17"/>
      <c r="AA526" s="55"/>
      <c r="AB526" s="48">
        <f>(B526*131.881+C526*277.167+D526*79.08+E526*225.872+F526*40+G526*85+H526*0+I526*100+J526*300)/(131.881+277.167+79.08+225.872+0+40+85+100+300)</f>
        <v>25.139688666585954</v>
      </c>
      <c r="AC526" s="45">
        <f>(M526*'RAP TEMPLATE-GAS AVAILABILITY'!O525+N526*'RAP TEMPLATE-GAS AVAILABILITY'!P525+O526*'RAP TEMPLATE-GAS AVAILABILITY'!Q525+P526*'RAP TEMPLATE-GAS AVAILABILITY'!R525)/('RAP TEMPLATE-GAS AVAILABILITY'!O525+'RAP TEMPLATE-GAS AVAILABILITY'!P525+'RAP TEMPLATE-GAS AVAILABILITY'!Q525+'RAP TEMPLATE-GAS AVAILABILITY'!R525)</f>
        <v>24.71498057553957</v>
      </c>
    </row>
    <row r="527" spans="1:29" ht="15.75" x14ac:dyDescent="0.25">
      <c r="A527" s="13">
        <v>56948</v>
      </c>
      <c r="B527" s="17">
        <f>CHOOSE(CONTROL!$C$42, 25.7083, 25.7083) * CHOOSE(CONTROL!$C$21, $C$9, 100%, $E$9)</f>
        <v>25.708300000000001</v>
      </c>
      <c r="C527" s="17">
        <f>CHOOSE(CONTROL!$C$42, 25.7133, 25.7133) * CHOOSE(CONTROL!$C$21, $C$9, 100%, $E$9)</f>
        <v>25.7133</v>
      </c>
      <c r="D527" s="17">
        <f>CHOOSE(CONTROL!$C$42, 25.8084, 25.8084) * CHOOSE(CONTROL!$C$21, $C$9, 100%, $E$9)</f>
        <v>25.808399999999999</v>
      </c>
      <c r="E527" s="17">
        <f>CHOOSE(CONTROL!$C$42, 25.8425, 25.8425) * CHOOSE(CONTROL!$C$21, $C$9, 100%, $E$9)</f>
        <v>25.842500000000001</v>
      </c>
      <c r="F527" s="17">
        <f>CHOOSE(CONTROL!$C$42, 25.7322, 25.7322)*CHOOSE(CONTROL!$C$21, $C$9, 100%, $E$9)</f>
        <v>25.732199999999999</v>
      </c>
      <c r="G527" s="17">
        <f>CHOOSE(CONTROL!$C$42, 25.7493, 25.7493)*CHOOSE(CONTROL!$C$21, $C$9, 100%, $E$9)</f>
        <v>25.749300000000002</v>
      </c>
      <c r="H527" s="17">
        <f>CHOOSE(CONTROL!$C$42, 25.8317, 25.8317) * CHOOSE(CONTROL!$C$21, $C$9, 100%, $E$9)</f>
        <v>25.831700000000001</v>
      </c>
      <c r="I527" s="17">
        <f>CHOOSE(CONTROL!$C$42, 25.8088, 25.8088)* CHOOSE(CONTROL!$C$21, $C$9, 100%, $E$9)</f>
        <v>25.808800000000002</v>
      </c>
      <c r="J527" s="17">
        <f>CHOOSE(CONTROL!$C$42, 25.7252, 25.7252)* CHOOSE(CONTROL!$C$21, $C$9, 100%, $E$9)</f>
        <v>25.725200000000001</v>
      </c>
      <c r="K527" s="52">
        <f>CHOOSE(CONTROL!$C$42, 25.8045, 25.8045) * CHOOSE(CONTROL!$C$21, $C$9, 100%, $E$9)</f>
        <v>25.804500000000001</v>
      </c>
      <c r="L527" s="17">
        <f>CHOOSE(CONTROL!$C$42, 26.4187, 26.4187) * CHOOSE(CONTROL!$C$21, $C$9, 100%, $E$9)</f>
        <v>26.418700000000001</v>
      </c>
      <c r="M527" s="17">
        <f>CHOOSE(CONTROL!$C$42, 25.2702, 25.2702) * CHOOSE(CONTROL!$C$21, $C$9, 100%, $E$9)</f>
        <v>25.270199999999999</v>
      </c>
      <c r="N527" s="17">
        <f>CHOOSE(CONTROL!$C$42, 25.2869, 25.2869) * CHOOSE(CONTROL!$C$21, $C$9, 100%, $E$9)</f>
        <v>25.286899999999999</v>
      </c>
      <c r="O527" s="17">
        <f>CHOOSE(CONTROL!$C$42, 25.3748, 25.3748) * CHOOSE(CONTROL!$C$21, $C$9, 100%, $E$9)</f>
        <v>25.3748</v>
      </c>
      <c r="P527" s="17">
        <f>CHOOSE(CONTROL!$C$42, 25.3509, 25.3509) * CHOOSE(CONTROL!$C$21, $C$9, 100%, $E$9)</f>
        <v>25.350899999999999</v>
      </c>
      <c r="Q527" s="17">
        <f>CHOOSE(CONTROL!$C$42, 25.9695, 25.9695) * CHOOSE(CONTROL!$C$21, $C$9, 100%, $E$9)</f>
        <v>25.9695</v>
      </c>
      <c r="R527" s="17">
        <f>CHOOSE(CONTROL!$C$42, 26.6214, 26.6214) * CHOOSE(CONTROL!$C$21, $C$9, 100%, $E$9)</f>
        <v>26.621400000000001</v>
      </c>
      <c r="S527" s="17">
        <f>CHOOSE(CONTROL!$C$42, 24.6946, 24.6946) * CHOOSE(CONTROL!$C$21, $C$9, 100%, $E$9)</f>
        <v>24.694600000000001</v>
      </c>
      <c r="T52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27" s="56">
        <f>(1000*CHOOSE(CONTROL!$C$42, 695, 695)*CHOOSE(CONTROL!$C$42, 0.5599, 0.5599)*CHOOSE(CONTROL!$C$42, 30, 30))/1000000</f>
        <v>11.673914999999997</v>
      </c>
      <c r="V527" s="56">
        <f>(1000*CHOOSE(CONTROL!$C$42, 500, 500)*CHOOSE(CONTROL!$C$42, 0.275, 0.275)*CHOOSE(CONTROL!$C$42, 30, 30))/1000000</f>
        <v>4.125</v>
      </c>
      <c r="W527" s="56">
        <f>(1000*CHOOSE(CONTROL!$C$42, 0.1146, 0.1146)*CHOOSE(CONTROL!$C$42, 121.5, 121.5)*CHOOSE(CONTROL!$C$42, 30, 30))/1000000</f>
        <v>0.417717</v>
      </c>
      <c r="X527" s="56">
        <f>(30*0.2374*100000/1000000)</f>
        <v>0.71220000000000006</v>
      </c>
      <c r="Y527" s="56"/>
      <c r="Z527" s="17"/>
      <c r="AA527" s="55"/>
      <c r="AB527" s="48">
        <f>(B527*122.58+C527*297.941+D527*89.177+E527*140.302+F527*40+G527*60+H527*0+I527*100+J527*300)/(122.58+297.941+89.177+140.302+0+40+60+100+300)</f>
        <v>25.749848566173913</v>
      </c>
      <c r="AC527" s="45">
        <f>(M527*'RAP TEMPLATE-GAS AVAILABILITY'!O526+N527*'RAP TEMPLATE-GAS AVAILABILITY'!P526+O527*'RAP TEMPLATE-GAS AVAILABILITY'!Q526+P527*'RAP TEMPLATE-GAS AVAILABILITY'!R526)/('RAP TEMPLATE-GAS AVAILABILITY'!O526+'RAP TEMPLATE-GAS AVAILABILITY'!P526+'RAP TEMPLATE-GAS AVAILABILITY'!Q526+'RAP TEMPLATE-GAS AVAILABILITY'!R526)</f>
        <v>25.330181294964028</v>
      </c>
    </row>
    <row r="528" spans="1:29" ht="15.75" x14ac:dyDescent="0.25">
      <c r="A528" s="13">
        <v>56979</v>
      </c>
      <c r="B528" s="17">
        <f>CHOOSE(CONTROL!$C$42, 27.4604, 27.4604) * CHOOSE(CONTROL!$C$21, $C$9, 100%, $E$9)</f>
        <v>27.4604</v>
      </c>
      <c r="C528" s="17">
        <f>CHOOSE(CONTROL!$C$42, 27.4655, 27.4655) * CHOOSE(CONTROL!$C$21, $C$9, 100%, $E$9)</f>
        <v>27.465499999999999</v>
      </c>
      <c r="D528" s="17">
        <f>CHOOSE(CONTROL!$C$42, 27.5605, 27.5605) * CHOOSE(CONTROL!$C$21, $C$9, 100%, $E$9)</f>
        <v>27.560500000000001</v>
      </c>
      <c r="E528" s="17">
        <f>CHOOSE(CONTROL!$C$42, 27.5946, 27.5946) * CHOOSE(CONTROL!$C$21, $C$9, 100%, $E$9)</f>
        <v>27.5946</v>
      </c>
      <c r="F528" s="17">
        <f>CHOOSE(CONTROL!$C$42, 27.4867, 27.4867)*CHOOSE(CONTROL!$C$21, $C$9, 100%, $E$9)</f>
        <v>27.486699999999999</v>
      </c>
      <c r="G528" s="17">
        <f>CHOOSE(CONTROL!$C$42, 27.5043, 27.5043)*CHOOSE(CONTROL!$C$21, $C$9, 100%, $E$9)</f>
        <v>27.504300000000001</v>
      </c>
      <c r="H528" s="17">
        <f>CHOOSE(CONTROL!$C$42, 27.5838, 27.5838) * CHOOSE(CONTROL!$C$21, $C$9, 100%, $E$9)</f>
        <v>27.5838</v>
      </c>
      <c r="I528" s="17">
        <f>CHOOSE(CONTROL!$C$42, 27.5664, 27.5664)* CHOOSE(CONTROL!$C$21, $C$9, 100%, $E$9)</f>
        <v>27.566400000000002</v>
      </c>
      <c r="J528" s="17">
        <f>CHOOSE(CONTROL!$C$42, 27.4797, 27.4797)* CHOOSE(CONTROL!$C$21, $C$9, 100%, $E$9)</f>
        <v>27.479700000000001</v>
      </c>
      <c r="K528" s="52">
        <f>CHOOSE(CONTROL!$C$42, 27.5622, 27.5622) * CHOOSE(CONTROL!$C$21, $C$9, 100%, $E$9)</f>
        <v>27.562200000000001</v>
      </c>
      <c r="L528" s="17">
        <f>CHOOSE(CONTROL!$C$42, 28.1708, 28.1708) * CHOOSE(CONTROL!$C$21, $C$9, 100%, $E$9)</f>
        <v>28.1708</v>
      </c>
      <c r="M528" s="17">
        <f>CHOOSE(CONTROL!$C$42, 26.9931, 26.9931) * CHOOSE(CONTROL!$C$21, $C$9, 100%, $E$9)</f>
        <v>26.993099999999998</v>
      </c>
      <c r="N528" s="17">
        <f>CHOOSE(CONTROL!$C$42, 27.0105, 27.0105) * CHOOSE(CONTROL!$C$21, $C$9, 100%, $E$9)</f>
        <v>27.0105</v>
      </c>
      <c r="O528" s="17">
        <f>CHOOSE(CONTROL!$C$42, 27.0954, 27.0954) * CHOOSE(CONTROL!$C$21, $C$9, 100%, $E$9)</f>
        <v>27.095400000000001</v>
      </c>
      <c r="P528" s="17">
        <f>CHOOSE(CONTROL!$C$42, 27.0768, 27.0768) * CHOOSE(CONTROL!$C$21, $C$9, 100%, $E$9)</f>
        <v>27.076799999999999</v>
      </c>
      <c r="Q528" s="17">
        <f>CHOOSE(CONTROL!$C$42, 27.6901, 27.6901) * CHOOSE(CONTROL!$C$21, $C$9, 100%, $E$9)</f>
        <v>27.690100000000001</v>
      </c>
      <c r="R528" s="17">
        <f>CHOOSE(CONTROL!$C$42, 28.3463, 28.3463) * CHOOSE(CONTROL!$C$21, $C$9, 100%, $E$9)</f>
        <v>28.346299999999999</v>
      </c>
      <c r="S528" s="17">
        <f>CHOOSE(CONTROL!$C$42, 26.3782, 26.3782) * CHOOSE(CONTROL!$C$21, $C$9, 100%, $E$9)</f>
        <v>26.3782</v>
      </c>
      <c r="T52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28" s="56">
        <f>(1000*CHOOSE(CONTROL!$C$42, 695, 695)*CHOOSE(CONTROL!$C$42, 0.5599, 0.5599)*CHOOSE(CONTROL!$C$42, 31, 31))/1000000</f>
        <v>12.063045499999998</v>
      </c>
      <c r="V528" s="56">
        <f>(1000*CHOOSE(CONTROL!$C$42, 500, 500)*CHOOSE(CONTROL!$C$42, 0.275, 0.275)*CHOOSE(CONTROL!$C$42, 31, 31))/1000000</f>
        <v>4.2625000000000002</v>
      </c>
      <c r="W528" s="56">
        <f>(1000*CHOOSE(CONTROL!$C$42, 0.1146, 0.1146)*CHOOSE(CONTROL!$C$42, 121.5, 121.5)*CHOOSE(CONTROL!$C$42, 31, 31))/1000000</f>
        <v>0.43164089999999994</v>
      </c>
      <c r="X528" s="56">
        <f>(31*0.2374*100000/1000000)</f>
        <v>0.73594000000000004</v>
      </c>
      <c r="Y528" s="56"/>
      <c r="Z528" s="17"/>
      <c r="AA528" s="55"/>
      <c r="AB528" s="48">
        <f>(B528*122.58+C528*297.941+D528*89.177+E528*140.302+F528*40+G528*60+H528*0+I528*100+J528*300)/(122.58+297.941+89.177+140.302+0+40+60+100+300)</f>
        <v>27.503313604521743</v>
      </c>
      <c r="AC528" s="45">
        <f>(M528*'RAP TEMPLATE-GAS AVAILABILITY'!O527+N528*'RAP TEMPLATE-GAS AVAILABILITY'!P527+O528*'RAP TEMPLATE-GAS AVAILABILITY'!Q527+P528*'RAP TEMPLATE-GAS AVAILABILITY'!R527)/('RAP TEMPLATE-GAS AVAILABILITY'!O527+'RAP TEMPLATE-GAS AVAILABILITY'!P527+'RAP TEMPLATE-GAS AVAILABILITY'!Q527+'RAP TEMPLATE-GAS AVAILABILITY'!R527)</f>
        <v>27.052510791366906</v>
      </c>
    </row>
    <row r="529" spans="1:29" ht="15.75" x14ac:dyDescent="0.25">
      <c r="A529" s="13">
        <v>57010</v>
      </c>
      <c r="B529" s="17">
        <f>CHOOSE(CONTROL!$C$42, 29.7361, 29.7361) * CHOOSE(CONTROL!$C$21, $C$9, 100%, $E$9)</f>
        <v>29.7361</v>
      </c>
      <c r="C529" s="17">
        <f>CHOOSE(CONTROL!$C$42, 29.7412, 29.7412) * CHOOSE(CONTROL!$C$21, $C$9, 100%, $E$9)</f>
        <v>29.741199999999999</v>
      </c>
      <c r="D529" s="17">
        <f>CHOOSE(CONTROL!$C$42, 29.8596, 29.8596) * CHOOSE(CONTROL!$C$21, $C$9, 100%, $E$9)</f>
        <v>29.8596</v>
      </c>
      <c r="E529" s="17">
        <f>CHOOSE(CONTROL!$C$42, 29.8937, 29.8937) * CHOOSE(CONTROL!$C$21, $C$9, 100%, $E$9)</f>
        <v>29.893699999999999</v>
      </c>
      <c r="F529" s="17">
        <f>CHOOSE(CONTROL!$C$42, 29.7565, 29.7565)*CHOOSE(CONTROL!$C$21, $C$9, 100%, $E$9)</f>
        <v>29.756499999999999</v>
      </c>
      <c r="G529" s="17">
        <f>CHOOSE(CONTROL!$C$42, 29.7733, 29.7733)*CHOOSE(CONTROL!$C$21, $C$9, 100%, $E$9)</f>
        <v>29.773299999999999</v>
      </c>
      <c r="H529" s="17">
        <f>CHOOSE(CONTROL!$C$42, 29.8829, 29.8829) * CHOOSE(CONTROL!$C$21, $C$9, 100%, $E$9)</f>
        <v>29.882899999999999</v>
      </c>
      <c r="I529" s="17">
        <f>CHOOSE(CONTROL!$C$42, 29.8528, 29.8528)* CHOOSE(CONTROL!$C$21, $C$9, 100%, $E$9)</f>
        <v>29.852799999999998</v>
      </c>
      <c r="J529" s="17">
        <f>CHOOSE(CONTROL!$C$42, 29.7495, 29.7495)* CHOOSE(CONTROL!$C$21, $C$9, 100%, $E$9)</f>
        <v>29.749500000000001</v>
      </c>
      <c r="K529" s="52">
        <f>CHOOSE(CONTROL!$C$42, 29.8486, 29.8486) * CHOOSE(CONTROL!$C$21, $C$9, 100%, $E$9)</f>
        <v>29.848600000000001</v>
      </c>
      <c r="L529" s="17">
        <f>CHOOSE(CONTROL!$C$42, 30.4699, 30.4699) * CHOOSE(CONTROL!$C$21, $C$9, 100%, $E$9)</f>
        <v>30.469899999999999</v>
      </c>
      <c r="M529" s="17">
        <f>CHOOSE(CONTROL!$C$42, 29.2221, 29.2221) * CHOOSE(CONTROL!$C$21, $C$9, 100%, $E$9)</f>
        <v>29.222100000000001</v>
      </c>
      <c r="N529" s="17">
        <f>CHOOSE(CONTROL!$C$42, 29.2386, 29.2386) * CHOOSE(CONTROL!$C$21, $C$9, 100%, $E$9)</f>
        <v>29.238600000000002</v>
      </c>
      <c r="O529" s="17">
        <f>CHOOSE(CONTROL!$C$42, 29.3531, 29.3531) * CHOOSE(CONTROL!$C$21, $C$9, 100%, $E$9)</f>
        <v>29.353100000000001</v>
      </c>
      <c r="P529" s="17">
        <f>CHOOSE(CONTROL!$C$42, 29.322, 29.322) * CHOOSE(CONTROL!$C$21, $C$9, 100%, $E$9)</f>
        <v>29.321999999999999</v>
      </c>
      <c r="Q529" s="17">
        <f>CHOOSE(CONTROL!$C$42, 29.9478, 29.9478) * CHOOSE(CONTROL!$C$21, $C$9, 100%, $E$9)</f>
        <v>29.947800000000001</v>
      </c>
      <c r="R529" s="17">
        <f>CHOOSE(CONTROL!$C$42, 30.6097, 30.6097) * CHOOSE(CONTROL!$C$21, $C$9, 100%, $E$9)</f>
        <v>30.6097</v>
      </c>
      <c r="S529" s="17">
        <f>CHOOSE(CONTROL!$C$42, 28.5649, 28.5649) * CHOOSE(CONTROL!$C$21, $C$9, 100%, $E$9)</f>
        <v>28.564900000000002</v>
      </c>
      <c r="T52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29" s="56">
        <f>(1000*CHOOSE(CONTROL!$C$42, 695, 695)*CHOOSE(CONTROL!$C$42, 0.5599, 0.5599)*CHOOSE(CONTROL!$C$42, 31, 31))/1000000</f>
        <v>12.063045499999998</v>
      </c>
      <c r="V529" s="56">
        <f>(1000*CHOOSE(CONTROL!$C$42, 500, 500)*CHOOSE(CONTROL!$C$42, 0.275, 0.275)*CHOOSE(CONTROL!$C$42, 31, 31))/1000000</f>
        <v>4.2625000000000002</v>
      </c>
      <c r="W529" s="56">
        <f>(1000*CHOOSE(CONTROL!$C$42, 0.1146, 0.1146)*CHOOSE(CONTROL!$C$42, 121.5, 121.5)*CHOOSE(CONTROL!$C$42, 31, 31))/1000000</f>
        <v>0.43164089999999994</v>
      </c>
      <c r="X529" s="56">
        <f>(31*0.2374*100000/1000000)</f>
        <v>0.73594000000000004</v>
      </c>
      <c r="Y529" s="56"/>
      <c r="Z529" s="17"/>
      <c r="AA529" s="55"/>
      <c r="AB529" s="48">
        <f>(B529*122.58+C529*297.941+D529*89.177+E529*140.302+F529*40+G529*60+H529*0+I529*100+J529*300)/(122.58+297.941+89.177+140.302+0+40+60+100+300)</f>
        <v>29.782519525043476</v>
      </c>
      <c r="AC529" s="45">
        <f>(M529*'RAP TEMPLATE-GAS AVAILABILITY'!O528+N529*'RAP TEMPLATE-GAS AVAILABILITY'!P528+O529*'RAP TEMPLATE-GAS AVAILABILITY'!Q528+P529*'RAP TEMPLATE-GAS AVAILABILITY'!R528)/('RAP TEMPLATE-GAS AVAILABILITY'!O528+'RAP TEMPLATE-GAS AVAILABILITY'!P528+'RAP TEMPLATE-GAS AVAILABILITY'!Q528+'RAP TEMPLATE-GAS AVAILABILITY'!R528)</f>
        <v>29.296797841726622</v>
      </c>
    </row>
    <row r="530" spans="1:29" ht="15.75" x14ac:dyDescent="0.25">
      <c r="A530" s="13">
        <v>57038</v>
      </c>
      <c r="B530" s="17">
        <f>CHOOSE(CONTROL!$C$42, 30.2653, 30.2653) * CHOOSE(CONTROL!$C$21, $C$9, 100%, $E$9)</f>
        <v>30.2653</v>
      </c>
      <c r="C530" s="17">
        <f>CHOOSE(CONTROL!$C$42, 30.2703, 30.2703) * CHOOSE(CONTROL!$C$21, $C$9, 100%, $E$9)</f>
        <v>30.270299999999999</v>
      </c>
      <c r="D530" s="17">
        <f>CHOOSE(CONTROL!$C$42, 30.3888, 30.3888) * CHOOSE(CONTROL!$C$21, $C$9, 100%, $E$9)</f>
        <v>30.3888</v>
      </c>
      <c r="E530" s="17">
        <f>CHOOSE(CONTROL!$C$42, 30.4229, 30.4229) * CHOOSE(CONTROL!$C$21, $C$9, 100%, $E$9)</f>
        <v>30.422899999999998</v>
      </c>
      <c r="F530" s="17">
        <f>CHOOSE(CONTROL!$C$42, 30.2857, 30.2857)*CHOOSE(CONTROL!$C$21, $C$9, 100%, $E$9)</f>
        <v>30.285699999999999</v>
      </c>
      <c r="G530" s="17">
        <f>CHOOSE(CONTROL!$C$42, 30.3025, 30.3025)*CHOOSE(CONTROL!$C$21, $C$9, 100%, $E$9)</f>
        <v>30.302499999999998</v>
      </c>
      <c r="H530" s="17">
        <f>CHOOSE(CONTROL!$C$42, 30.4121, 30.4121) * CHOOSE(CONTROL!$C$21, $C$9, 100%, $E$9)</f>
        <v>30.412099999999999</v>
      </c>
      <c r="I530" s="17">
        <f>CHOOSE(CONTROL!$C$42, 30.3837, 30.3837)* CHOOSE(CONTROL!$C$21, $C$9, 100%, $E$9)</f>
        <v>30.383700000000001</v>
      </c>
      <c r="J530" s="17">
        <f>CHOOSE(CONTROL!$C$42, 30.2787, 30.2787)* CHOOSE(CONTROL!$C$21, $C$9, 100%, $E$9)</f>
        <v>30.278700000000001</v>
      </c>
      <c r="K530" s="52">
        <f>CHOOSE(CONTROL!$C$42, 30.3795, 30.3795) * CHOOSE(CONTROL!$C$21, $C$9, 100%, $E$9)</f>
        <v>30.3795</v>
      </c>
      <c r="L530" s="17">
        <f>CHOOSE(CONTROL!$C$42, 30.9991, 30.9991) * CHOOSE(CONTROL!$C$21, $C$9, 100%, $E$9)</f>
        <v>30.999099999999999</v>
      </c>
      <c r="M530" s="17">
        <f>CHOOSE(CONTROL!$C$42, 29.7417, 29.7417) * CHOOSE(CONTROL!$C$21, $C$9, 100%, $E$9)</f>
        <v>29.741700000000002</v>
      </c>
      <c r="N530" s="17">
        <f>CHOOSE(CONTROL!$C$42, 29.7583, 29.7583) * CHOOSE(CONTROL!$C$21, $C$9, 100%, $E$9)</f>
        <v>29.758299999999998</v>
      </c>
      <c r="O530" s="17">
        <f>CHOOSE(CONTROL!$C$42, 29.8728, 29.8728) * CHOOSE(CONTROL!$C$21, $C$9, 100%, $E$9)</f>
        <v>29.872800000000002</v>
      </c>
      <c r="P530" s="17">
        <f>CHOOSE(CONTROL!$C$42, 29.8433, 29.8433) * CHOOSE(CONTROL!$C$21, $C$9, 100%, $E$9)</f>
        <v>29.843299999999999</v>
      </c>
      <c r="Q530" s="17">
        <f>CHOOSE(CONTROL!$C$42, 30.4675, 30.4675) * CHOOSE(CONTROL!$C$21, $C$9, 100%, $E$9)</f>
        <v>30.467500000000001</v>
      </c>
      <c r="R530" s="17">
        <f>CHOOSE(CONTROL!$C$42, 31.1306, 31.1306) * CHOOSE(CONTROL!$C$21, $C$9, 100%, $E$9)</f>
        <v>31.130600000000001</v>
      </c>
      <c r="S530" s="17">
        <f>CHOOSE(CONTROL!$C$42, 29.0734, 29.0734) * CHOOSE(CONTROL!$C$21, $C$9, 100%, $E$9)</f>
        <v>29.073399999999999</v>
      </c>
      <c r="T53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30" s="56">
        <f>(1000*CHOOSE(CONTROL!$C$42, 695, 695)*CHOOSE(CONTROL!$C$42, 0.5599, 0.5599)*CHOOSE(CONTROL!$C$42, 29, 29))/1000000</f>
        <v>11.284784499999999</v>
      </c>
      <c r="V530" s="56">
        <f>(1000*CHOOSE(CONTROL!$C$42, 500, 500)*CHOOSE(CONTROL!$C$42, 0.275, 0.275)*CHOOSE(CONTROL!$C$42, 29, 29))/1000000</f>
        <v>3.9874999999999998</v>
      </c>
      <c r="W530" s="56">
        <f>(1000*CHOOSE(CONTROL!$C$42, 0.1146, 0.1146)*CHOOSE(CONTROL!$C$42, 121.5, 121.5)*CHOOSE(CONTROL!$C$42, 29, 29))/1000000</f>
        <v>0.40379309999999996</v>
      </c>
      <c r="X530" s="56">
        <f>(29*0.2374*100000/1000000)</f>
        <v>0.68845999999999996</v>
      </c>
      <c r="Y530" s="56"/>
      <c r="Z530" s="17"/>
      <c r="AA530" s="55"/>
      <c r="AB530" s="48">
        <f>(B530*122.58+C530*297.941+D530*89.177+E530*140.302+F530*40+G530*60+H530*0+I530*100+J530*300)/(122.58+297.941+89.177+140.302+0+40+60+100+300)</f>
        <v>30.311841443217393</v>
      </c>
      <c r="AC530" s="45">
        <f>(M530*'RAP TEMPLATE-GAS AVAILABILITY'!O529+N530*'RAP TEMPLATE-GAS AVAILABILITY'!P529+O530*'RAP TEMPLATE-GAS AVAILABILITY'!Q529+P530*'RAP TEMPLATE-GAS AVAILABILITY'!R529)/('RAP TEMPLATE-GAS AVAILABILITY'!O529+'RAP TEMPLATE-GAS AVAILABILITY'!P529+'RAP TEMPLATE-GAS AVAILABILITY'!Q529+'RAP TEMPLATE-GAS AVAILABILITY'!R529)</f>
        <v>29.816693525179854</v>
      </c>
    </row>
    <row r="531" spans="1:29" ht="15.75" x14ac:dyDescent="0.25">
      <c r="A531" s="13">
        <v>57070</v>
      </c>
      <c r="B531" s="17">
        <f>CHOOSE(CONTROL!$C$42, 29.4063, 29.4063) * CHOOSE(CONTROL!$C$21, $C$9, 100%, $E$9)</f>
        <v>29.406300000000002</v>
      </c>
      <c r="C531" s="17">
        <f>CHOOSE(CONTROL!$C$42, 29.4114, 29.4114) * CHOOSE(CONTROL!$C$21, $C$9, 100%, $E$9)</f>
        <v>29.4114</v>
      </c>
      <c r="D531" s="17">
        <f>CHOOSE(CONTROL!$C$42, 29.5298, 29.5298) * CHOOSE(CONTROL!$C$21, $C$9, 100%, $E$9)</f>
        <v>29.529800000000002</v>
      </c>
      <c r="E531" s="17">
        <f>CHOOSE(CONTROL!$C$42, 29.5639, 29.5639) * CHOOSE(CONTROL!$C$21, $C$9, 100%, $E$9)</f>
        <v>29.5639</v>
      </c>
      <c r="F531" s="17">
        <f>CHOOSE(CONTROL!$C$42, 29.426, 29.426)*CHOOSE(CONTROL!$C$21, $C$9, 100%, $E$9)</f>
        <v>29.425999999999998</v>
      </c>
      <c r="G531" s="17">
        <f>CHOOSE(CONTROL!$C$42, 29.4426, 29.4426)*CHOOSE(CONTROL!$C$21, $C$9, 100%, $E$9)</f>
        <v>29.442599999999999</v>
      </c>
      <c r="H531" s="17">
        <f>CHOOSE(CONTROL!$C$42, 29.5531, 29.5531) * CHOOSE(CONTROL!$C$21, $C$9, 100%, $E$9)</f>
        <v>29.553100000000001</v>
      </c>
      <c r="I531" s="17">
        <f>CHOOSE(CONTROL!$C$42, 29.522, 29.522)* CHOOSE(CONTROL!$C$21, $C$9, 100%, $E$9)</f>
        <v>29.521999999999998</v>
      </c>
      <c r="J531" s="17">
        <f>CHOOSE(CONTROL!$C$42, 29.419, 29.419)* CHOOSE(CONTROL!$C$21, $C$9, 100%, $E$9)</f>
        <v>29.419</v>
      </c>
      <c r="K531" s="52">
        <f>CHOOSE(CONTROL!$C$42, 29.5178, 29.5178) * CHOOSE(CONTROL!$C$21, $C$9, 100%, $E$9)</f>
        <v>29.517800000000001</v>
      </c>
      <c r="L531" s="17">
        <f>CHOOSE(CONTROL!$C$42, 30.1401, 30.1401) * CHOOSE(CONTROL!$C$21, $C$9, 100%, $E$9)</f>
        <v>30.1401</v>
      </c>
      <c r="M531" s="17">
        <f>CHOOSE(CONTROL!$C$42, 28.8975, 28.8975) * CHOOSE(CONTROL!$C$21, $C$9, 100%, $E$9)</f>
        <v>28.897500000000001</v>
      </c>
      <c r="N531" s="17">
        <f>CHOOSE(CONTROL!$C$42, 28.9139, 28.9139) * CHOOSE(CONTROL!$C$21, $C$9, 100%, $E$9)</f>
        <v>28.913900000000002</v>
      </c>
      <c r="O531" s="17">
        <f>CHOOSE(CONTROL!$C$42, 29.0292, 29.0292) * CHOOSE(CONTROL!$C$21, $C$9, 100%, $E$9)</f>
        <v>29.029199999999999</v>
      </c>
      <c r="P531" s="17">
        <f>CHOOSE(CONTROL!$C$42, 28.9971, 28.9971) * CHOOSE(CONTROL!$C$21, $C$9, 100%, $E$9)</f>
        <v>28.9971</v>
      </c>
      <c r="Q531" s="17">
        <f>CHOOSE(CONTROL!$C$42, 29.6239, 29.6239) * CHOOSE(CONTROL!$C$21, $C$9, 100%, $E$9)</f>
        <v>29.623899999999999</v>
      </c>
      <c r="R531" s="17">
        <f>CHOOSE(CONTROL!$C$42, 30.285, 30.285) * CHOOSE(CONTROL!$C$21, $C$9, 100%, $E$9)</f>
        <v>30.285</v>
      </c>
      <c r="S531" s="17">
        <f>CHOOSE(CONTROL!$C$42, 28.248, 28.248) * CHOOSE(CONTROL!$C$21, $C$9, 100%, $E$9)</f>
        <v>28.248000000000001</v>
      </c>
      <c r="T53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31" s="56">
        <f>(1000*CHOOSE(CONTROL!$C$42, 695, 695)*CHOOSE(CONTROL!$C$42, 0.5599, 0.5599)*CHOOSE(CONTROL!$C$42, 31, 31))/1000000</f>
        <v>12.063045499999998</v>
      </c>
      <c r="V531" s="56">
        <f>(1000*CHOOSE(CONTROL!$C$42, 500, 500)*CHOOSE(CONTROL!$C$42, 0.275, 0.275)*CHOOSE(CONTROL!$C$42, 31, 31))/1000000</f>
        <v>4.2625000000000002</v>
      </c>
      <c r="W531" s="56">
        <f>(1000*CHOOSE(CONTROL!$C$42, 0.1146, 0.1146)*CHOOSE(CONTROL!$C$42, 121.5, 121.5)*CHOOSE(CONTROL!$C$42, 31, 31))/1000000</f>
        <v>0.43164089999999994</v>
      </c>
      <c r="X531" s="56">
        <f>(31*0.2374*100000/1000000)</f>
        <v>0.73594000000000004</v>
      </c>
      <c r="Y531" s="56"/>
      <c r="Z531" s="17"/>
      <c r="AA531" s="55"/>
      <c r="AB531" s="48">
        <f>(B531*122.58+C531*297.941+D531*89.177+E531*140.302+F531*40+G531*60+H531*0+I531*100+J531*300)/(122.58+297.941+89.177+140.302+0+40+60+100+300)</f>
        <v>29.452378655478267</v>
      </c>
      <c r="AC531" s="45">
        <f>(M531*'RAP TEMPLATE-GAS AVAILABILITY'!O530+N531*'RAP TEMPLATE-GAS AVAILABILITY'!P530+O531*'RAP TEMPLATE-GAS AVAILABILITY'!Q530+P531*'RAP TEMPLATE-GAS AVAILABILITY'!R530)/('RAP TEMPLATE-GAS AVAILABILITY'!O530+'RAP TEMPLATE-GAS AVAILABILITY'!P530+'RAP TEMPLATE-GAS AVAILABILITY'!Q530+'RAP TEMPLATE-GAS AVAILABILITY'!R530)</f>
        <v>28.972466187050362</v>
      </c>
    </row>
    <row r="532" spans="1:29" ht="15.75" x14ac:dyDescent="0.25">
      <c r="A532" s="13">
        <v>57100</v>
      </c>
      <c r="B532" s="17">
        <f>CHOOSE(CONTROL!$C$42, 29.3193, 29.3193) * CHOOSE(CONTROL!$C$21, $C$9, 100%, $E$9)</f>
        <v>29.319299999999998</v>
      </c>
      <c r="C532" s="17">
        <f>CHOOSE(CONTROL!$C$42, 29.3238, 29.3238) * CHOOSE(CONTROL!$C$21, $C$9, 100%, $E$9)</f>
        <v>29.323799999999999</v>
      </c>
      <c r="D532" s="17">
        <f>CHOOSE(CONTROL!$C$42, 29.598, 29.598) * CHOOSE(CONTROL!$C$21, $C$9, 100%, $E$9)</f>
        <v>29.597999999999999</v>
      </c>
      <c r="E532" s="17">
        <f>CHOOSE(CONTROL!$C$42, 29.6301, 29.6301) * CHOOSE(CONTROL!$C$21, $C$9, 100%, $E$9)</f>
        <v>29.630099999999999</v>
      </c>
      <c r="F532" s="17">
        <f>CHOOSE(CONTROL!$C$42, 29.3386, 29.3386)*CHOOSE(CONTROL!$C$21, $C$9, 100%, $E$9)</f>
        <v>29.3386</v>
      </c>
      <c r="G532" s="17">
        <f>CHOOSE(CONTROL!$C$42, 29.3549, 29.3549)*CHOOSE(CONTROL!$C$21, $C$9, 100%, $E$9)</f>
        <v>29.354900000000001</v>
      </c>
      <c r="H532" s="17">
        <f>CHOOSE(CONTROL!$C$42, 29.6199, 29.6199) * CHOOSE(CONTROL!$C$21, $C$9, 100%, $E$9)</f>
        <v>29.619900000000001</v>
      </c>
      <c r="I532" s="17">
        <f>CHOOSE(CONTROL!$C$42, 29.4324, 29.4324)* CHOOSE(CONTROL!$C$21, $C$9, 100%, $E$9)</f>
        <v>29.432400000000001</v>
      </c>
      <c r="J532" s="17">
        <f>CHOOSE(CONTROL!$C$42, 29.3316, 29.3316)* CHOOSE(CONTROL!$C$21, $C$9, 100%, $E$9)</f>
        <v>29.331600000000002</v>
      </c>
      <c r="K532" s="52">
        <f>CHOOSE(CONTROL!$C$42, 29.4282, 29.4282) * CHOOSE(CONTROL!$C$21, $C$9, 100%, $E$9)</f>
        <v>29.4282</v>
      </c>
      <c r="L532" s="17">
        <f>CHOOSE(CONTROL!$C$42, 30.2069, 30.2069) * CHOOSE(CONTROL!$C$21, $C$9, 100%, $E$9)</f>
        <v>30.206900000000001</v>
      </c>
      <c r="M532" s="17">
        <f>CHOOSE(CONTROL!$C$42, 28.8117, 28.8117) * CHOOSE(CONTROL!$C$21, $C$9, 100%, $E$9)</f>
        <v>28.811699999999998</v>
      </c>
      <c r="N532" s="17">
        <f>CHOOSE(CONTROL!$C$42, 28.8278, 28.8278) * CHOOSE(CONTROL!$C$21, $C$9, 100%, $E$9)</f>
        <v>28.8278</v>
      </c>
      <c r="O532" s="17">
        <f>CHOOSE(CONTROL!$C$42, 29.0948, 29.0948) * CHOOSE(CONTROL!$C$21, $C$9, 100%, $E$9)</f>
        <v>29.094799999999999</v>
      </c>
      <c r="P532" s="17">
        <f>CHOOSE(CONTROL!$C$42, 28.9091, 28.9091) * CHOOSE(CONTROL!$C$21, $C$9, 100%, $E$9)</f>
        <v>28.909099999999999</v>
      </c>
      <c r="Q532" s="17">
        <f>CHOOSE(CONTROL!$C$42, 29.6895, 29.6895) * CHOOSE(CONTROL!$C$21, $C$9, 100%, $E$9)</f>
        <v>29.689499999999999</v>
      </c>
      <c r="R532" s="17">
        <f>CHOOSE(CONTROL!$C$42, 30.3507, 30.3507) * CHOOSE(CONTROL!$C$21, $C$9, 100%, $E$9)</f>
        <v>30.3507</v>
      </c>
      <c r="S532" s="17">
        <f>CHOOSE(CONTROL!$C$42, 28.1636, 28.1636) * CHOOSE(CONTROL!$C$21, $C$9, 100%, $E$9)</f>
        <v>28.163599999999999</v>
      </c>
      <c r="T53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32" s="56">
        <f>(1000*CHOOSE(CONTROL!$C$42, 695, 695)*CHOOSE(CONTROL!$C$42, 0.5599, 0.5599)*CHOOSE(CONTROL!$C$42, 30, 30))/1000000</f>
        <v>11.673914999999997</v>
      </c>
      <c r="V532" s="56">
        <f>(1000*CHOOSE(CONTROL!$C$42, 500, 500)*CHOOSE(CONTROL!$C$42, 0.275, 0.275)*CHOOSE(CONTROL!$C$42, 30, 30))/1000000</f>
        <v>4.125</v>
      </c>
      <c r="W532" s="56">
        <f>(1000*CHOOSE(CONTROL!$C$42, 0.1146, 0.1146)*CHOOSE(CONTROL!$C$42, 121.5, 121.5)*CHOOSE(CONTROL!$C$42, 30, 30))/1000000</f>
        <v>0.417717</v>
      </c>
      <c r="X532" s="56">
        <f>(30*0.1790888*145000/1000000)+(30*0.2374*100000/1000000)</f>
        <v>1.4912362799999999</v>
      </c>
      <c r="Y532" s="56"/>
      <c r="Z532" s="17"/>
      <c r="AA532" s="55"/>
      <c r="AB532" s="48">
        <f>(B532*141.293+C532*267.993+D532*115.016+E532*189.698+F532*40+G532*85+H532*0+I532*100+J532*300)/(141.293+267.993+115.016+189.698+0+40+85+100+300)</f>
        <v>29.40890215181598</v>
      </c>
      <c r="AC532" s="45">
        <f>(M532*'RAP TEMPLATE-GAS AVAILABILITY'!O531+N532*'RAP TEMPLATE-GAS AVAILABILITY'!P531+O532*'RAP TEMPLATE-GAS AVAILABILITY'!Q531+P532*'RAP TEMPLATE-GAS AVAILABILITY'!R531)/('RAP TEMPLATE-GAS AVAILABILITY'!O531+'RAP TEMPLATE-GAS AVAILABILITY'!P531+'RAP TEMPLATE-GAS AVAILABILITY'!Q531+'RAP TEMPLATE-GAS AVAILABILITY'!R531)</f>
        <v>28.908851798561155</v>
      </c>
    </row>
    <row r="533" spans="1:29" ht="15.75" x14ac:dyDescent="0.25">
      <c r="A533" s="13">
        <v>57131</v>
      </c>
      <c r="B533" s="17">
        <f>CHOOSE(CONTROL!$C$42, 29.5794, 29.5794) * CHOOSE(CONTROL!$C$21, $C$9, 100%, $E$9)</f>
        <v>29.5794</v>
      </c>
      <c r="C533" s="17">
        <f>CHOOSE(CONTROL!$C$42, 29.5874, 29.5874) * CHOOSE(CONTROL!$C$21, $C$9, 100%, $E$9)</f>
        <v>29.587399999999999</v>
      </c>
      <c r="D533" s="17">
        <f>CHOOSE(CONTROL!$C$42, 29.8585, 29.8585) * CHOOSE(CONTROL!$C$21, $C$9, 100%, $E$9)</f>
        <v>29.858499999999999</v>
      </c>
      <c r="E533" s="17">
        <f>CHOOSE(CONTROL!$C$42, 29.8899, 29.8899) * CHOOSE(CONTROL!$C$21, $C$9, 100%, $E$9)</f>
        <v>29.889900000000001</v>
      </c>
      <c r="F533" s="17">
        <f>CHOOSE(CONTROL!$C$42, 29.5975, 29.5975)*CHOOSE(CONTROL!$C$21, $C$9, 100%, $E$9)</f>
        <v>29.5975</v>
      </c>
      <c r="G533" s="17">
        <f>CHOOSE(CONTROL!$C$42, 29.6142, 29.6142)*CHOOSE(CONTROL!$C$21, $C$9, 100%, $E$9)</f>
        <v>29.6142</v>
      </c>
      <c r="H533" s="17">
        <f>CHOOSE(CONTROL!$C$42, 29.8785, 29.8785) * CHOOSE(CONTROL!$C$21, $C$9, 100%, $E$9)</f>
        <v>29.878499999999999</v>
      </c>
      <c r="I533" s="17">
        <f>CHOOSE(CONTROL!$C$42, 29.6919, 29.6919)* CHOOSE(CONTROL!$C$21, $C$9, 100%, $E$9)</f>
        <v>29.6919</v>
      </c>
      <c r="J533" s="17">
        <f>CHOOSE(CONTROL!$C$42, 29.5905, 29.5905)* CHOOSE(CONTROL!$C$21, $C$9, 100%, $E$9)</f>
        <v>29.590499999999999</v>
      </c>
      <c r="K533" s="52">
        <f>CHOOSE(CONTROL!$C$42, 29.6876, 29.6876) * CHOOSE(CONTROL!$C$21, $C$9, 100%, $E$9)</f>
        <v>29.6876</v>
      </c>
      <c r="L533" s="17">
        <f>CHOOSE(CONTROL!$C$42, 30.4655, 30.4655) * CHOOSE(CONTROL!$C$21, $C$9, 100%, $E$9)</f>
        <v>30.465499999999999</v>
      </c>
      <c r="M533" s="17">
        <f>CHOOSE(CONTROL!$C$42, 29.066, 29.066) * CHOOSE(CONTROL!$C$21, $C$9, 100%, $E$9)</f>
        <v>29.065999999999999</v>
      </c>
      <c r="N533" s="17">
        <f>CHOOSE(CONTROL!$C$42, 29.0823, 29.0823) * CHOOSE(CONTROL!$C$21, $C$9, 100%, $E$9)</f>
        <v>29.0823</v>
      </c>
      <c r="O533" s="17">
        <f>CHOOSE(CONTROL!$C$42, 29.3488, 29.3488) * CHOOSE(CONTROL!$C$21, $C$9, 100%, $E$9)</f>
        <v>29.348800000000001</v>
      </c>
      <c r="P533" s="17">
        <f>CHOOSE(CONTROL!$C$42, 29.1639, 29.1639) * CHOOSE(CONTROL!$C$21, $C$9, 100%, $E$9)</f>
        <v>29.163900000000002</v>
      </c>
      <c r="Q533" s="17">
        <f>CHOOSE(CONTROL!$C$42, 29.9435, 29.9435) * CHOOSE(CONTROL!$C$21, $C$9, 100%, $E$9)</f>
        <v>29.9435</v>
      </c>
      <c r="R533" s="17">
        <f>CHOOSE(CONTROL!$C$42, 30.6054, 30.6054) * CHOOSE(CONTROL!$C$21, $C$9, 100%, $E$9)</f>
        <v>30.605399999999999</v>
      </c>
      <c r="S533" s="17">
        <f>CHOOSE(CONTROL!$C$42, 28.4122, 28.4122) * CHOOSE(CONTROL!$C$21, $C$9, 100%, $E$9)</f>
        <v>28.412199999999999</v>
      </c>
      <c r="T53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33" s="56">
        <f>(1000*CHOOSE(CONTROL!$C$42, 695, 695)*CHOOSE(CONTROL!$C$42, 0.5599, 0.5599)*CHOOSE(CONTROL!$C$42, 31, 31))/1000000</f>
        <v>12.063045499999998</v>
      </c>
      <c r="V533" s="56">
        <f>(1000*CHOOSE(CONTROL!$C$42, 500, 500)*CHOOSE(CONTROL!$C$42, 0.275, 0.275)*CHOOSE(CONTROL!$C$42, 31, 31))/1000000</f>
        <v>4.2625000000000002</v>
      </c>
      <c r="W533" s="56">
        <f>(1000*CHOOSE(CONTROL!$C$42, 0.1146, 0.1146)*CHOOSE(CONTROL!$C$42, 121.5, 121.5)*CHOOSE(CONTROL!$C$42, 31, 31))/1000000</f>
        <v>0.43164089999999994</v>
      </c>
      <c r="X533" s="56">
        <f>(31*0.1790888*145000/1000000)+(31*0.2374*100000/1000000)</f>
        <v>1.5409441560000001</v>
      </c>
      <c r="Y533" s="56"/>
      <c r="Z533" s="17"/>
      <c r="AA533" s="55"/>
      <c r="AB533" s="48">
        <f>(B533*194.205+C533*267.466+D533*133.845+E533*153.484+F533*40+G533*85+H533*0+I533*100+J533*300)/(194.205+267.466+133.845+153.484+0+40+85+100+300)</f>
        <v>29.662143052982731</v>
      </c>
      <c r="AC533" s="45">
        <f>(M533*'RAP TEMPLATE-GAS AVAILABILITY'!O532+N533*'RAP TEMPLATE-GAS AVAILABILITY'!P532+O533*'RAP TEMPLATE-GAS AVAILABILITY'!Q532+P533*'RAP TEMPLATE-GAS AVAILABILITY'!R532)/('RAP TEMPLATE-GAS AVAILABILITY'!O532+'RAP TEMPLATE-GAS AVAILABILITY'!P532+'RAP TEMPLATE-GAS AVAILABILITY'!Q532+'RAP TEMPLATE-GAS AVAILABILITY'!R532)</f>
        <v>29.163185611510791</v>
      </c>
    </row>
    <row r="534" spans="1:29" ht="15.75" x14ac:dyDescent="0.25">
      <c r="A534" s="13">
        <v>57161</v>
      </c>
      <c r="B534" s="17">
        <f>CHOOSE(CONTROL!$C$42, 30.4181, 30.4181) * CHOOSE(CONTROL!$C$21, $C$9, 100%, $E$9)</f>
        <v>30.418099999999999</v>
      </c>
      <c r="C534" s="17">
        <f>CHOOSE(CONTROL!$C$42, 30.4261, 30.4261) * CHOOSE(CONTROL!$C$21, $C$9, 100%, $E$9)</f>
        <v>30.426100000000002</v>
      </c>
      <c r="D534" s="17">
        <f>CHOOSE(CONTROL!$C$42, 30.6972, 30.6972) * CHOOSE(CONTROL!$C$21, $C$9, 100%, $E$9)</f>
        <v>30.697199999999999</v>
      </c>
      <c r="E534" s="17">
        <f>CHOOSE(CONTROL!$C$42, 30.7286, 30.7286) * CHOOSE(CONTROL!$C$21, $C$9, 100%, $E$9)</f>
        <v>30.7286</v>
      </c>
      <c r="F534" s="17">
        <f>CHOOSE(CONTROL!$C$42, 30.4365, 30.4365)*CHOOSE(CONTROL!$C$21, $C$9, 100%, $E$9)</f>
        <v>30.436499999999999</v>
      </c>
      <c r="G534" s="17">
        <f>CHOOSE(CONTROL!$C$42, 30.4532, 30.4532)*CHOOSE(CONTROL!$C$21, $C$9, 100%, $E$9)</f>
        <v>30.453199999999999</v>
      </c>
      <c r="H534" s="17">
        <f>CHOOSE(CONTROL!$C$42, 30.7173, 30.7173) * CHOOSE(CONTROL!$C$21, $C$9, 100%, $E$9)</f>
        <v>30.717300000000002</v>
      </c>
      <c r="I534" s="17">
        <f>CHOOSE(CONTROL!$C$42, 30.5332, 30.5332)* CHOOSE(CONTROL!$C$21, $C$9, 100%, $E$9)</f>
        <v>30.533200000000001</v>
      </c>
      <c r="J534" s="17">
        <f>CHOOSE(CONTROL!$C$42, 30.4295, 30.4295)* CHOOSE(CONTROL!$C$21, $C$9, 100%, $E$9)</f>
        <v>30.429500000000001</v>
      </c>
      <c r="K534" s="52">
        <f>CHOOSE(CONTROL!$C$42, 30.529, 30.529) * CHOOSE(CONTROL!$C$21, $C$9, 100%, $E$9)</f>
        <v>30.529</v>
      </c>
      <c r="L534" s="17">
        <f>CHOOSE(CONTROL!$C$42, 31.3043, 31.3043) * CHOOSE(CONTROL!$C$21, $C$9, 100%, $E$9)</f>
        <v>31.304300000000001</v>
      </c>
      <c r="M534" s="17">
        <f>CHOOSE(CONTROL!$C$42, 29.8899, 29.8899) * CHOOSE(CONTROL!$C$21, $C$9, 100%, $E$9)</f>
        <v>29.889900000000001</v>
      </c>
      <c r="N534" s="17">
        <f>CHOOSE(CONTROL!$C$42, 29.9063, 29.9063) * CHOOSE(CONTROL!$C$21, $C$9, 100%, $E$9)</f>
        <v>29.906300000000002</v>
      </c>
      <c r="O534" s="17">
        <f>CHOOSE(CONTROL!$C$42, 30.1725, 30.1725) * CHOOSE(CONTROL!$C$21, $C$9, 100%, $E$9)</f>
        <v>30.172499999999999</v>
      </c>
      <c r="P534" s="17">
        <f>CHOOSE(CONTROL!$C$42, 29.9901, 29.9901) * CHOOSE(CONTROL!$C$21, $C$9, 100%, $E$9)</f>
        <v>29.990100000000002</v>
      </c>
      <c r="Q534" s="17">
        <f>CHOOSE(CONTROL!$C$42, 30.7672, 30.7672) * CHOOSE(CONTROL!$C$21, $C$9, 100%, $E$9)</f>
        <v>30.767199999999999</v>
      </c>
      <c r="R534" s="17">
        <f>CHOOSE(CONTROL!$C$42, 31.4311, 31.4311) * CHOOSE(CONTROL!$C$21, $C$9, 100%, $E$9)</f>
        <v>31.431100000000001</v>
      </c>
      <c r="S534" s="17">
        <f>CHOOSE(CONTROL!$C$42, 29.2181, 29.2181) * CHOOSE(CONTROL!$C$21, $C$9, 100%, $E$9)</f>
        <v>29.2181</v>
      </c>
      <c r="T53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34" s="56">
        <f>(1000*CHOOSE(CONTROL!$C$42, 695, 695)*CHOOSE(CONTROL!$C$42, 0.5599, 0.5599)*CHOOSE(CONTROL!$C$42, 30, 30))/1000000</f>
        <v>11.673914999999997</v>
      </c>
      <c r="V534" s="56">
        <f>(1000*CHOOSE(CONTROL!$C$42, 500, 500)*CHOOSE(CONTROL!$C$42, 0.275, 0.275)*CHOOSE(CONTROL!$C$42, 30, 30))/1000000</f>
        <v>4.125</v>
      </c>
      <c r="W534" s="56">
        <f>(1000*CHOOSE(CONTROL!$C$42, 0.1146, 0.1146)*CHOOSE(CONTROL!$C$42, 121.5, 121.5)*CHOOSE(CONTROL!$C$42, 30, 30))/1000000</f>
        <v>0.417717</v>
      </c>
      <c r="X534" s="56">
        <f>(30*0.1790888*145000/1000000)+(30*0.2374*100000/1000000)</f>
        <v>1.4912362799999999</v>
      </c>
      <c r="Y534" s="56"/>
      <c r="Z534" s="17"/>
      <c r="AA534" s="55"/>
      <c r="AB534" s="48">
        <f>(B534*194.205+C534*267.466+D534*133.845+E534*153.484+F534*40+G534*85+H534*0+I534*100+J534*300)/(194.205+267.466+133.845+153.484+0+40+85+100+300)</f>
        <v>30.501147213108322</v>
      </c>
      <c r="AC534" s="45">
        <f>(M534*'RAP TEMPLATE-GAS AVAILABILITY'!O533+N534*'RAP TEMPLATE-GAS AVAILABILITY'!P533+O534*'RAP TEMPLATE-GAS AVAILABILITY'!Q533+P534*'RAP TEMPLATE-GAS AVAILABILITY'!R533)/('RAP TEMPLATE-GAS AVAILABILITY'!O533+'RAP TEMPLATE-GAS AVAILABILITY'!P533+'RAP TEMPLATE-GAS AVAILABILITY'!Q533+'RAP TEMPLATE-GAS AVAILABILITY'!R533)</f>
        <v>29.987383453237413</v>
      </c>
    </row>
    <row r="535" spans="1:29" ht="15.75" x14ac:dyDescent="0.25">
      <c r="A535" s="13">
        <v>57192</v>
      </c>
      <c r="B535" s="17">
        <f>CHOOSE(CONTROL!$C$42, 29.8348, 29.8348) * CHOOSE(CONTROL!$C$21, $C$9, 100%, $E$9)</f>
        <v>29.834800000000001</v>
      </c>
      <c r="C535" s="17">
        <f>CHOOSE(CONTROL!$C$42, 29.8428, 29.8428) * CHOOSE(CONTROL!$C$21, $C$9, 100%, $E$9)</f>
        <v>29.8428</v>
      </c>
      <c r="D535" s="17">
        <f>CHOOSE(CONTROL!$C$42, 30.1138, 30.1138) * CHOOSE(CONTROL!$C$21, $C$9, 100%, $E$9)</f>
        <v>30.113800000000001</v>
      </c>
      <c r="E535" s="17">
        <f>CHOOSE(CONTROL!$C$42, 30.1453, 30.1453) * CHOOSE(CONTROL!$C$21, $C$9, 100%, $E$9)</f>
        <v>30.145299999999999</v>
      </c>
      <c r="F535" s="17">
        <f>CHOOSE(CONTROL!$C$42, 29.8536, 29.8536)*CHOOSE(CONTROL!$C$21, $C$9, 100%, $E$9)</f>
        <v>29.8536</v>
      </c>
      <c r="G535" s="17">
        <f>CHOOSE(CONTROL!$C$42, 29.8704, 29.8704)*CHOOSE(CONTROL!$C$21, $C$9, 100%, $E$9)</f>
        <v>29.8704</v>
      </c>
      <c r="H535" s="17">
        <f>CHOOSE(CONTROL!$C$42, 30.1339, 30.1339) * CHOOSE(CONTROL!$C$21, $C$9, 100%, $E$9)</f>
        <v>30.133900000000001</v>
      </c>
      <c r="I535" s="17">
        <f>CHOOSE(CONTROL!$C$42, 29.9481, 29.9481)* CHOOSE(CONTROL!$C$21, $C$9, 100%, $E$9)</f>
        <v>29.9481</v>
      </c>
      <c r="J535" s="17">
        <f>CHOOSE(CONTROL!$C$42, 29.8466, 29.8466)* CHOOSE(CONTROL!$C$21, $C$9, 100%, $E$9)</f>
        <v>29.846599999999999</v>
      </c>
      <c r="K535" s="52">
        <f>CHOOSE(CONTROL!$C$42, 29.9438, 29.9438) * CHOOSE(CONTROL!$C$21, $C$9, 100%, $E$9)</f>
        <v>29.9438</v>
      </c>
      <c r="L535" s="17">
        <f>CHOOSE(CONTROL!$C$42, 30.7209, 30.7209) * CHOOSE(CONTROL!$C$21, $C$9, 100%, $E$9)</f>
        <v>30.7209</v>
      </c>
      <c r="M535" s="17">
        <f>CHOOSE(CONTROL!$C$42, 29.3175, 29.3175) * CHOOSE(CONTROL!$C$21, $C$9, 100%, $E$9)</f>
        <v>29.317499999999999</v>
      </c>
      <c r="N535" s="17">
        <f>CHOOSE(CONTROL!$C$42, 29.334, 29.334) * CHOOSE(CONTROL!$C$21, $C$9, 100%, $E$9)</f>
        <v>29.334</v>
      </c>
      <c r="O535" s="17">
        <f>CHOOSE(CONTROL!$C$42, 29.5996, 29.5996) * CHOOSE(CONTROL!$C$21, $C$9, 100%, $E$9)</f>
        <v>29.599599999999999</v>
      </c>
      <c r="P535" s="17">
        <f>CHOOSE(CONTROL!$C$42, 29.4155, 29.4155) * CHOOSE(CONTROL!$C$21, $C$9, 100%, $E$9)</f>
        <v>29.415500000000002</v>
      </c>
      <c r="Q535" s="17">
        <f>CHOOSE(CONTROL!$C$42, 30.1943, 30.1943) * CHOOSE(CONTROL!$C$21, $C$9, 100%, $E$9)</f>
        <v>30.194299999999998</v>
      </c>
      <c r="R535" s="17">
        <f>CHOOSE(CONTROL!$C$42, 30.8568, 30.8568) * CHOOSE(CONTROL!$C$21, $C$9, 100%, $E$9)</f>
        <v>30.8568</v>
      </c>
      <c r="S535" s="17">
        <f>CHOOSE(CONTROL!$C$42, 28.6576, 28.6576) * CHOOSE(CONTROL!$C$21, $C$9, 100%, $E$9)</f>
        <v>28.657599999999999</v>
      </c>
      <c r="T53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35" s="56">
        <f>(1000*CHOOSE(CONTROL!$C$42, 695, 695)*CHOOSE(CONTROL!$C$42, 0.5599, 0.5599)*CHOOSE(CONTROL!$C$42, 31, 31))/1000000</f>
        <v>12.063045499999998</v>
      </c>
      <c r="V535" s="56">
        <f>(1000*CHOOSE(CONTROL!$C$42, 500, 500)*CHOOSE(CONTROL!$C$42, 0.275, 0.275)*CHOOSE(CONTROL!$C$42, 31, 31))/1000000</f>
        <v>4.2625000000000002</v>
      </c>
      <c r="W535" s="56">
        <f>(1000*CHOOSE(CONTROL!$C$42, 0.1146, 0.1146)*CHOOSE(CONTROL!$C$42, 121.5, 121.5)*CHOOSE(CONTROL!$C$42, 31, 31))/1000000</f>
        <v>0.43164089999999994</v>
      </c>
      <c r="X535" s="56">
        <f>(31*0.1790888*145000/1000000)+(31*0.2374*100000/1000000)</f>
        <v>1.5409441560000001</v>
      </c>
      <c r="Y535" s="56"/>
      <c r="Z535" s="17"/>
      <c r="AA535" s="55"/>
      <c r="AB535" s="48">
        <f>(B535*194.205+C535*267.466+D535*133.845+E535*153.484+F535*40+G535*85+H535*0+I535*100+J535*300)/(194.205+267.466+133.845+153.484+0+40+85+100+300)</f>
        <v>29.917835529827318</v>
      </c>
      <c r="AC535" s="45">
        <f>(M535*'RAP TEMPLATE-GAS AVAILABILITY'!O534+N535*'RAP TEMPLATE-GAS AVAILABILITY'!P534+O535*'RAP TEMPLATE-GAS AVAILABILITY'!Q534+P535*'RAP TEMPLATE-GAS AVAILABILITY'!R534)/('RAP TEMPLATE-GAS AVAILABILITY'!O534+'RAP TEMPLATE-GAS AVAILABILITY'!P534+'RAP TEMPLATE-GAS AVAILABILITY'!Q534+'RAP TEMPLATE-GAS AVAILABILITY'!R534)</f>
        <v>29.414549640287767</v>
      </c>
    </row>
    <row r="536" spans="1:29" ht="15.75" x14ac:dyDescent="0.25">
      <c r="A536" s="13">
        <v>57223</v>
      </c>
      <c r="B536" s="17">
        <f>CHOOSE(CONTROL!$C$42, 28.3616, 28.3616) * CHOOSE(CONTROL!$C$21, $C$9, 100%, $E$9)</f>
        <v>28.361599999999999</v>
      </c>
      <c r="C536" s="17">
        <f>CHOOSE(CONTROL!$C$42, 28.3697, 28.3697) * CHOOSE(CONTROL!$C$21, $C$9, 100%, $E$9)</f>
        <v>28.369700000000002</v>
      </c>
      <c r="D536" s="17">
        <f>CHOOSE(CONTROL!$C$42, 28.6407, 28.6407) * CHOOSE(CONTROL!$C$21, $C$9, 100%, $E$9)</f>
        <v>28.640699999999999</v>
      </c>
      <c r="E536" s="17">
        <f>CHOOSE(CONTROL!$C$42, 28.6722, 28.6722) * CHOOSE(CONTROL!$C$21, $C$9, 100%, $E$9)</f>
        <v>28.6722</v>
      </c>
      <c r="F536" s="17">
        <f>CHOOSE(CONTROL!$C$42, 28.3808, 28.3808)*CHOOSE(CONTROL!$C$21, $C$9, 100%, $E$9)</f>
        <v>28.380800000000001</v>
      </c>
      <c r="G536" s="17">
        <f>CHOOSE(CONTROL!$C$42, 28.3977, 28.3977)*CHOOSE(CONTROL!$C$21, $C$9, 100%, $E$9)</f>
        <v>28.3977</v>
      </c>
      <c r="H536" s="17">
        <f>CHOOSE(CONTROL!$C$42, 28.6608, 28.6608) * CHOOSE(CONTROL!$C$21, $C$9, 100%, $E$9)</f>
        <v>28.660799999999998</v>
      </c>
      <c r="I536" s="17">
        <f>CHOOSE(CONTROL!$C$42, 28.4703, 28.4703)* CHOOSE(CONTROL!$C$21, $C$9, 100%, $E$9)</f>
        <v>28.470300000000002</v>
      </c>
      <c r="J536" s="17">
        <f>CHOOSE(CONTROL!$C$42, 28.3738, 28.3738)* CHOOSE(CONTROL!$C$21, $C$9, 100%, $E$9)</f>
        <v>28.373799999999999</v>
      </c>
      <c r="K536" s="52">
        <f>CHOOSE(CONTROL!$C$42, 28.4661, 28.4661) * CHOOSE(CONTROL!$C$21, $C$9, 100%, $E$9)</f>
        <v>28.466100000000001</v>
      </c>
      <c r="L536" s="17">
        <f>CHOOSE(CONTROL!$C$42, 29.2478, 29.2478) * CHOOSE(CONTROL!$C$21, $C$9, 100%, $E$9)</f>
        <v>29.247800000000002</v>
      </c>
      <c r="M536" s="17">
        <f>CHOOSE(CONTROL!$C$42, 27.8711, 27.8711) * CHOOSE(CONTROL!$C$21, $C$9, 100%, $E$9)</f>
        <v>27.871099999999998</v>
      </c>
      <c r="N536" s="17">
        <f>CHOOSE(CONTROL!$C$42, 27.8877, 27.8877) * CHOOSE(CONTROL!$C$21, $C$9, 100%, $E$9)</f>
        <v>27.887699999999999</v>
      </c>
      <c r="O536" s="17">
        <f>CHOOSE(CONTROL!$C$42, 28.153, 28.153) * CHOOSE(CONTROL!$C$21, $C$9, 100%, $E$9)</f>
        <v>28.152999999999999</v>
      </c>
      <c r="P536" s="17">
        <f>CHOOSE(CONTROL!$C$42, 27.9644, 27.9644) * CHOOSE(CONTROL!$C$21, $C$9, 100%, $E$9)</f>
        <v>27.964400000000001</v>
      </c>
      <c r="Q536" s="17">
        <f>CHOOSE(CONTROL!$C$42, 28.7477, 28.7477) * CHOOSE(CONTROL!$C$21, $C$9, 100%, $E$9)</f>
        <v>28.747699999999998</v>
      </c>
      <c r="R536" s="17">
        <f>CHOOSE(CONTROL!$C$42, 29.4066, 29.4066) * CHOOSE(CONTROL!$C$21, $C$9, 100%, $E$9)</f>
        <v>29.406600000000001</v>
      </c>
      <c r="S536" s="17">
        <f>CHOOSE(CONTROL!$C$42, 27.2421, 27.2421) * CHOOSE(CONTROL!$C$21, $C$9, 100%, $E$9)</f>
        <v>27.242100000000001</v>
      </c>
      <c r="T53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36" s="56">
        <f>(1000*CHOOSE(CONTROL!$C$42, 695, 695)*CHOOSE(CONTROL!$C$42, 0.5599, 0.5599)*CHOOSE(CONTROL!$C$42, 31, 31))/1000000</f>
        <v>12.063045499999998</v>
      </c>
      <c r="V536" s="56">
        <f>(1000*CHOOSE(CONTROL!$C$42, 500, 500)*CHOOSE(CONTROL!$C$42, 0.275, 0.275)*CHOOSE(CONTROL!$C$42, 31, 31))/1000000</f>
        <v>4.2625000000000002</v>
      </c>
      <c r="W536" s="56">
        <f>(1000*CHOOSE(CONTROL!$C$42, 0.1146, 0.1146)*CHOOSE(CONTROL!$C$42, 121.5, 121.5)*CHOOSE(CONTROL!$C$42, 31, 31))/1000000</f>
        <v>0.43164089999999994</v>
      </c>
      <c r="X536" s="56">
        <f>(31*0.1790888*145000/1000000)+(31*0.2374*100000/1000000)</f>
        <v>1.5409441560000001</v>
      </c>
      <c r="Y536" s="56"/>
      <c r="Z536" s="17"/>
      <c r="AA536" s="55"/>
      <c r="AB536" s="48">
        <f>(B536*194.205+C536*267.466+D536*133.845+E536*153.484+F536*40+G536*85+H536*0+I536*100+J536*300)/(194.205+267.466+133.845+153.484+0+40+85+100+300)</f>
        <v>28.444458119701725</v>
      </c>
      <c r="AC536" s="45">
        <f>(M536*'RAP TEMPLATE-GAS AVAILABILITY'!O535+N536*'RAP TEMPLATE-GAS AVAILABILITY'!P535+O536*'RAP TEMPLATE-GAS AVAILABILITY'!Q535+P536*'RAP TEMPLATE-GAS AVAILABILITY'!R535)/('RAP TEMPLATE-GAS AVAILABILITY'!O535+'RAP TEMPLATE-GAS AVAILABILITY'!P535+'RAP TEMPLATE-GAS AVAILABILITY'!Q535+'RAP TEMPLATE-GAS AVAILABILITY'!R535)</f>
        <v>27.967440287769783</v>
      </c>
    </row>
    <row r="537" spans="1:29" ht="15.75" x14ac:dyDescent="0.25">
      <c r="A537" s="13">
        <v>57253</v>
      </c>
      <c r="B537" s="17">
        <f>CHOOSE(CONTROL!$C$42, 26.5616, 26.5616) * CHOOSE(CONTROL!$C$21, $C$9, 100%, $E$9)</f>
        <v>26.561599999999999</v>
      </c>
      <c r="C537" s="17">
        <f>CHOOSE(CONTROL!$C$42, 26.5696, 26.5696) * CHOOSE(CONTROL!$C$21, $C$9, 100%, $E$9)</f>
        <v>26.569600000000001</v>
      </c>
      <c r="D537" s="17">
        <f>CHOOSE(CONTROL!$C$42, 26.8406, 26.8406) * CHOOSE(CONTROL!$C$21, $C$9, 100%, $E$9)</f>
        <v>26.840599999999998</v>
      </c>
      <c r="E537" s="17">
        <f>CHOOSE(CONTROL!$C$42, 26.8721, 26.8721) * CHOOSE(CONTROL!$C$21, $C$9, 100%, $E$9)</f>
        <v>26.8721</v>
      </c>
      <c r="F537" s="17">
        <f>CHOOSE(CONTROL!$C$42, 26.5807, 26.5807)*CHOOSE(CONTROL!$C$21, $C$9, 100%, $E$9)</f>
        <v>26.5807</v>
      </c>
      <c r="G537" s="17">
        <f>CHOOSE(CONTROL!$C$42, 26.5976, 26.5976)*CHOOSE(CONTROL!$C$21, $C$9, 100%, $E$9)</f>
        <v>26.5976</v>
      </c>
      <c r="H537" s="17">
        <f>CHOOSE(CONTROL!$C$42, 26.8607, 26.8607) * CHOOSE(CONTROL!$C$21, $C$9, 100%, $E$9)</f>
        <v>26.860700000000001</v>
      </c>
      <c r="I537" s="17">
        <f>CHOOSE(CONTROL!$C$42, 26.6646, 26.6646)* CHOOSE(CONTROL!$C$21, $C$9, 100%, $E$9)</f>
        <v>26.6646</v>
      </c>
      <c r="J537" s="17">
        <f>CHOOSE(CONTROL!$C$42, 26.5737, 26.5737)* CHOOSE(CONTROL!$C$21, $C$9, 100%, $E$9)</f>
        <v>26.573699999999999</v>
      </c>
      <c r="K537" s="52">
        <f>CHOOSE(CONTROL!$C$42, 26.6604, 26.6604) * CHOOSE(CONTROL!$C$21, $C$9, 100%, $E$9)</f>
        <v>26.660399999999999</v>
      </c>
      <c r="L537" s="17">
        <f>CHOOSE(CONTROL!$C$42, 27.4477, 27.4477) * CHOOSE(CONTROL!$C$21, $C$9, 100%, $E$9)</f>
        <v>27.447700000000001</v>
      </c>
      <c r="M537" s="17">
        <f>CHOOSE(CONTROL!$C$42, 26.1035, 26.1035) * CHOOSE(CONTROL!$C$21, $C$9, 100%, $E$9)</f>
        <v>26.1035</v>
      </c>
      <c r="N537" s="17">
        <f>CHOOSE(CONTROL!$C$42, 26.1201, 26.1201) * CHOOSE(CONTROL!$C$21, $C$9, 100%, $E$9)</f>
        <v>26.120100000000001</v>
      </c>
      <c r="O537" s="17">
        <f>CHOOSE(CONTROL!$C$42, 26.3853, 26.3853) * CHOOSE(CONTROL!$C$21, $C$9, 100%, $E$9)</f>
        <v>26.385300000000001</v>
      </c>
      <c r="P537" s="17">
        <f>CHOOSE(CONTROL!$C$42, 26.1913, 26.1913) * CHOOSE(CONTROL!$C$21, $C$9, 100%, $E$9)</f>
        <v>26.191299999999998</v>
      </c>
      <c r="Q537" s="17">
        <f>CHOOSE(CONTROL!$C$42, 26.98, 26.98) * CHOOSE(CONTROL!$C$21, $C$9, 100%, $E$9)</f>
        <v>26.98</v>
      </c>
      <c r="R537" s="17">
        <f>CHOOSE(CONTROL!$C$42, 27.6344, 27.6344) * CHOOSE(CONTROL!$C$21, $C$9, 100%, $E$9)</f>
        <v>27.634399999999999</v>
      </c>
      <c r="S537" s="17">
        <f>CHOOSE(CONTROL!$C$42, 25.5124, 25.5124) * CHOOSE(CONTROL!$C$21, $C$9, 100%, $E$9)</f>
        <v>25.5124</v>
      </c>
      <c r="T53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37" s="56">
        <f>(1000*CHOOSE(CONTROL!$C$42, 695, 695)*CHOOSE(CONTROL!$C$42, 0.5599, 0.5599)*CHOOSE(CONTROL!$C$42, 30, 30))/1000000</f>
        <v>11.673914999999997</v>
      </c>
      <c r="V537" s="56">
        <f>(1000*CHOOSE(CONTROL!$C$42, 500, 500)*CHOOSE(CONTROL!$C$42, 0.275, 0.275)*CHOOSE(CONTROL!$C$42, 30, 30))/1000000</f>
        <v>4.125</v>
      </c>
      <c r="W537" s="56">
        <f>(1000*CHOOSE(CONTROL!$C$42, 0.1146, 0.1146)*CHOOSE(CONTROL!$C$42, 121.5, 121.5)*CHOOSE(CONTROL!$C$42, 30, 30))/1000000</f>
        <v>0.417717</v>
      </c>
      <c r="X537" s="56">
        <f>(30*0.1790888*145000/1000000)+(30*0.2374*100000/1000000)</f>
        <v>1.4912362799999999</v>
      </c>
      <c r="Y537" s="56"/>
      <c r="Z537" s="17"/>
      <c r="AA537" s="55"/>
      <c r="AB537" s="48">
        <f>(B537*194.205+C537*267.466+D537*133.845+E537*153.484+F537*40+G537*85+H537*0+I537*100+J537*300)/(194.205+267.466+133.845+153.484+0+40+85+100+300)</f>
        <v>26.64393380298273</v>
      </c>
      <c r="AC537" s="45">
        <f>(M537*'RAP TEMPLATE-GAS AVAILABILITY'!O536+N537*'RAP TEMPLATE-GAS AVAILABILITY'!P536+O537*'RAP TEMPLATE-GAS AVAILABILITY'!Q536+P537*'RAP TEMPLATE-GAS AVAILABILITY'!R536)/('RAP TEMPLATE-GAS AVAILABILITY'!O536+'RAP TEMPLATE-GAS AVAILABILITY'!P536+'RAP TEMPLATE-GAS AVAILABILITY'!Q536+'RAP TEMPLATE-GAS AVAILABILITY'!R536)</f>
        <v>26.199020863309354</v>
      </c>
    </row>
    <row r="538" spans="1:29" ht="15.75" x14ac:dyDescent="0.25">
      <c r="A538" s="13">
        <v>57284</v>
      </c>
      <c r="B538" s="17">
        <f>CHOOSE(CONTROL!$C$42, 26.0207, 26.0207) * CHOOSE(CONTROL!$C$21, $C$9, 100%, $E$9)</f>
        <v>26.020700000000001</v>
      </c>
      <c r="C538" s="17">
        <f>CHOOSE(CONTROL!$C$42, 26.0261, 26.0261) * CHOOSE(CONTROL!$C$21, $C$9, 100%, $E$9)</f>
        <v>26.0261</v>
      </c>
      <c r="D538" s="17">
        <f>CHOOSE(CONTROL!$C$42, 26.3021, 26.3021) * CHOOSE(CONTROL!$C$21, $C$9, 100%, $E$9)</f>
        <v>26.302099999999999</v>
      </c>
      <c r="E538" s="17">
        <f>CHOOSE(CONTROL!$C$42, 26.3312, 26.3312) * CHOOSE(CONTROL!$C$21, $C$9, 100%, $E$9)</f>
        <v>26.331199999999999</v>
      </c>
      <c r="F538" s="17">
        <f>CHOOSE(CONTROL!$C$42, 26.0421, 26.0421)*CHOOSE(CONTROL!$C$21, $C$9, 100%, $E$9)</f>
        <v>26.042100000000001</v>
      </c>
      <c r="G538" s="17">
        <f>CHOOSE(CONTROL!$C$42, 26.0589, 26.0589)*CHOOSE(CONTROL!$C$21, $C$9, 100%, $E$9)</f>
        <v>26.058900000000001</v>
      </c>
      <c r="H538" s="17">
        <f>CHOOSE(CONTROL!$C$42, 26.3217, 26.3217) * CHOOSE(CONTROL!$C$21, $C$9, 100%, $E$9)</f>
        <v>26.3217</v>
      </c>
      <c r="I538" s="17">
        <f>CHOOSE(CONTROL!$C$42, 26.1239, 26.1239)* CHOOSE(CONTROL!$C$21, $C$9, 100%, $E$9)</f>
        <v>26.123899999999999</v>
      </c>
      <c r="J538" s="17">
        <f>CHOOSE(CONTROL!$C$42, 26.0351, 26.0351)* CHOOSE(CONTROL!$C$21, $C$9, 100%, $E$9)</f>
        <v>26.0351</v>
      </c>
      <c r="K538" s="52">
        <f>CHOOSE(CONTROL!$C$42, 26.1196, 26.1196) * CHOOSE(CONTROL!$C$21, $C$9, 100%, $E$9)</f>
        <v>26.119599999999998</v>
      </c>
      <c r="L538" s="17">
        <f>CHOOSE(CONTROL!$C$42, 26.9087, 26.9087) * CHOOSE(CONTROL!$C$21, $C$9, 100%, $E$9)</f>
        <v>26.9087</v>
      </c>
      <c r="M538" s="17">
        <f>CHOOSE(CONTROL!$C$42, 25.5745, 25.5745) * CHOOSE(CONTROL!$C$21, $C$9, 100%, $E$9)</f>
        <v>25.5745</v>
      </c>
      <c r="N538" s="17">
        <f>CHOOSE(CONTROL!$C$42, 25.591, 25.591) * CHOOSE(CONTROL!$C$21, $C$9, 100%, $E$9)</f>
        <v>25.591000000000001</v>
      </c>
      <c r="O538" s="17">
        <f>CHOOSE(CONTROL!$C$42, 25.8559, 25.8559) * CHOOSE(CONTROL!$C$21, $C$9, 100%, $E$9)</f>
        <v>25.855899999999998</v>
      </c>
      <c r="P538" s="17">
        <f>CHOOSE(CONTROL!$C$42, 25.6603, 25.6603) * CHOOSE(CONTROL!$C$21, $C$9, 100%, $E$9)</f>
        <v>25.660299999999999</v>
      </c>
      <c r="Q538" s="17">
        <f>CHOOSE(CONTROL!$C$42, 26.4506, 26.4506) * CHOOSE(CONTROL!$C$21, $C$9, 100%, $E$9)</f>
        <v>26.450600000000001</v>
      </c>
      <c r="R538" s="17">
        <f>CHOOSE(CONTROL!$C$42, 27.1038, 27.1038) * CHOOSE(CONTROL!$C$21, $C$9, 100%, $E$9)</f>
        <v>27.1038</v>
      </c>
      <c r="S538" s="17">
        <f>CHOOSE(CONTROL!$C$42, 24.9944, 24.9944) * CHOOSE(CONTROL!$C$21, $C$9, 100%, $E$9)</f>
        <v>24.994399999999999</v>
      </c>
      <c r="T53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38" s="56">
        <f>(1000*CHOOSE(CONTROL!$C$42, 695, 695)*CHOOSE(CONTROL!$C$42, 0.5599, 0.5599)*CHOOSE(CONTROL!$C$42, 31, 31))/1000000</f>
        <v>12.063045499999998</v>
      </c>
      <c r="V538" s="56">
        <f>(1000*CHOOSE(CONTROL!$C$42, 500, 500)*CHOOSE(CONTROL!$C$42, 0.275, 0.275)*CHOOSE(CONTROL!$C$42, 31, 31))/1000000</f>
        <v>4.2625000000000002</v>
      </c>
      <c r="W538" s="56">
        <f>(1000*CHOOSE(CONTROL!$C$42, 0.1146, 0.1146)*CHOOSE(CONTROL!$C$42, 121.5, 121.5)*CHOOSE(CONTROL!$C$42, 31, 31))/1000000</f>
        <v>0.43164089999999994</v>
      </c>
      <c r="X538" s="56">
        <f>(31*0.1790888*145000/1000000)+(31*0.2374*100000/1000000)</f>
        <v>1.5409441560000001</v>
      </c>
      <c r="Y538" s="56"/>
      <c r="Z538" s="17"/>
      <c r="AA538" s="55"/>
      <c r="AB538" s="48">
        <f>(B538*131.881+C538*277.167+D538*79.08+E538*225.872+F538*40+G538*85+H538*0+I538*100+J538*300)/(131.881+277.167+79.08+225.872+0+40+85+100+300)</f>
        <v>26.111600782728004</v>
      </c>
      <c r="AC538" s="45">
        <f>(M538*'RAP TEMPLATE-GAS AVAILABILITY'!O537+N538*'RAP TEMPLATE-GAS AVAILABILITY'!P537+O538*'RAP TEMPLATE-GAS AVAILABILITY'!Q537+P538*'RAP TEMPLATE-GAS AVAILABILITY'!R537)/('RAP TEMPLATE-GAS AVAILABILITY'!O537+'RAP TEMPLATE-GAS AVAILABILITY'!P537+'RAP TEMPLATE-GAS AVAILABILITY'!Q537+'RAP TEMPLATE-GAS AVAILABILITY'!R537)</f>
        <v>25.66959784172662</v>
      </c>
    </row>
    <row r="539" spans="1:29" ht="15.75" x14ac:dyDescent="0.25">
      <c r="A539" s="13">
        <v>57314</v>
      </c>
      <c r="B539" s="17">
        <f>CHOOSE(CONTROL!$C$42, 26.7056, 26.7056) * CHOOSE(CONTROL!$C$21, $C$9, 100%, $E$9)</f>
        <v>26.7056</v>
      </c>
      <c r="C539" s="17">
        <f>CHOOSE(CONTROL!$C$42, 26.7106, 26.7106) * CHOOSE(CONTROL!$C$21, $C$9, 100%, $E$9)</f>
        <v>26.710599999999999</v>
      </c>
      <c r="D539" s="17">
        <f>CHOOSE(CONTROL!$C$42, 26.8057, 26.8057) * CHOOSE(CONTROL!$C$21, $C$9, 100%, $E$9)</f>
        <v>26.805700000000002</v>
      </c>
      <c r="E539" s="17">
        <f>CHOOSE(CONTROL!$C$42, 26.8398, 26.8398) * CHOOSE(CONTROL!$C$21, $C$9, 100%, $E$9)</f>
        <v>26.8398</v>
      </c>
      <c r="F539" s="17">
        <f>CHOOSE(CONTROL!$C$42, 26.7295, 26.7295)*CHOOSE(CONTROL!$C$21, $C$9, 100%, $E$9)</f>
        <v>26.729500000000002</v>
      </c>
      <c r="G539" s="17">
        <f>CHOOSE(CONTROL!$C$42, 26.7465, 26.7465)*CHOOSE(CONTROL!$C$21, $C$9, 100%, $E$9)</f>
        <v>26.746500000000001</v>
      </c>
      <c r="H539" s="17">
        <f>CHOOSE(CONTROL!$C$42, 26.829, 26.829) * CHOOSE(CONTROL!$C$21, $C$9, 100%, $E$9)</f>
        <v>26.829000000000001</v>
      </c>
      <c r="I539" s="17">
        <f>CHOOSE(CONTROL!$C$42, 26.8092, 26.8092)* CHOOSE(CONTROL!$C$21, $C$9, 100%, $E$9)</f>
        <v>26.809200000000001</v>
      </c>
      <c r="J539" s="17">
        <f>CHOOSE(CONTROL!$C$42, 26.7225, 26.7225)* CHOOSE(CONTROL!$C$21, $C$9, 100%, $E$9)</f>
        <v>26.7225</v>
      </c>
      <c r="K539" s="52">
        <f>CHOOSE(CONTROL!$C$42, 26.8049, 26.8049) * CHOOSE(CONTROL!$C$21, $C$9, 100%, $E$9)</f>
        <v>26.8049</v>
      </c>
      <c r="L539" s="17">
        <f>CHOOSE(CONTROL!$C$42, 27.416, 27.416) * CHOOSE(CONTROL!$C$21, $C$9, 100%, $E$9)</f>
        <v>27.416</v>
      </c>
      <c r="M539" s="17">
        <f>CHOOSE(CONTROL!$C$42, 26.2495, 26.2495) * CHOOSE(CONTROL!$C$21, $C$9, 100%, $E$9)</f>
        <v>26.249500000000001</v>
      </c>
      <c r="N539" s="17">
        <f>CHOOSE(CONTROL!$C$42, 26.2663, 26.2663) * CHOOSE(CONTROL!$C$21, $C$9, 100%, $E$9)</f>
        <v>26.266300000000001</v>
      </c>
      <c r="O539" s="17">
        <f>CHOOSE(CONTROL!$C$42, 26.3541, 26.3541) * CHOOSE(CONTROL!$C$21, $C$9, 100%, $E$9)</f>
        <v>26.354099999999999</v>
      </c>
      <c r="P539" s="17">
        <f>CHOOSE(CONTROL!$C$42, 26.3332, 26.3332) * CHOOSE(CONTROL!$C$21, $C$9, 100%, $E$9)</f>
        <v>26.333200000000001</v>
      </c>
      <c r="Q539" s="17">
        <f>CHOOSE(CONTROL!$C$42, 26.9488, 26.9488) * CHOOSE(CONTROL!$C$21, $C$9, 100%, $E$9)</f>
        <v>26.948799999999999</v>
      </c>
      <c r="R539" s="17">
        <f>CHOOSE(CONTROL!$C$42, 27.6032, 27.6032) * CHOOSE(CONTROL!$C$21, $C$9, 100%, $E$9)</f>
        <v>27.603200000000001</v>
      </c>
      <c r="S539" s="17">
        <f>CHOOSE(CONTROL!$C$42, 25.6528, 25.6528) * CHOOSE(CONTROL!$C$21, $C$9, 100%, $E$9)</f>
        <v>25.652799999999999</v>
      </c>
      <c r="T53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39" s="56">
        <f>(1000*CHOOSE(CONTROL!$C$42, 695, 695)*CHOOSE(CONTROL!$C$42, 0.5599, 0.5599)*CHOOSE(CONTROL!$C$42, 30, 30))/1000000</f>
        <v>11.673914999999997</v>
      </c>
      <c r="V539" s="56">
        <f>(1000*CHOOSE(CONTROL!$C$42, 500, 500)*CHOOSE(CONTROL!$C$42, 0.275, 0.275)*CHOOSE(CONTROL!$C$42, 30, 30))/1000000</f>
        <v>4.125</v>
      </c>
      <c r="W539" s="56">
        <f>(1000*CHOOSE(CONTROL!$C$42, 0.1146, 0.1146)*CHOOSE(CONTROL!$C$42, 121.5, 121.5)*CHOOSE(CONTROL!$C$42, 30, 30))/1000000</f>
        <v>0.417717</v>
      </c>
      <c r="X539" s="56">
        <f>(30*0.2374*100000/1000000)</f>
        <v>0.71220000000000006</v>
      </c>
      <c r="Y539" s="56"/>
      <c r="Z539" s="17"/>
      <c r="AA539" s="55"/>
      <c r="AB539" s="48">
        <f>(B539*122.58+C539*297.941+D539*89.177+E539*140.302+F539*40+G539*60+H539*0+I539*100+J539*300)/(122.58+297.941+89.177+140.302+0+40+60+100+300)</f>
        <v>26.747412914000002</v>
      </c>
      <c r="AC539" s="45">
        <f>(M539*'RAP TEMPLATE-GAS AVAILABILITY'!O538+N539*'RAP TEMPLATE-GAS AVAILABILITY'!P538+O539*'RAP TEMPLATE-GAS AVAILABILITY'!Q538+P539*'RAP TEMPLATE-GAS AVAILABILITY'!R538)/('RAP TEMPLATE-GAS AVAILABILITY'!O538+'RAP TEMPLATE-GAS AVAILABILITY'!P538+'RAP TEMPLATE-GAS AVAILABILITY'!Q538+'RAP TEMPLATE-GAS AVAILABILITY'!R538)</f>
        <v>26.309918705035969</v>
      </c>
    </row>
    <row r="540" spans="1:29" ht="15.75" x14ac:dyDescent="0.25">
      <c r="A540" s="13">
        <v>57345</v>
      </c>
      <c r="B540" s="17">
        <f>CHOOSE(CONTROL!$C$42, 28.5257, 28.5257) * CHOOSE(CONTROL!$C$21, $C$9, 100%, $E$9)</f>
        <v>28.525700000000001</v>
      </c>
      <c r="C540" s="17">
        <f>CHOOSE(CONTROL!$C$42, 28.5307, 28.5307) * CHOOSE(CONTROL!$C$21, $C$9, 100%, $E$9)</f>
        <v>28.5307</v>
      </c>
      <c r="D540" s="17">
        <f>CHOOSE(CONTROL!$C$42, 28.6258, 28.6258) * CHOOSE(CONTROL!$C$21, $C$9, 100%, $E$9)</f>
        <v>28.625800000000002</v>
      </c>
      <c r="E540" s="17">
        <f>CHOOSE(CONTROL!$C$42, 28.6599, 28.6599) * CHOOSE(CONTROL!$C$21, $C$9, 100%, $E$9)</f>
        <v>28.6599</v>
      </c>
      <c r="F540" s="17">
        <f>CHOOSE(CONTROL!$C$42, 28.5519, 28.5519)*CHOOSE(CONTROL!$C$21, $C$9, 100%, $E$9)</f>
        <v>28.5519</v>
      </c>
      <c r="G540" s="17">
        <f>CHOOSE(CONTROL!$C$42, 28.5696, 28.5696)*CHOOSE(CONTROL!$C$21, $C$9, 100%, $E$9)</f>
        <v>28.569600000000001</v>
      </c>
      <c r="H540" s="17">
        <f>CHOOSE(CONTROL!$C$42, 28.6491, 28.6491) * CHOOSE(CONTROL!$C$21, $C$9, 100%, $E$9)</f>
        <v>28.649100000000001</v>
      </c>
      <c r="I540" s="17">
        <f>CHOOSE(CONTROL!$C$42, 28.635, 28.635)* CHOOSE(CONTROL!$C$21, $C$9, 100%, $E$9)</f>
        <v>28.635000000000002</v>
      </c>
      <c r="J540" s="17">
        <f>CHOOSE(CONTROL!$C$42, 28.5449, 28.5449)* CHOOSE(CONTROL!$C$21, $C$9, 100%, $E$9)</f>
        <v>28.544899999999998</v>
      </c>
      <c r="K540" s="52">
        <f>CHOOSE(CONTROL!$C$42, 28.6308, 28.6308) * CHOOSE(CONTROL!$C$21, $C$9, 100%, $E$9)</f>
        <v>28.630800000000001</v>
      </c>
      <c r="L540" s="17">
        <f>CHOOSE(CONTROL!$C$42, 29.2361, 29.2361) * CHOOSE(CONTROL!$C$21, $C$9, 100%, $E$9)</f>
        <v>29.2361</v>
      </c>
      <c r="M540" s="17">
        <f>CHOOSE(CONTROL!$C$42, 28.0392, 28.0392) * CHOOSE(CONTROL!$C$21, $C$9, 100%, $E$9)</f>
        <v>28.039200000000001</v>
      </c>
      <c r="N540" s="17">
        <f>CHOOSE(CONTROL!$C$42, 28.0566, 28.0566) * CHOOSE(CONTROL!$C$21, $C$9, 100%, $E$9)</f>
        <v>28.0566</v>
      </c>
      <c r="O540" s="17">
        <f>CHOOSE(CONTROL!$C$42, 28.1415, 28.1415) * CHOOSE(CONTROL!$C$21, $C$9, 100%, $E$9)</f>
        <v>28.141500000000001</v>
      </c>
      <c r="P540" s="17">
        <f>CHOOSE(CONTROL!$C$42, 28.1261, 28.1261) * CHOOSE(CONTROL!$C$21, $C$9, 100%, $E$9)</f>
        <v>28.126100000000001</v>
      </c>
      <c r="Q540" s="17">
        <f>CHOOSE(CONTROL!$C$42, 28.7362, 28.7362) * CHOOSE(CONTROL!$C$21, $C$9, 100%, $E$9)</f>
        <v>28.7362</v>
      </c>
      <c r="R540" s="17">
        <f>CHOOSE(CONTROL!$C$42, 29.395, 29.395) * CHOOSE(CONTROL!$C$21, $C$9, 100%, $E$9)</f>
        <v>29.395</v>
      </c>
      <c r="S540" s="17">
        <f>CHOOSE(CONTROL!$C$42, 27.4018, 27.4018) * CHOOSE(CONTROL!$C$21, $C$9, 100%, $E$9)</f>
        <v>27.401800000000001</v>
      </c>
      <c r="T54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40" s="56">
        <f>(1000*CHOOSE(CONTROL!$C$42, 695, 695)*CHOOSE(CONTROL!$C$42, 0.5599, 0.5599)*CHOOSE(CONTROL!$C$42, 31, 31))/1000000</f>
        <v>12.063045499999998</v>
      </c>
      <c r="V540" s="56">
        <f>(1000*CHOOSE(CONTROL!$C$42, 500, 500)*CHOOSE(CONTROL!$C$42, 0.275, 0.275)*CHOOSE(CONTROL!$C$42, 31, 31))/1000000</f>
        <v>4.2625000000000002</v>
      </c>
      <c r="W540" s="56">
        <f>(1000*CHOOSE(CONTROL!$C$42, 0.1146, 0.1146)*CHOOSE(CONTROL!$C$42, 121.5, 121.5)*CHOOSE(CONTROL!$C$42, 31, 31))/1000000</f>
        <v>0.43164089999999994</v>
      </c>
      <c r="X540" s="56">
        <f>(31*0.2374*100000/1000000)</f>
        <v>0.73594000000000004</v>
      </c>
      <c r="Y540" s="56"/>
      <c r="Z540" s="17"/>
      <c r="AA540" s="55"/>
      <c r="AB540" s="48">
        <f>(B540*122.58+C540*297.941+D540*89.177+E540*140.302+F540*40+G540*60+H540*0+I540*100+J540*300)/(122.58+297.941+89.177+140.302+0+40+60+100+300)</f>
        <v>28.568845087913044</v>
      </c>
      <c r="AC540" s="45">
        <f>(M540*'RAP TEMPLATE-GAS AVAILABILITY'!O539+N540*'RAP TEMPLATE-GAS AVAILABILITY'!P539+O540*'RAP TEMPLATE-GAS AVAILABILITY'!Q539+P540*'RAP TEMPLATE-GAS AVAILABILITY'!R539)/('RAP TEMPLATE-GAS AVAILABILITY'!O539+'RAP TEMPLATE-GAS AVAILABILITY'!P539+'RAP TEMPLATE-GAS AVAILABILITY'!Q539+'RAP TEMPLATE-GAS AVAILABILITY'!R539)</f>
        <v>28.099071223021586</v>
      </c>
    </row>
    <row r="541" spans="1:29" ht="15.75" x14ac:dyDescent="0.25">
      <c r="A541" s="13">
        <v>57376</v>
      </c>
      <c r="B541" s="17">
        <f>CHOOSE(CONTROL!$C$42, 30.8897, 30.8897) * CHOOSE(CONTROL!$C$21, $C$9, 100%, $E$9)</f>
        <v>30.889700000000001</v>
      </c>
      <c r="C541" s="17">
        <f>CHOOSE(CONTROL!$C$42, 30.8947, 30.8947) * CHOOSE(CONTROL!$C$21, $C$9, 100%, $E$9)</f>
        <v>30.8947</v>
      </c>
      <c r="D541" s="17">
        <f>CHOOSE(CONTROL!$C$42, 31.0132, 31.0132) * CHOOSE(CONTROL!$C$21, $C$9, 100%, $E$9)</f>
        <v>31.013200000000001</v>
      </c>
      <c r="E541" s="17">
        <f>CHOOSE(CONTROL!$C$42, 31.0473, 31.0473) * CHOOSE(CONTROL!$C$21, $C$9, 100%, $E$9)</f>
        <v>31.0473</v>
      </c>
      <c r="F541" s="17">
        <f>CHOOSE(CONTROL!$C$42, 30.9101, 30.9101)*CHOOSE(CONTROL!$C$21, $C$9, 100%, $E$9)</f>
        <v>30.9101</v>
      </c>
      <c r="G541" s="17">
        <f>CHOOSE(CONTROL!$C$42, 30.9269, 30.9269)*CHOOSE(CONTROL!$C$21, $C$9, 100%, $E$9)</f>
        <v>30.9269</v>
      </c>
      <c r="H541" s="17">
        <f>CHOOSE(CONTROL!$C$42, 31.0365, 31.0365) * CHOOSE(CONTROL!$C$21, $C$9, 100%, $E$9)</f>
        <v>31.0365</v>
      </c>
      <c r="I541" s="17">
        <f>CHOOSE(CONTROL!$C$42, 31.01, 31.01)* CHOOSE(CONTROL!$C$21, $C$9, 100%, $E$9)</f>
        <v>31.01</v>
      </c>
      <c r="J541" s="17">
        <f>CHOOSE(CONTROL!$C$42, 30.9031, 30.9031)* CHOOSE(CONTROL!$C$21, $C$9, 100%, $E$9)</f>
        <v>30.903099999999998</v>
      </c>
      <c r="K541" s="52">
        <f>CHOOSE(CONTROL!$C$42, 31.0058, 31.0058) * CHOOSE(CONTROL!$C$21, $C$9, 100%, $E$9)</f>
        <v>31.005800000000001</v>
      </c>
      <c r="L541" s="17">
        <f>CHOOSE(CONTROL!$C$42, 31.6235, 31.6235) * CHOOSE(CONTROL!$C$21, $C$9, 100%, $E$9)</f>
        <v>31.6235</v>
      </c>
      <c r="M541" s="17">
        <f>CHOOSE(CONTROL!$C$42, 30.3549, 30.3549) * CHOOSE(CONTROL!$C$21, $C$9, 100%, $E$9)</f>
        <v>30.354900000000001</v>
      </c>
      <c r="N541" s="17">
        <f>CHOOSE(CONTROL!$C$42, 30.3715, 30.3715) * CHOOSE(CONTROL!$C$21, $C$9, 100%, $E$9)</f>
        <v>30.371500000000001</v>
      </c>
      <c r="O541" s="17">
        <f>CHOOSE(CONTROL!$C$42, 30.4859, 30.4859) * CHOOSE(CONTROL!$C$21, $C$9, 100%, $E$9)</f>
        <v>30.485900000000001</v>
      </c>
      <c r="P541" s="17">
        <f>CHOOSE(CONTROL!$C$42, 30.4583, 30.4583) * CHOOSE(CONTROL!$C$21, $C$9, 100%, $E$9)</f>
        <v>30.458300000000001</v>
      </c>
      <c r="Q541" s="17">
        <f>CHOOSE(CONTROL!$C$42, 31.0806, 31.0806) * CHOOSE(CONTROL!$C$21, $C$9, 100%, $E$9)</f>
        <v>31.0806</v>
      </c>
      <c r="R541" s="17">
        <f>CHOOSE(CONTROL!$C$42, 31.7453, 31.7453) * CHOOSE(CONTROL!$C$21, $C$9, 100%, $E$9)</f>
        <v>31.7453</v>
      </c>
      <c r="S541" s="17">
        <f>CHOOSE(CONTROL!$C$42, 29.6734, 29.6734) * CHOOSE(CONTROL!$C$21, $C$9, 100%, $E$9)</f>
        <v>29.673400000000001</v>
      </c>
      <c r="T54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41" s="56">
        <f>(1000*CHOOSE(CONTROL!$C$42, 695, 695)*CHOOSE(CONTROL!$C$42, 0.5599, 0.5599)*CHOOSE(CONTROL!$C$42, 31, 31))/1000000</f>
        <v>12.063045499999998</v>
      </c>
      <c r="V541" s="56">
        <f>(1000*CHOOSE(CONTROL!$C$42, 500, 500)*CHOOSE(CONTROL!$C$42, 0.275, 0.275)*CHOOSE(CONTROL!$C$42, 31, 31))/1000000</f>
        <v>4.2625000000000002</v>
      </c>
      <c r="W541" s="56">
        <f>(1000*CHOOSE(CONTROL!$C$42, 0.1146, 0.1146)*CHOOSE(CONTROL!$C$42, 121.5, 121.5)*CHOOSE(CONTROL!$C$42, 31, 31))/1000000</f>
        <v>0.43164089999999994</v>
      </c>
      <c r="X541" s="56">
        <f>(31*0.2374*100000/1000000)</f>
        <v>0.73594000000000004</v>
      </c>
      <c r="Y541" s="56"/>
      <c r="Z541" s="17"/>
      <c r="AA541" s="55"/>
      <c r="AB541" s="48">
        <f>(B541*122.58+C541*297.941+D541*89.177+E541*140.302+F541*40+G541*60+H541*0+I541*100+J541*300)/(122.58+297.941+89.177+140.302+0+40+60+100+300)</f>
        <v>30.936406660608696</v>
      </c>
      <c r="AC541" s="45">
        <f>(M541*'RAP TEMPLATE-GAS AVAILABILITY'!O540+N541*'RAP TEMPLATE-GAS AVAILABILITY'!P540+O541*'RAP TEMPLATE-GAS AVAILABILITY'!Q540+P541*'RAP TEMPLATE-GAS AVAILABILITY'!R540)/('RAP TEMPLATE-GAS AVAILABILITY'!O540+'RAP TEMPLATE-GAS AVAILABILITY'!P540+'RAP TEMPLATE-GAS AVAILABILITY'!Q540+'RAP TEMPLATE-GAS AVAILABILITY'!R540)</f>
        <v>30.430107194244606</v>
      </c>
    </row>
    <row r="542" spans="1:29" ht="15.75" x14ac:dyDescent="0.25">
      <c r="A542" s="13">
        <v>57404</v>
      </c>
      <c r="B542" s="17">
        <f>CHOOSE(CONTROL!$C$42, 31.4394, 31.4394) * CHOOSE(CONTROL!$C$21, $C$9, 100%, $E$9)</f>
        <v>31.439399999999999</v>
      </c>
      <c r="C542" s="17">
        <f>CHOOSE(CONTROL!$C$42, 31.4445, 31.4445) * CHOOSE(CONTROL!$C$21, $C$9, 100%, $E$9)</f>
        <v>31.444500000000001</v>
      </c>
      <c r="D542" s="17">
        <f>CHOOSE(CONTROL!$C$42, 31.5629, 31.5629) * CHOOSE(CONTROL!$C$21, $C$9, 100%, $E$9)</f>
        <v>31.562899999999999</v>
      </c>
      <c r="E542" s="17">
        <f>CHOOSE(CONTROL!$C$42, 31.597, 31.597) * CHOOSE(CONTROL!$C$21, $C$9, 100%, $E$9)</f>
        <v>31.597000000000001</v>
      </c>
      <c r="F542" s="17">
        <f>CHOOSE(CONTROL!$C$42, 31.4598, 31.4598)*CHOOSE(CONTROL!$C$21, $C$9, 100%, $E$9)</f>
        <v>31.459800000000001</v>
      </c>
      <c r="G542" s="17">
        <f>CHOOSE(CONTROL!$C$42, 31.4766, 31.4766)*CHOOSE(CONTROL!$C$21, $C$9, 100%, $E$9)</f>
        <v>31.476600000000001</v>
      </c>
      <c r="H542" s="17">
        <f>CHOOSE(CONTROL!$C$42, 31.5862, 31.5862) * CHOOSE(CONTROL!$C$21, $C$9, 100%, $E$9)</f>
        <v>31.586200000000002</v>
      </c>
      <c r="I542" s="17">
        <f>CHOOSE(CONTROL!$C$42, 31.5615, 31.5615)* CHOOSE(CONTROL!$C$21, $C$9, 100%, $E$9)</f>
        <v>31.561499999999999</v>
      </c>
      <c r="J542" s="17">
        <f>CHOOSE(CONTROL!$C$42, 31.4528, 31.4528)* CHOOSE(CONTROL!$C$21, $C$9, 100%, $E$9)</f>
        <v>31.4528</v>
      </c>
      <c r="K542" s="52">
        <f>CHOOSE(CONTROL!$C$42, 31.5572, 31.5572) * CHOOSE(CONTROL!$C$21, $C$9, 100%, $E$9)</f>
        <v>31.557200000000002</v>
      </c>
      <c r="L542" s="17">
        <f>CHOOSE(CONTROL!$C$42, 32.1732, 32.1732) * CHOOSE(CONTROL!$C$21, $C$9, 100%, $E$9)</f>
        <v>32.173200000000001</v>
      </c>
      <c r="M542" s="17">
        <f>CHOOSE(CONTROL!$C$42, 30.8947, 30.8947) * CHOOSE(CONTROL!$C$21, $C$9, 100%, $E$9)</f>
        <v>30.8947</v>
      </c>
      <c r="N542" s="17">
        <f>CHOOSE(CONTROL!$C$42, 30.9112, 30.9112) * CHOOSE(CONTROL!$C$21, $C$9, 100%, $E$9)</f>
        <v>30.911200000000001</v>
      </c>
      <c r="O542" s="17">
        <f>CHOOSE(CONTROL!$C$42, 31.0258, 31.0258) * CHOOSE(CONTROL!$C$21, $C$9, 100%, $E$9)</f>
        <v>31.0258</v>
      </c>
      <c r="P542" s="17">
        <f>CHOOSE(CONTROL!$C$42, 30.9998, 30.9998) * CHOOSE(CONTROL!$C$21, $C$9, 100%, $E$9)</f>
        <v>30.9998</v>
      </c>
      <c r="Q542" s="17">
        <f>CHOOSE(CONTROL!$C$42, 31.6205, 31.6205) * CHOOSE(CONTROL!$C$21, $C$9, 100%, $E$9)</f>
        <v>31.6205</v>
      </c>
      <c r="R542" s="17">
        <f>CHOOSE(CONTROL!$C$42, 32.2865, 32.2865) * CHOOSE(CONTROL!$C$21, $C$9, 100%, $E$9)</f>
        <v>32.286499999999997</v>
      </c>
      <c r="S542" s="17">
        <f>CHOOSE(CONTROL!$C$42, 30.2016, 30.2016) * CHOOSE(CONTROL!$C$21, $C$9, 100%, $E$9)</f>
        <v>30.201599999999999</v>
      </c>
      <c r="T54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42" s="56">
        <f>(1000*CHOOSE(CONTROL!$C$42, 695, 695)*CHOOSE(CONTROL!$C$42, 0.5599, 0.5599)*CHOOSE(CONTROL!$C$42, 28, 28))/1000000</f>
        <v>10.895653999999999</v>
      </c>
      <c r="V542" s="56">
        <f>(1000*CHOOSE(CONTROL!$C$42, 500, 500)*CHOOSE(CONTROL!$C$42, 0.275, 0.275)*CHOOSE(CONTROL!$C$42, 28, 28))/1000000</f>
        <v>3.85</v>
      </c>
      <c r="W542" s="56">
        <f>(1000*CHOOSE(CONTROL!$C$42, 0.1146, 0.1146)*CHOOSE(CONTROL!$C$42, 121.5, 121.5)*CHOOSE(CONTROL!$C$42, 28, 28))/1000000</f>
        <v>0.38986920000000003</v>
      </c>
      <c r="X542" s="56">
        <f>(28*0.2374*100000/1000000)</f>
        <v>0.66471999999999998</v>
      </c>
      <c r="Y542" s="56"/>
      <c r="Z542" s="17"/>
      <c r="AA542" s="55"/>
      <c r="AB542" s="48">
        <f>(B542*122.58+C542*297.941+D542*89.177+E542*140.302+F542*40+G542*60+H542*0+I542*100+J542*300)/(122.58+297.941+89.177+140.302+0+40+60+100+300)</f>
        <v>31.486289090260872</v>
      </c>
      <c r="AC542" s="45">
        <f>(M542*'RAP TEMPLATE-GAS AVAILABILITY'!O541+N542*'RAP TEMPLATE-GAS AVAILABILITY'!P541+O542*'RAP TEMPLATE-GAS AVAILABILITY'!Q541+P542*'RAP TEMPLATE-GAS AVAILABILITY'!R541)/('RAP TEMPLATE-GAS AVAILABILITY'!O541+'RAP TEMPLATE-GAS AVAILABILITY'!P541+'RAP TEMPLATE-GAS AVAILABILITY'!Q541+'RAP TEMPLATE-GAS AVAILABILITY'!R541)</f>
        <v>30.970191366906473</v>
      </c>
    </row>
    <row r="543" spans="1:29" ht="15.75" x14ac:dyDescent="0.25">
      <c r="A543" s="13">
        <v>57435</v>
      </c>
      <c r="B543" s="17">
        <f>CHOOSE(CONTROL!$C$42, 30.5471, 30.5471) * CHOOSE(CONTROL!$C$21, $C$9, 100%, $E$9)</f>
        <v>30.5471</v>
      </c>
      <c r="C543" s="17">
        <f>CHOOSE(CONTROL!$C$42, 30.5521, 30.5521) * CHOOSE(CONTROL!$C$21, $C$9, 100%, $E$9)</f>
        <v>30.552099999999999</v>
      </c>
      <c r="D543" s="17">
        <f>CHOOSE(CONTROL!$C$42, 30.6706, 30.6706) * CHOOSE(CONTROL!$C$21, $C$9, 100%, $E$9)</f>
        <v>30.6706</v>
      </c>
      <c r="E543" s="17">
        <f>CHOOSE(CONTROL!$C$42, 30.7047, 30.7047) * CHOOSE(CONTROL!$C$21, $C$9, 100%, $E$9)</f>
        <v>30.704699999999999</v>
      </c>
      <c r="F543" s="17">
        <f>CHOOSE(CONTROL!$C$42, 30.5668, 30.5668)*CHOOSE(CONTROL!$C$21, $C$9, 100%, $E$9)</f>
        <v>30.566800000000001</v>
      </c>
      <c r="G543" s="17">
        <f>CHOOSE(CONTROL!$C$42, 30.5834, 30.5834)*CHOOSE(CONTROL!$C$21, $C$9, 100%, $E$9)</f>
        <v>30.583400000000001</v>
      </c>
      <c r="H543" s="17">
        <f>CHOOSE(CONTROL!$C$42, 30.6939, 30.6939) * CHOOSE(CONTROL!$C$21, $C$9, 100%, $E$9)</f>
        <v>30.693899999999999</v>
      </c>
      <c r="I543" s="17">
        <f>CHOOSE(CONTROL!$C$42, 30.6664, 30.6664)* CHOOSE(CONTROL!$C$21, $C$9, 100%, $E$9)</f>
        <v>30.666399999999999</v>
      </c>
      <c r="J543" s="17">
        <f>CHOOSE(CONTROL!$C$42, 30.5598, 30.5598)* CHOOSE(CONTROL!$C$21, $C$9, 100%, $E$9)</f>
        <v>30.559799999999999</v>
      </c>
      <c r="K543" s="52">
        <f>CHOOSE(CONTROL!$C$42, 30.6621, 30.6621) * CHOOSE(CONTROL!$C$21, $C$9, 100%, $E$9)</f>
        <v>30.662099999999999</v>
      </c>
      <c r="L543" s="17">
        <f>CHOOSE(CONTROL!$C$42, 31.2809, 31.2809) * CHOOSE(CONTROL!$C$21, $C$9, 100%, $E$9)</f>
        <v>31.280899999999999</v>
      </c>
      <c r="M543" s="17">
        <f>CHOOSE(CONTROL!$C$42, 30.0178, 30.0178) * CHOOSE(CONTROL!$C$21, $C$9, 100%, $E$9)</f>
        <v>30.017800000000001</v>
      </c>
      <c r="N543" s="17">
        <f>CHOOSE(CONTROL!$C$42, 30.0342, 30.0342) * CHOOSE(CONTROL!$C$21, $C$9, 100%, $E$9)</f>
        <v>30.034199999999998</v>
      </c>
      <c r="O543" s="17">
        <f>CHOOSE(CONTROL!$C$42, 30.1495, 30.1495) * CHOOSE(CONTROL!$C$21, $C$9, 100%, $E$9)</f>
        <v>30.1495</v>
      </c>
      <c r="P543" s="17">
        <f>CHOOSE(CONTROL!$C$42, 30.1208, 30.1208) * CHOOSE(CONTROL!$C$21, $C$9, 100%, $E$9)</f>
        <v>30.120799999999999</v>
      </c>
      <c r="Q543" s="17">
        <f>CHOOSE(CONTROL!$C$42, 30.7442, 30.7442) * CHOOSE(CONTROL!$C$21, $C$9, 100%, $E$9)</f>
        <v>30.744199999999999</v>
      </c>
      <c r="R543" s="17">
        <f>CHOOSE(CONTROL!$C$42, 31.4081, 31.4081) * CHOOSE(CONTROL!$C$21, $C$9, 100%, $E$9)</f>
        <v>31.408100000000001</v>
      </c>
      <c r="S543" s="17">
        <f>CHOOSE(CONTROL!$C$42, 29.3441, 29.3441) * CHOOSE(CONTROL!$C$21, $C$9, 100%, $E$9)</f>
        <v>29.344100000000001</v>
      </c>
      <c r="T54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43" s="56">
        <f>(1000*CHOOSE(CONTROL!$C$42, 695, 695)*CHOOSE(CONTROL!$C$42, 0.5599, 0.5599)*CHOOSE(CONTROL!$C$42, 31, 31))/1000000</f>
        <v>12.063045499999998</v>
      </c>
      <c r="V543" s="56">
        <f>(1000*CHOOSE(CONTROL!$C$42, 500, 500)*CHOOSE(CONTROL!$C$42, 0.275, 0.275)*CHOOSE(CONTROL!$C$42, 31, 31))/1000000</f>
        <v>4.2625000000000002</v>
      </c>
      <c r="W543" s="56">
        <f>(1000*CHOOSE(CONTROL!$C$42, 0.1146, 0.1146)*CHOOSE(CONTROL!$C$42, 121.5, 121.5)*CHOOSE(CONTROL!$C$42, 31, 31))/1000000</f>
        <v>0.43164089999999994</v>
      </c>
      <c r="X543" s="56">
        <f>(31*0.2374*100000/1000000)</f>
        <v>0.73594000000000004</v>
      </c>
      <c r="Y543" s="56"/>
      <c r="Z543" s="17"/>
      <c r="AA543" s="55"/>
      <c r="AB543" s="48">
        <f>(B543*122.58+C543*297.941+D543*89.177+E543*140.302+F543*40+G543*60+H543*0+I543*100+J543*300)/(122.58+297.941+89.177+140.302+0+40+60+100+300)</f>
        <v>30.593465791043474</v>
      </c>
      <c r="AC543" s="45">
        <f>(M543*'RAP TEMPLATE-GAS AVAILABILITY'!O542+N543*'RAP TEMPLATE-GAS AVAILABILITY'!P542+O543*'RAP TEMPLATE-GAS AVAILABILITY'!Q542+P543*'RAP TEMPLATE-GAS AVAILABILITY'!R542)/('RAP TEMPLATE-GAS AVAILABILITY'!O542+'RAP TEMPLATE-GAS AVAILABILITY'!P542+'RAP TEMPLATE-GAS AVAILABILITY'!Q542+'RAP TEMPLATE-GAS AVAILABILITY'!R542)</f>
        <v>30.093255395683453</v>
      </c>
    </row>
    <row r="544" spans="1:29" ht="15.75" x14ac:dyDescent="0.25">
      <c r="A544" s="13">
        <v>57465</v>
      </c>
      <c r="B544" s="17">
        <f>CHOOSE(CONTROL!$C$42, 30.4567, 30.4567) * CHOOSE(CONTROL!$C$21, $C$9, 100%, $E$9)</f>
        <v>30.456700000000001</v>
      </c>
      <c r="C544" s="17">
        <f>CHOOSE(CONTROL!$C$42, 30.4611, 30.4611) * CHOOSE(CONTROL!$C$21, $C$9, 100%, $E$9)</f>
        <v>30.461099999999998</v>
      </c>
      <c r="D544" s="17">
        <f>CHOOSE(CONTROL!$C$42, 30.7353, 30.7353) * CHOOSE(CONTROL!$C$21, $C$9, 100%, $E$9)</f>
        <v>30.735299999999999</v>
      </c>
      <c r="E544" s="17">
        <f>CHOOSE(CONTROL!$C$42, 30.7674, 30.7674) * CHOOSE(CONTROL!$C$21, $C$9, 100%, $E$9)</f>
        <v>30.767399999999999</v>
      </c>
      <c r="F544" s="17">
        <f>CHOOSE(CONTROL!$C$42, 30.476, 30.476)*CHOOSE(CONTROL!$C$21, $C$9, 100%, $E$9)</f>
        <v>30.475999999999999</v>
      </c>
      <c r="G544" s="17">
        <f>CHOOSE(CONTROL!$C$42, 30.4923, 30.4923)*CHOOSE(CONTROL!$C$21, $C$9, 100%, $E$9)</f>
        <v>30.4923</v>
      </c>
      <c r="H544" s="17">
        <f>CHOOSE(CONTROL!$C$42, 30.7572, 30.7572) * CHOOSE(CONTROL!$C$21, $C$9, 100%, $E$9)</f>
        <v>30.757200000000001</v>
      </c>
      <c r="I544" s="17">
        <f>CHOOSE(CONTROL!$C$42, 30.5733, 30.5733)* CHOOSE(CONTROL!$C$21, $C$9, 100%, $E$9)</f>
        <v>30.5733</v>
      </c>
      <c r="J544" s="17">
        <f>CHOOSE(CONTROL!$C$42, 30.469, 30.469)* CHOOSE(CONTROL!$C$21, $C$9, 100%, $E$9)</f>
        <v>30.469000000000001</v>
      </c>
      <c r="K544" s="52">
        <f>CHOOSE(CONTROL!$C$42, 30.5691, 30.5691) * CHOOSE(CONTROL!$C$21, $C$9, 100%, $E$9)</f>
        <v>30.569099999999999</v>
      </c>
      <c r="L544" s="17">
        <f>CHOOSE(CONTROL!$C$42, 31.3442, 31.3442) * CHOOSE(CONTROL!$C$21, $C$9, 100%, $E$9)</f>
        <v>31.344200000000001</v>
      </c>
      <c r="M544" s="17">
        <f>CHOOSE(CONTROL!$C$42, 29.9286, 29.9286) * CHOOSE(CONTROL!$C$21, $C$9, 100%, $E$9)</f>
        <v>29.928599999999999</v>
      </c>
      <c r="N544" s="17">
        <f>CHOOSE(CONTROL!$C$42, 29.9447, 29.9447) * CHOOSE(CONTROL!$C$21, $C$9, 100%, $E$9)</f>
        <v>29.944700000000001</v>
      </c>
      <c r="O544" s="17">
        <f>CHOOSE(CONTROL!$C$42, 30.2117, 30.2117) * CHOOSE(CONTROL!$C$21, $C$9, 100%, $E$9)</f>
        <v>30.2117</v>
      </c>
      <c r="P544" s="17">
        <f>CHOOSE(CONTROL!$C$42, 30.0295, 30.0295) * CHOOSE(CONTROL!$C$21, $C$9, 100%, $E$9)</f>
        <v>30.029499999999999</v>
      </c>
      <c r="Q544" s="17">
        <f>CHOOSE(CONTROL!$C$42, 30.8064, 30.8064) * CHOOSE(CONTROL!$C$21, $C$9, 100%, $E$9)</f>
        <v>30.8064</v>
      </c>
      <c r="R544" s="17">
        <f>CHOOSE(CONTROL!$C$42, 31.4704, 31.4704) * CHOOSE(CONTROL!$C$21, $C$9, 100%, $E$9)</f>
        <v>31.470400000000001</v>
      </c>
      <c r="S544" s="17">
        <f>CHOOSE(CONTROL!$C$42, 29.2565, 29.2565) * CHOOSE(CONTROL!$C$21, $C$9, 100%, $E$9)</f>
        <v>29.256499999999999</v>
      </c>
      <c r="T54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44" s="56">
        <f>(1000*CHOOSE(CONTROL!$C$42, 695, 695)*CHOOSE(CONTROL!$C$42, 0.5599, 0.5599)*CHOOSE(CONTROL!$C$42, 30, 30))/1000000</f>
        <v>11.673914999999997</v>
      </c>
      <c r="V544" s="56">
        <f>(1000*CHOOSE(CONTROL!$C$42, 500, 500)*CHOOSE(CONTROL!$C$42, 0.275, 0.275)*CHOOSE(CONTROL!$C$42, 30, 30))/1000000</f>
        <v>4.125</v>
      </c>
      <c r="W544" s="56">
        <f>(1000*CHOOSE(CONTROL!$C$42, 0.1146, 0.1146)*CHOOSE(CONTROL!$C$42, 121.5, 121.5)*CHOOSE(CONTROL!$C$42, 30, 30))/1000000</f>
        <v>0.417717</v>
      </c>
      <c r="X544" s="56">
        <f>(30*0.1790888*145000/1000000)+(30*0.2374*100000/1000000)</f>
        <v>1.4912362799999999</v>
      </c>
      <c r="Y544" s="56"/>
      <c r="Z544" s="17"/>
      <c r="AA544" s="55"/>
      <c r="AB544" s="48">
        <f>(B544*141.293+C544*267.993+D544*115.016+E544*189.698+F544*40+G544*85+H544*0+I544*100+J544*300)/(141.293+267.993+115.016+189.698+0+40+85+100+300)</f>
        <v>30.546538414366431</v>
      </c>
      <c r="AC544" s="45">
        <f>(M544*'RAP TEMPLATE-GAS AVAILABILITY'!O543+N544*'RAP TEMPLATE-GAS AVAILABILITY'!P543+O544*'RAP TEMPLATE-GAS AVAILABILITY'!Q543+P544*'RAP TEMPLATE-GAS AVAILABILITY'!R543)/('RAP TEMPLATE-GAS AVAILABILITY'!O543+'RAP TEMPLATE-GAS AVAILABILITY'!P543+'RAP TEMPLATE-GAS AVAILABILITY'!Q543+'RAP TEMPLATE-GAS AVAILABILITY'!R543)</f>
        <v>30.026255395683457</v>
      </c>
    </row>
    <row r="545" spans="1:29" ht="15.75" x14ac:dyDescent="0.25">
      <c r="A545" s="13">
        <v>57496</v>
      </c>
      <c r="B545" s="17">
        <f>CHOOSE(CONTROL!$C$42, 30.7268, 30.7268) * CHOOSE(CONTROL!$C$21, $C$9, 100%, $E$9)</f>
        <v>30.726800000000001</v>
      </c>
      <c r="C545" s="17">
        <f>CHOOSE(CONTROL!$C$42, 30.7348, 30.7348) * CHOOSE(CONTROL!$C$21, $C$9, 100%, $E$9)</f>
        <v>30.7348</v>
      </c>
      <c r="D545" s="17">
        <f>CHOOSE(CONTROL!$C$42, 31.0059, 31.0059) * CHOOSE(CONTROL!$C$21, $C$9, 100%, $E$9)</f>
        <v>31.0059</v>
      </c>
      <c r="E545" s="17">
        <f>CHOOSE(CONTROL!$C$42, 31.0373, 31.0373) * CHOOSE(CONTROL!$C$21, $C$9, 100%, $E$9)</f>
        <v>31.037299999999998</v>
      </c>
      <c r="F545" s="17">
        <f>CHOOSE(CONTROL!$C$42, 30.7449, 30.7449)*CHOOSE(CONTROL!$C$21, $C$9, 100%, $E$9)</f>
        <v>30.744900000000001</v>
      </c>
      <c r="G545" s="17">
        <f>CHOOSE(CONTROL!$C$42, 30.7616, 30.7616)*CHOOSE(CONTROL!$C$21, $C$9, 100%, $E$9)</f>
        <v>30.761600000000001</v>
      </c>
      <c r="H545" s="17">
        <f>CHOOSE(CONTROL!$C$42, 31.026, 31.026) * CHOOSE(CONTROL!$C$21, $C$9, 100%, $E$9)</f>
        <v>31.026</v>
      </c>
      <c r="I545" s="17">
        <f>CHOOSE(CONTROL!$C$42, 30.8429, 30.8429)* CHOOSE(CONTROL!$C$21, $C$9, 100%, $E$9)</f>
        <v>30.8429</v>
      </c>
      <c r="J545" s="17">
        <f>CHOOSE(CONTROL!$C$42, 30.7379, 30.7379)* CHOOSE(CONTROL!$C$21, $C$9, 100%, $E$9)</f>
        <v>30.7379</v>
      </c>
      <c r="K545" s="52">
        <f>CHOOSE(CONTROL!$C$42, 30.8386, 30.8386) * CHOOSE(CONTROL!$C$21, $C$9, 100%, $E$9)</f>
        <v>30.8386</v>
      </c>
      <c r="L545" s="17">
        <f>CHOOSE(CONTROL!$C$42, 31.613, 31.613) * CHOOSE(CONTROL!$C$21, $C$9, 100%, $E$9)</f>
        <v>31.613</v>
      </c>
      <c r="M545" s="17">
        <f>CHOOSE(CONTROL!$C$42, 30.1927, 30.1927) * CHOOSE(CONTROL!$C$21, $C$9, 100%, $E$9)</f>
        <v>30.192699999999999</v>
      </c>
      <c r="N545" s="17">
        <f>CHOOSE(CONTROL!$C$42, 30.2091, 30.2091) * CHOOSE(CONTROL!$C$21, $C$9, 100%, $E$9)</f>
        <v>30.209099999999999</v>
      </c>
      <c r="O545" s="17">
        <f>CHOOSE(CONTROL!$C$42, 30.4756, 30.4756) * CHOOSE(CONTROL!$C$21, $C$9, 100%, $E$9)</f>
        <v>30.4756</v>
      </c>
      <c r="P545" s="17">
        <f>CHOOSE(CONTROL!$C$42, 30.2942, 30.2942) * CHOOSE(CONTROL!$C$21, $C$9, 100%, $E$9)</f>
        <v>30.2942</v>
      </c>
      <c r="Q545" s="17">
        <f>CHOOSE(CONTROL!$C$42, 31.0703, 31.0703) * CHOOSE(CONTROL!$C$21, $C$9, 100%, $E$9)</f>
        <v>31.0703</v>
      </c>
      <c r="R545" s="17">
        <f>CHOOSE(CONTROL!$C$42, 31.735, 31.735) * CHOOSE(CONTROL!$C$21, $C$9, 100%, $E$9)</f>
        <v>31.734999999999999</v>
      </c>
      <c r="S545" s="17">
        <f>CHOOSE(CONTROL!$C$42, 29.5147, 29.5147) * CHOOSE(CONTROL!$C$21, $C$9, 100%, $E$9)</f>
        <v>29.514700000000001</v>
      </c>
      <c r="T54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45" s="56">
        <f>(1000*CHOOSE(CONTROL!$C$42, 695, 695)*CHOOSE(CONTROL!$C$42, 0.5599, 0.5599)*CHOOSE(CONTROL!$C$42, 31, 31))/1000000</f>
        <v>12.063045499999998</v>
      </c>
      <c r="V545" s="56">
        <f>(1000*CHOOSE(CONTROL!$C$42, 500, 500)*CHOOSE(CONTROL!$C$42, 0.275, 0.275)*CHOOSE(CONTROL!$C$42, 31, 31))/1000000</f>
        <v>4.2625000000000002</v>
      </c>
      <c r="W545" s="56">
        <f>(1000*CHOOSE(CONTROL!$C$42, 0.1146, 0.1146)*CHOOSE(CONTROL!$C$42, 121.5, 121.5)*CHOOSE(CONTROL!$C$42, 31, 31))/1000000</f>
        <v>0.43164089999999994</v>
      </c>
      <c r="X545" s="56">
        <f>(31*0.1790888*145000/1000000)+(31*0.2374*100000/1000000)</f>
        <v>1.5409441560000001</v>
      </c>
      <c r="Y545" s="56"/>
      <c r="Z545" s="17"/>
      <c r="AA545" s="55"/>
      <c r="AB545" s="48">
        <f>(B545*194.205+C545*267.466+D545*133.845+E545*153.484+F545*40+G545*85+H545*0+I545*100+J545*300)/(194.205+267.466+133.845+153.484+0+40+85+100+300)</f>
        <v>30.809825627551024</v>
      </c>
      <c r="AC545" s="45">
        <f>(M545*'RAP TEMPLATE-GAS AVAILABILITY'!O544+N545*'RAP TEMPLATE-GAS AVAILABILITY'!P544+O545*'RAP TEMPLATE-GAS AVAILABILITY'!Q544+P545*'RAP TEMPLATE-GAS AVAILABILITY'!R544)/('RAP TEMPLATE-GAS AVAILABILITY'!O544+'RAP TEMPLATE-GAS AVAILABILITY'!P544+'RAP TEMPLATE-GAS AVAILABILITY'!Q544+'RAP TEMPLATE-GAS AVAILABILITY'!R544)</f>
        <v>30.290454676258996</v>
      </c>
    </row>
    <row r="546" spans="1:29" ht="15.75" x14ac:dyDescent="0.25">
      <c r="A546" s="13">
        <v>57526</v>
      </c>
      <c r="B546" s="17">
        <f>CHOOSE(CONTROL!$C$42, 31.598, 31.598) * CHOOSE(CONTROL!$C$21, $C$9, 100%, $E$9)</f>
        <v>31.597999999999999</v>
      </c>
      <c r="C546" s="17">
        <f>CHOOSE(CONTROL!$C$42, 31.6061, 31.6061) * CHOOSE(CONTROL!$C$21, $C$9, 100%, $E$9)</f>
        <v>31.606100000000001</v>
      </c>
      <c r="D546" s="17">
        <f>CHOOSE(CONTROL!$C$42, 31.8771, 31.8771) * CHOOSE(CONTROL!$C$21, $C$9, 100%, $E$9)</f>
        <v>31.877099999999999</v>
      </c>
      <c r="E546" s="17">
        <f>CHOOSE(CONTROL!$C$42, 31.9086, 31.9086) * CHOOSE(CONTROL!$C$21, $C$9, 100%, $E$9)</f>
        <v>31.9086</v>
      </c>
      <c r="F546" s="17">
        <f>CHOOSE(CONTROL!$C$42, 31.6165, 31.6165)*CHOOSE(CONTROL!$C$21, $C$9, 100%, $E$9)</f>
        <v>31.616499999999998</v>
      </c>
      <c r="G546" s="17">
        <f>CHOOSE(CONTROL!$C$42, 31.6332, 31.6332)*CHOOSE(CONTROL!$C$21, $C$9, 100%, $E$9)</f>
        <v>31.633199999999999</v>
      </c>
      <c r="H546" s="17">
        <f>CHOOSE(CONTROL!$C$42, 31.8972, 31.8972) * CHOOSE(CONTROL!$C$21, $C$9, 100%, $E$9)</f>
        <v>31.897200000000002</v>
      </c>
      <c r="I546" s="17">
        <f>CHOOSE(CONTROL!$C$42, 31.7169, 31.7169)* CHOOSE(CONTROL!$C$21, $C$9, 100%, $E$9)</f>
        <v>31.716899999999999</v>
      </c>
      <c r="J546" s="17">
        <f>CHOOSE(CONTROL!$C$42, 31.6095, 31.6095)* CHOOSE(CONTROL!$C$21, $C$9, 100%, $E$9)</f>
        <v>31.609500000000001</v>
      </c>
      <c r="K546" s="52">
        <f>CHOOSE(CONTROL!$C$42, 31.7126, 31.7126) * CHOOSE(CONTROL!$C$21, $C$9, 100%, $E$9)</f>
        <v>31.712599999999998</v>
      </c>
      <c r="L546" s="17">
        <f>CHOOSE(CONTROL!$C$42, 32.4842, 32.4842) * CHOOSE(CONTROL!$C$21, $C$9, 100%, $E$9)</f>
        <v>32.484200000000001</v>
      </c>
      <c r="M546" s="17">
        <f>CHOOSE(CONTROL!$C$42, 31.0486, 31.0486) * CHOOSE(CONTROL!$C$21, $C$9, 100%, $E$9)</f>
        <v>31.0486</v>
      </c>
      <c r="N546" s="17">
        <f>CHOOSE(CONTROL!$C$42, 31.065, 31.065) * CHOOSE(CONTROL!$C$21, $C$9, 100%, $E$9)</f>
        <v>31.065000000000001</v>
      </c>
      <c r="O546" s="17">
        <f>CHOOSE(CONTROL!$C$42, 31.3312, 31.3312) * CHOOSE(CONTROL!$C$21, $C$9, 100%, $E$9)</f>
        <v>31.331199999999999</v>
      </c>
      <c r="P546" s="17">
        <f>CHOOSE(CONTROL!$C$42, 31.1524, 31.1524) * CHOOSE(CONTROL!$C$21, $C$9, 100%, $E$9)</f>
        <v>31.1524</v>
      </c>
      <c r="Q546" s="17">
        <f>CHOOSE(CONTROL!$C$42, 31.9259, 31.9259) * CHOOSE(CONTROL!$C$21, $C$9, 100%, $E$9)</f>
        <v>31.925899999999999</v>
      </c>
      <c r="R546" s="17">
        <f>CHOOSE(CONTROL!$C$42, 32.5927, 32.5927) * CHOOSE(CONTROL!$C$21, $C$9, 100%, $E$9)</f>
        <v>32.592700000000001</v>
      </c>
      <c r="S546" s="17">
        <f>CHOOSE(CONTROL!$C$42, 30.3519, 30.3519) * CHOOSE(CONTROL!$C$21, $C$9, 100%, $E$9)</f>
        <v>30.351900000000001</v>
      </c>
      <c r="T54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46" s="56">
        <f>(1000*CHOOSE(CONTROL!$C$42, 695, 695)*CHOOSE(CONTROL!$C$42, 0.5599, 0.5599)*CHOOSE(CONTROL!$C$42, 30, 30))/1000000</f>
        <v>11.673914999999997</v>
      </c>
      <c r="V546" s="56">
        <f>(1000*CHOOSE(CONTROL!$C$42, 500, 500)*CHOOSE(CONTROL!$C$42, 0.275, 0.275)*CHOOSE(CONTROL!$C$42, 30, 30))/1000000</f>
        <v>4.125</v>
      </c>
      <c r="W546" s="56">
        <f>(1000*CHOOSE(CONTROL!$C$42, 0.1146, 0.1146)*CHOOSE(CONTROL!$C$42, 121.5, 121.5)*CHOOSE(CONTROL!$C$42, 30, 30))/1000000</f>
        <v>0.417717</v>
      </c>
      <c r="X546" s="56">
        <f>(30*0.1790888*145000/1000000)+(30*0.2374*100000/1000000)</f>
        <v>1.4912362799999999</v>
      </c>
      <c r="Y546" s="56"/>
      <c r="Z546" s="17"/>
      <c r="AA546" s="55"/>
      <c r="AB546" s="48">
        <f>(B546*194.205+C546*267.466+D546*133.845+E546*153.484+F546*40+G546*85+H546*0+I546*100+J546*300)/(194.205+267.466+133.845+153.484+0+40+85+100+300)</f>
        <v>31.681411887362636</v>
      </c>
      <c r="AC546" s="45">
        <f>(M546*'RAP TEMPLATE-GAS AVAILABILITY'!O545+N546*'RAP TEMPLATE-GAS AVAILABILITY'!P545+O546*'RAP TEMPLATE-GAS AVAILABILITY'!Q545+P546*'RAP TEMPLATE-GAS AVAILABILITY'!R545)/('RAP TEMPLATE-GAS AVAILABILITY'!O545+'RAP TEMPLATE-GAS AVAILABILITY'!P545+'RAP TEMPLATE-GAS AVAILABILITY'!Q545+'RAP TEMPLATE-GAS AVAILABILITY'!R545)</f>
        <v>31.146601438848919</v>
      </c>
    </row>
    <row r="547" spans="1:29" ht="15.75" x14ac:dyDescent="0.25">
      <c r="A547" s="13">
        <v>57557</v>
      </c>
      <c r="B547" s="17">
        <f>CHOOSE(CONTROL!$C$42, 30.9921, 30.9921) * CHOOSE(CONTROL!$C$21, $C$9, 100%, $E$9)</f>
        <v>30.992100000000001</v>
      </c>
      <c r="C547" s="17">
        <f>CHOOSE(CONTROL!$C$42, 31.0001, 31.0001) * CHOOSE(CONTROL!$C$21, $C$9, 100%, $E$9)</f>
        <v>31.0001</v>
      </c>
      <c r="D547" s="17">
        <f>CHOOSE(CONTROL!$C$42, 31.2712, 31.2712) * CHOOSE(CONTROL!$C$21, $C$9, 100%, $E$9)</f>
        <v>31.2712</v>
      </c>
      <c r="E547" s="17">
        <f>CHOOSE(CONTROL!$C$42, 31.3026, 31.3026) * CHOOSE(CONTROL!$C$21, $C$9, 100%, $E$9)</f>
        <v>31.302600000000002</v>
      </c>
      <c r="F547" s="17">
        <f>CHOOSE(CONTROL!$C$42, 31.0109, 31.0109)*CHOOSE(CONTROL!$C$21, $C$9, 100%, $E$9)</f>
        <v>31.010899999999999</v>
      </c>
      <c r="G547" s="17">
        <f>CHOOSE(CONTROL!$C$42, 31.0278, 31.0278)*CHOOSE(CONTROL!$C$21, $C$9, 100%, $E$9)</f>
        <v>31.027799999999999</v>
      </c>
      <c r="H547" s="17">
        <f>CHOOSE(CONTROL!$C$42, 31.2912, 31.2912) * CHOOSE(CONTROL!$C$21, $C$9, 100%, $E$9)</f>
        <v>31.2912</v>
      </c>
      <c r="I547" s="17">
        <f>CHOOSE(CONTROL!$C$42, 31.109, 31.109)* CHOOSE(CONTROL!$C$21, $C$9, 100%, $E$9)</f>
        <v>31.109000000000002</v>
      </c>
      <c r="J547" s="17">
        <f>CHOOSE(CONTROL!$C$42, 31.0039, 31.0039)* CHOOSE(CONTROL!$C$21, $C$9, 100%, $E$9)</f>
        <v>31.003900000000002</v>
      </c>
      <c r="K547" s="52">
        <f>CHOOSE(CONTROL!$C$42, 31.1048, 31.1048) * CHOOSE(CONTROL!$C$21, $C$9, 100%, $E$9)</f>
        <v>31.104800000000001</v>
      </c>
      <c r="L547" s="17">
        <f>CHOOSE(CONTROL!$C$42, 31.8782, 31.8782) * CHOOSE(CONTROL!$C$21, $C$9, 100%, $E$9)</f>
        <v>31.8782</v>
      </c>
      <c r="M547" s="17">
        <f>CHOOSE(CONTROL!$C$42, 30.454, 30.454) * CHOOSE(CONTROL!$C$21, $C$9, 100%, $E$9)</f>
        <v>30.454000000000001</v>
      </c>
      <c r="N547" s="17">
        <f>CHOOSE(CONTROL!$C$42, 30.4705, 30.4705) * CHOOSE(CONTROL!$C$21, $C$9, 100%, $E$9)</f>
        <v>30.470500000000001</v>
      </c>
      <c r="O547" s="17">
        <f>CHOOSE(CONTROL!$C$42, 30.7361, 30.7361) * CHOOSE(CONTROL!$C$21, $C$9, 100%, $E$9)</f>
        <v>30.7361</v>
      </c>
      <c r="P547" s="17">
        <f>CHOOSE(CONTROL!$C$42, 30.5555, 30.5555) * CHOOSE(CONTROL!$C$21, $C$9, 100%, $E$9)</f>
        <v>30.555499999999999</v>
      </c>
      <c r="Q547" s="17">
        <f>CHOOSE(CONTROL!$C$42, 31.3308, 31.3308) * CHOOSE(CONTROL!$C$21, $C$9, 100%, $E$9)</f>
        <v>31.3308</v>
      </c>
      <c r="R547" s="17">
        <f>CHOOSE(CONTROL!$C$42, 31.9961, 31.9961) * CHOOSE(CONTROL!$C$21, $C$9, 100%, $E$9)</f>
        <v>31.996099999999998</v>
      </c>
      <c r="S547" s="17">
        <f>CHOOSE(CONTROL!$C$42, 29.7696, 29.7696) * CHOOSE(CONTROL!$C$21, $C$9, 100%, $E$9)</f>
        <v>29.769600000000001</v>
      </c>
      <c r="T54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47" s="56">
        <f>(1000*CHOOSE(CONTROL!$C$42, 695, 695)*CHOOSE(CONTROL!$C$42, 0.5599, 0.5599)*CHOOSE(CONTROL!$C$42, 31, 31))/1000000</f>
        <v>12.063045499999998</v>
      </c>
      <c r="V547" s="56">
        <f>(1000*CHOOSE(CONTROL!$C$42, 500, 500)*CHOOSE(CONTROL!$C$42, 0.275, 0.275)*CHOOSE(CONTROL!$C$42, 31, 31))/1000000</f>
        <v>4.2625000000000002</v>
      </c>
      <c r="W547" s="56">
        <f>(1000*CHOOSE(CONTROL!$C$42, 0.1146, 0.1146)*CHOOSE(CONTROL!$C$42, 121.5, 121.5)*CHOOSE(CONTROL!$C$42, 31, 31))/1000000</f>
        <v>0.43164089999999994</v>
      </c>
      <c r="X547" s="56">
        <f>(31*0.1790888*145000/1000000)+(31*0.2374*100000/1000000)</f>
        <v>1.5409441560000001</v>
      </c>
      <c r="Y547" s="56"/>
      <c r="Z547" s="17"/>
      <c r="AA547" s="55"/>
      <c r="AB547" s="48">
        <f>(B547*194.205+C547*267.466+D547*133.845+E547*153.484+F547*40+G547*85+H547*0+I547*100+J547*300)/(194.205+267.466+133.845+153.484+0+40+85+100+300)</f>
        <v>31.075435282182109</v>
      </c>
      <c r="AC547" s="45">
        <f>(M547*'RAP TEMPLATE-GAS AVAILABILITY'!O546+N547*'RAP TEMPLATE-GAS AVAILABILITY'!P546+O547*'RAP TEMPLATE-GAS AVAILABILITY'!Q546+P547*'RAP TEMPLATE-GAS AVAILABILITY'!R546)/('RAP TEMPLATE-GAS AVAILABILITY'!O546+'RAP TEMPLATE-GAS AVAILABILITY'!P546+'RAP TEMPLATE-GAS AVAILABILITY'!Q546+'RAP TEMPLATE-GAS AVAILABILITY'!R546)</f>
        <v>30.551553237410072</v>
      </c>
    </row>
    <row r="548" spans="1:29" ht="15.75" x14ac:dyDescent="0.25">
      <c r="A548" s="13">
        <v>57588</v>
      </c>
      <c r="B548" s="17">
        <f>CHOOSE(CONTROL!$C$42, 29.4618, 29.4618) * CHOOSE(CONTROL!$C$21, $C$9, 100%, $E$9)</f>
        <v>29.4618</v>
      </c>
      <c r="C548" s="17">
        <f>CHOOSE(CONTROL!$C$42, 29.4698, 29.4698) * CHOOSE(CONTROL!$C$21, $C$9, 100%, $E$9)</f>
        <v>29.469799999999999</v>
      </c>
      <c r="D548" s="17">
        <f>CHOOSE(CONTROL!$C$42, 29.7409, 29.7409) * CHOOSE(CONTROL!$C$21, $C$9, 100%, $E$9)</f>
        <v>29.7409</v>
      </c>
      <c r="E548" s="17">
        <f>CHOOSE(CONTROL!$C$42, 29.7723, 29.7723) * CHOOSE(CONTROL!$C$21, $C$9, 100%, $E$9)</f>
        <v>29.772300000000001</v>
      </c>
      <c r="F548" s="17">
        <f>CHOOSE(CONTROL!$C$42, 29.4809, 29.4809)*CHOOSE(CONTROL!$C$21, $C$9, 100%, $E$9)</f>
        <v>29.480899999999998</v>
      </c>
      <c r="G548" s="17">
        <f>CHOOSE(CONTROL!$C$42, 29.4978, 29.4978)*CHOOSE(CONTROL!$C$21, $C$9, 100%, $E$9)</f>
        <v>29.497800000000002</v>
      </c>
      <c r="H548" s="17">
        <f>CHOOSE(CONTROL!$C$42, 29.761, 29.761) * CHOOSE(CONTROL!$C$21, $C$9, 100%, $E$9)</f>
        <v>29.760999999999999</v>
      </c>
      <c r="I548" s="17">
        <f>CHOOSE(CONTROL!$C$42, 29.5739, 29.5739)* CHOOSE(CONTROL!$C$21, $C$9, 100%, $E$9)</f>
        <v>29.573899999999998</v>
      </c>
      <c r="J548" s="17">
        <f>CHOOSE(CONTROL!$C$42, 29.4739, 29.4739)* CHOOSE(CONTROL!$C$21, $C$9, 100%, $E$9)</f>
        <v>29.4739</v>
      </c>
      <c r="K548" s="52">
        <f>CHOOSE(CONTROL!$C$42, 29.5697, 29.5697) * CHOOSE(CONTROL!$C$21, $C$9, 100%, $E$9)</f>
        <v>29.569700000000001</v>
      </c>
      <c r="L548" s="17">
        <f>CHOOSE(CONTROL!$C$42, 30.348, 30.348) * CHOOSE(CONTROL!$C$21, $C$9, 100%, $E$9)</f>
        <v>30.347999999999999</v>
      </c>
      <c r="M548" s="17">
        <f>CHOOSE(CONTROL!$C$42, 28.9515, 28.9515) * CHOOSE(CONTROL!$C$21, $C$9, 100%, $E$9)</f>
        <v>28.951499999999999</v>
      </c>
      <c r="N548" s="17">
        <f>CHOOSE(CONTROL!$C$42, 28.9681, 28.9681) * CHOOSE(CONTROL!$C$21, $C$9, 100%, $E$9)</f>
        <v>28.9681</v>
      </c>
      <c r="O548" s="17">
        <f>CHOOSE(CONTROL!$C$42, 29.2334, 29.2334) * CHOOSE(CONTROL!$C$21, $C$9, 100%, $E$9)</f>
        <v>29.2334</v>
      </c>
      <c r="P548" s="17">
        <f>CHOOSE(CONTROL!$C$42, 29.0481, 29.0481) * CHOOSE(CONTROL!$C$21, $C$9, 100%, $E$9)</f>
        <v>29.048100000000002</v>
      </c>
      <c r="Q548" s="17">
        <f>CHOOSE(CONTROL!$C$42, 29.8281, 29.8281) * CHOOSE(CONTROL!$C$21, $C$9, 100%, $E$9)</f>
        <v>29.828099999999999</v>
      </c>
      <c r="R548" s="17">
        <f>CHOOSE(CONTROL!$C$42, 30.4896, 30.4896) * CHOOSE(CONTROL!$C$21, $C$9, 100%, $E$9)</f>
        <v>30.489599999999999</v>
      </c>
      <c r="S548" s="17">
        <f>CHOOSE(CONTROL!$C$42, 28.2992, 28.2992) * CHOOSE(CONTROL!$C$21, $C$9, 100%, $E$9)</f>
        <v>28.299199999999999</v>
      </c>
      <c r="T54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48" s="56">
        <f>(1000*CHOOSE(CONTROL!$C$42, 695, 695)*CHOOSE(CONTROL!$C$42, 0.5599, 0.5599)*CHOOSE(CONTROL!$C$42, 31, 31))/1000000</f>
        <v>12.063045499999998</v>
      </c>
      <c r="V548" s="56">
        <f>(1000*CHOOSE(CONTROL!$C$42, 500, 500)*CHOOSE(CONTROL!$C$42, 0.275, 0.275)*CHOOSE(CONTROL!$C$42, 31, 31))/1000000</f>
        <v>4.2625000000000002</v>
      </c>
      <c r="W548" s="56">
        <f>(1000*CHOOSE(CONTROL!$C$42, 0.1146, 0.1146)*CHOOSE(CONTROL!$C$42, 121.5, 121.5)*CHOOSE(CONTROL!$C$42, 31, 31))/1000000</f>
        <v>0.43164089999999994</v>
      </c>
      <c r="X548" s="56">
        <f>(31*0.1790888*145000/1000000)+(31*0.2374*100000/1000000)</f>
        <v>1.5409441560000001</v>
      </c>
      <c r="Y548" s="56"/>
      <c r="Z548" s="17"/>
      <c r="AA548" s="55"/>
      <c r="AB548" s="48">
        <f>(B548*194.205+C548*267.466+D548*133.845+E548*153.484+F548*40+G548*85+H548*0+I548*100+J548*300)/(194.205+267.466+133.845+153.484+0+40+85+100+300)</f>
        <v>29.544858594583985</v>
      </c>
      <c r="AC548" s="45">
        <f>(M548*'RAP TEMPLATE-GAS AVAILABILITY'!O547+N548*'RAP TEMPLATE-GAS AVAILABILITY'!P547+O548*'RAP TEMPLATE-GAS AVAILABILITY'!Q547+P548*'RAP TEMPLATE-GAS AVAILABILITY'!R547)/('RAP TEMPLATE-GAS AVAILABILITY'!O547+'RAP TEMPLATE-GAS AVAILABILITY'!P547+'RAP TEMPLATE-GAS AVAILABILITY'!Q547+'RAP TEMPLATE-GAS AVAILABILITY'!R547)</f>
        <v>29.04831510791367</v>
      </c>
    </row>
    <row r="549" spans="1:29" ht="15.75" x14ac:dyDescent="0.25">
      <c r="A549" s="13">
        <v>57618</v>
      </c>
      <c r="B549" s="17">
        <f>CHOOSE(CONTROL!$C$42, 27.5919, 27.5919) * CHOOSE(CONTROL!$C$21, $C$9, 100%, $E$9)</f>
        <v>27.591899999999999</v>
      </c>
      <c r="C549" s="17">
        <f>CHOOSE(CONTROL!$C$42, 27.5999, 27.5999) * CHOOSE(CONTROL!$C$21, $C$9, 100%, $E$9)</f>
        <v>27.599900000000002</v>
      </c>
      <c r="D549" s="17">
        <f>CHOOSE(CONTROL!$C$42, 27.8709, 27.8709) * CHOOSE(CONTROL!$C$21, $C$9, 100%, $E$9)</f>
        <v>27.870899999999999</v>
      </c>
      <c r="E549" s="17">
        <f>CHOOSE(CONTROL!$C$42, 27.9024, 27.9024) * CHOOSE(CONTROL!$C$21, $C$9, 100%, $E$9)</f>
        <v>27.9024</v>
      </c>
      <c r="F549" s="17">
        <f>CHOOSE(CONTROL!$C$42, 27.6111, 27.6111)*CHOOSE(CONTROL!$C$21, $C$9, 100%, $E$9)</f>
        <v>27.6111</v>
      </c>
      <c r="G549" s="17">
        <f>CHOOSE(CONTROL!$C$42, 27.628, 27.628)*CHOOSE(CONTROL!$C$21, $C$9, 100%, $E$9)</f>
        <v>27.628</v>
      </c>
      <c r="H549" s="17">
        <f>CHOOSE(CONTROL!$C$42, 27.891, 27.891) * CHOOSE(CONTROL!$C$21, $C$9, 100%, $E$9)</f>
        <v>27.890999999999998</v>
      </c>
      <c r="I549" s="17">
        <f>CHOOSE(CONTROL!$C$42, 27.6981, 27.6981)* CHOOSE(CONTROL!$C$21, $C$9, 100%, $E$9)</f>
        <v>27.6981</v>
      </c>
      <c r="J549" s="17">
        <f>CHOOSE(CONTROL!$C$42, 27.6041, 27.6041)* CHOOSE(CONTROL!$C$21, $C$9, 100%, $E$9)</f>
        <v>27.604099999999999</v>
      </c>
      <c r="K549" s="52">
        <f>CHOOSE(CONTROL!$C$42, 27.6939, 27.6939) * CHOOSE(CONTROL!$C$21, $C$9, 100%, $E$9)</f>
        <v>27.693899999999999</v>
      </c>
      <c r="L549" s="17">
        <f>CHOOSE(CONTROL!$C$42, 28.478, 28.478) * CHOOSE(CONTROL!$C$21, $C$9, 100%, $E$9)</f>
        <v>28.478000000000002</v>
      </c>
      <c r="M549" s="17">
        <f>CHOOSE(CONTROL!$C$42, 27.1152, 27.1152) * CHOOSE(CONTROL!$C$21, $C$9, 100%, $E$9)</f>
        <v>27.115200000000002</v>
      </c>
      <c r="N549" s="17">
        <f>CHOOSE(CONTROL!$C$42, 27.1318, 27.1318) * CHOOSE(CONTROL!$C$21, $C$9, 100%, $E$9)</f>
        <v>27.131799999999998</v>
      </c>
      <c r="O549" s="17">
        <f>CHOOSE(CONTROL!$C$42, 27.3971, 27.3971) * CHOOSE(CONTROL!$C$21, $C$9, 100%, $E$9)</f>
        <v>27.397099999999998</v>
      </c>
      <c r="P549" s="17">
        <f>CHOOSE(CONTROL!$C$42, 27.2062, 27.2062) * CHOOSE(CONTROL!$C$21, $C$9, 100%, $E$9)</f>
        <v>27.206199999999999</v>
      </c>
      <c r="Q549" s="17">
        <f>CHOOSE(CONTROL!$C$42, 27.9918, 27.9918) * CHOOSE(CONTROL!$C$21, $C$9, 100%, $E$9)</f>
        <v>27.991800000000001</v>
      </c>
      <c r="R549" s="17">
        <f>CHOOSE(CONTROL!$C$42, 28.6487, 28.6487) * CHOOSE(CONTROL!$C$21, $C$9, 100%, $E$9)</f>
        <v>28.648700000000002</v>
      </c>
      <c r="S549" s="17">
        <f>CHOOSE(CONTROL!$C$42, 26.5024, 26.5024) * CHOOSE(CONTROL!$C$21, $C$9, 100%, $E$9)</f>
        <v>26.502400000000002</v>
      </c>
      <c r="T54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49" s="56">
        <f>(1000*CHOOSE(CONTROL!$C$42, 695, 695)*CHOOSE(CONTROL!$C$42, 0.5599, 0.5599)*CHOOSE(CONTROL!$C$42, 30, 30))/1000000</f>
        <v>11.673914999999997</v>
      </c>
      <c r="V549" s="56">
        <f>(1000*CHOOSE(CONTROL!$C$42, 500, 500)*CHOOSE(CONTROL!$C$42, 0.275, 0.275)*CHOOSE(CONTROL!$C$42, 30, 30))/1000000</f>
        <v>4.125</v>
      </c>
      <c r="W549" s="56">
        <f>(1000*CHOOSE(CONTROL!$C$42, 0.1146, 0.1146)*CHOOSE(CONTROL!$C$42, 121.5, 121.5)*CHOOSE(CONTROL!$C$42, 30, 30))/1000000</f>
        <v>0.417717</v>
      </c>
      <c r="X549" s="56">
        <f>(30*0.1790888*145000/1000000)+(30*0.2374*100000/1000000)</f>
        <v>1.4912362799999999</v>
      </c>
      <c r="Y549" s="56"/>
      <c r="Z549" s="17"/>
      <c r="AA549" s="55"/>
      <c r="AB549" s="48">
        <f>(B549*194.205+C549*267.466+D549*133.845+E549*153.484+F549*40+G549*85+H549*0+I549*100+J549*300)/(194.205+267.466+133.845+153.484+0+40+85+100+300)</f>
        <v>27.674518339874414</v>
      </c>
      <c r="AC549" s="45">
        <f>(M549*'RAP TEMPLATE-GAS AVAILABILITY'!O548+N549*'RAP TEMPLATE-GAS AVAILABILITY'!P548+O549*'RAP TEMPLATE-GAS AVAILABILITY'!Q548+P549*'RAP TEMPLATE-GAS AVAILABILITY'!R548)/('RAP TEMPLATE-GAS AVAILABILITY'!O548+'RAP TEMPLATE-GAS AVAILABILITY'!P548+'RAP TEMPLATE-GAS AVAILABILITY'!Q548+'RAP TEMPLATE-GAS AVAILABILITY'!R548)</f>
        <v>27.211209352517983</v>
      </c>
    </row>
    <row r="550" spans="1:29" ht="15.75" x14ac:dyDescent="0.25">
      <c r="A550" s="13">
        <v>57649</v>
      </c>
      <c r="B550" s="17">
        <f>CHOOSE(CONTROL!$C$42, 27.0301, 27.0301) * CHOOSE(CONTROL!$C$21, $C$9, 100%, $E$9)</f>
        <v>27.030100000000001</v>
      </c>
      <c r="C550" s="17">
        <f>CHOOSE(CONTROL!$C$42, 27.0354, 27.0354) * CHOOSE(CONTROL!$C$21, $C$9, 100%, $E$9)</f>
        <v>27.035399999999999</v>
      </c>
      <c r="D550" s="17">
        <f>CHOOSE(CONTROL!$C$42, 27.3115, 27.3115) * CHOOSE(CONTROL!$C$21, $C$9, 100%, $E$9)</f>
        <v>27.311499999999999</v>
      </c>
      <c r="E550" s="17">
        <f>CHOOSE(CONTROL!$C$42, 27.3406, 27.3406) * CHOOSE(CONTROL!$C$21, $C$9, 100%, $E$9)</f>
        <v>27.340599999999998</v>
      </c>
      <c r="F550" s="17">
        <f>CHOOSE(CONTROL!$C$42, 27.0515, 27.0515)*CHOOSE(CONTROL!$C$21, $C$9, 100%, $E$9)</f>
        <v>27.051500000000001</v>
      </c>
      <c r="G550" s="17">
        <f>CHOOSE(CONTROL!$C$42, 27.0683, 27.0683)*CHOOSE(CONTROL!$C$21, $C$9, 100%, $E$9)</f>
        <v>27.068300000000001</v>
      </c>
      <c r="H550" s="17">
        <f>CHOOSE(CONTROL!$C$42, 27.3311, 27.3311) * CHOOSE(CONTROL!$C$21, $C$9, 100%, $E$9)</f>
        <v>27.331099999999999</v>
      </c>
      <c r="I550" s="17">
        <f>CHOOSE(CONTROL!$C$42, 27.1364, 27.1364)* CHOOSE(CONTROL!$C$21, $C$9, 100%, $E$9)</f>
        <v>27.136399999999998</v>
      </c>
      <c r="J550" s="17">
        <f>CHOOSE(CONTROL!$C$42, 27.0445, 27.0445)* CHOOSE(CONTROL!$C$21, $C$9, 100%, $E$9)</f>
        <v>27.044499999999999</v>
      </c>
      <c r="K550" s="52">
        <f>CHOOSE(CONTROL!$C$42, 27.1322, 27.1322) * CHOOSE(CONTROL!$C$21, $C$9, 100%, $E$9)</f>
        <v>27.132200000000001</v>
      </c>
      <c r="L550" s="17">
        <f>CHOOSE(CONTROL!$C$42, 27.9181, 27.9181) * CHOOSE(CONTROL!$C$21, $C$9, 100%, $E$9)</f>
        <v>27.918099999999999</v>
      </c>
      <c r="M550" s="17">
        <f>CHOOSE(CONTROL!$C$42, 26.5658, 26.5658) * CHOOSE(CONTROL!$C$21, $C$9, 100%, $E$9)</f>
        <v>26.565799999999999</v>
      </c>
      <c r="N550" s="17">
        <f>CHOOSE(CONTROL!$C$42, 26.5823, 26.5823) * CHOOSE(CONTROL!$C$21, $C$9, 100%, $E$9)</f>
        <v>26.5823</v>
      </c>
      <c r="O550" s="17">
        <f>CHOOSE(CONTROL!$C$42, 26.8472, 26.8472) * CHOOSE(CONTROL!$C$21, $C$9, 100%, $E$9)</f>
        <v>26.847200000000001</v>
      </c>
      <c r="P550" s="17">
        <f>CHOOSE(CONTROL!$C$42, 26.6546, 26.6546) * CHOOSE(CONTROL!$C$21, $C$9, 100%, $E$9)</f>
        <v>26.654599999999999</v>
      </c>
      <c r="Q550" s="17">
        <f>CHOOSE(CONTROL!$C$42, 27.4419, 27.4419) * CHOOSE(CONTROL!$C$21, $C$9, 100%, $E$9)</f>
        <v>27.4419</v>
      </c>
      <c r="R550" s="17">
        <f>CHOOSE(CONTROL!$C$42, 28.0975, 28.0975) * CHOOSE(CONTROL!$C$21, $C$9, 100%, $E$9)</f>
        <v>28.0975</v>
      </c>
      <c r="S550" s="17">
        <f>CHOOSE(CONTROL!$C$42, 25.9643, 25.9643) * CHOOSE(CONTROL!$C$21, $C$9, 100%, $E$9)</f>
        <v>25.964300000000001</v>
      </c>
      <c r="T55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50" s="56">
        <f>(1000*CHOOSE(CONTROL!$C$42, 695, 695)*CHOOSE(CONTROL!$C$42, 0.5599, 0.5599)*CHOOSE(CONTROL!$C$42, 31, 31))/1000000</f>
        <v>12.063045499999998</v>
      </c>
      <c r="V550" s="56">
        <f>(1000*CHOOSE(CONTROL!$C$42, 500, 500)*CHOOSE(CONTROL!$C$42, 0.275, 0.275)*CHOOSE(CONTROL!$C$42, 31, 31))/1000000</f>
        <v>4.2625000000000002</v>
      </c>
      <c r="W550" s="56">
        <f>(1000*CHOOSE(CONTROL!$C$42, 0.1146, 0.1146)*CHOOSE(CONTROL!$C$42, 121.5, 121.5)*CHOOSE(CONTROL!$C$42, 31, 31))/1000000</f>
        <v>0.43164089999999994</v>
      </c>
      <c r="X550" s="56">
        <f>(31*0.1790888*145000/1000000)+(31*0.2374*100000/1000000)</f>
        <v>1.5409441560000001</v>
      </c>
      <c r="Y550" s="56"/>
      <c r="Z550" s="17"/>
      <c r="AA550" s="55"/>
      <c r="AB550" s="48">
        <f>(B550*131.881+C550*277.167+D550*79.08+E550*225.872+F550*40+G550*85+H550*0+I550*100+J550*300)/(131.881+277.167+79.08+225.872+0+40+85+100+300)</f>
        <v>27.121228614285712</v>
      </c>
      <c r="AC550" s="45">
        <f>(M550*'RAP TEMPLATE-GAS AVAILABILITY'!O549+N550*'RAP TEMPLATE-GAS AVAILABILITY'!P549+O550*'RAP TEMPLATE-GAS AVAILABILITY'!Q549+P550*'RAP TEMPLATE-GAS AVAILABILITY'!R549)/('RAP TEMPLATE-GAS AVAILABILITY'!O549+'RAP TEMPLATE-GAS AVAILABILITY'!P549+'RAP TEMPLATE-GAS AVAILABILITY'!Q549+'RAP TEMPLATE-GAS AVAILABILITY'!R549)</f>
        <v>26.661329496402878</v>
      </c>
    </row>
    <row r="551" spans="1:29" ht="15.75" x14ac:dyDescent="0.25">
      <c r="A551" s="13">
        <v>57679</v>
      </c>
      <c r="B551" s="17">
        <f>CHOOSE(CONTROL!$C$42, 27.7415, 27.7415) * CHOOSE(CONTROL!$C$21, $C$9, 100%, $E$9)</f>
        <v>27.741499999999998</v>
      </c>
      <c r="C551" s="17">
        <f>CHOOSE(CONTROL!$C$42, 27.7466, 27.7466) * CHOOSE(CONTROL!$C$21, $C$9, 100%, $E$9)</f>
        <v>27.746600000000001</v>
      </c>
      <c r="D551" s="17">
        <f>CHOOSE(CONTROL!$C$42, 27.8416, 27.8416) * CHOOSE(CONTROL!$C$21, $C$9, 100%, $E$9)</f>
        <v>27.8416</v>
      </c>
      <c r="E551" s="17">
        <f>CHOOSE(CONTROL!$C$42, 27.8757, 27.8757) * CHOOSE(CONTROL!$C$21, $C$9, 100%, $E$9)</f>
        <v>27.875699999999998</v>
      </c>
      <c r="F551" s="17">
        <f>CHOOSE(CONTROL!$C$42, 27.7654, 27.7654)*CHOOSE(CONTROL!$C$21, $C$9, 100%, $E$9)</f>
        <v>27.7654</v>
      </c>
      <c r="G551" s="17">
        <f>CHOOSE(CONTROL!$C$42, 27.7825, 27.7825)*CHOOSE(CONTROL!$C$21, $C$9, 100%, $E$9)</f>
        <v>27.782499999999999</v>
      </c>
      <c r="H551" s="17">
        <f>CHOOSE(CONTROL!$C$42, 27.8649, 27.8649) * CHOOSE(CONTROL!$C$21, $C$9, 100%, $E$9)</f>
        <v>27.864899999999999</v>
      </c>
      <c r="I551" s="17">
        <f>CHOOSE(CONTROL!$C$42, 27.8484, 27.8484)* CHOOSE(CONTROL!$C$21, $C$9, 100%, $E$9)</f>
        <v>27.848400000000002</v>
      </c>
      <c r="J551" s="17">
        <f>CHOOSE(CONTROL!$C$42, 27.7584, 27.7584)* CHOOSE(CONTROL!$C$21, $C$9, 100%, $E$9)</f>
        <v>27.758400000000002</v>
      </c>
      <c r="K551" s="52">
        <f>CHOOSE(CONTROL!$C$42, 27.8442, 27.8442) * CHOOSE(CONTROL!$C$21, $C$9, 100%, $E$9)</f>
        <v>27.844200000000001</v>
      </c>
      <c r="L551" s="17">
        <f>CHOOSE(CONTROL!$C$42, 28.4519, 28.4519) * CHOOSE(CONTROL!$C$21, $C$9, 100%, $E$9)</f>
        <v>28.451899999999998</v>
      </c>
      <c r="M551" s="17">
        <f>CHOOSE(CONTROL!$C$42, 27.2669, 27.2669) * CHOOSE(CONTROL!$C$21, $C$9, 100%, $E$9)</f>
        <v>27.2669</v>
      </c>
      <c r="N551" s="17">
        <f>CHOOSE(CONTROL!$C$42, 27.2836, 27.2836) * CHOOSE(CONTROL!$C$21, $C$9, 100%, $E$9)</f>
        <v>27.2836</v>
      </c>
      <c r="O551" s="17">
        <f>CHOOSE(CONTROL!$C$42, 27.3714, 27.3714) * CHOOSE(CONTROL!$C$21, $C$9, 100%, $E$9)</f>
        <v>27.371400000000001</v>
      </c>
      <c r="P551" s="17">
        <f>CHOOSE(CONTROL!$C$42, 27.3537, 27.3537) * CHOOSE(CONTROL!$C$21, $C$9, 100%, $E$9)</f>
        <v>27.3537</v>
      </c>
      <c r="Q551" s="17">
        <f>CHOOSE(CONTROL!$C$42, 27.9661, 27.9661) * CHOOSE(CONTROL!$C$21, $C$9, 100%, $E$9)</f>
        <v>27.966100000000001</v>
      </c>
      <c r="R551" s="17">
        <f>CHOOSE(CONTROL!$C$42, 28.623, 28.623) * CHOOSE(CONTROL!$C$21, $C$9, 100%, $E$9)</f>
        <v>28.623000000000001</v>
      </c>
      <c r="S551" s="17">
        <f>CHOOSE(CONTROL!$C$42, 26.6483, 26.6483) * CHOOSE(CONTROL!$C$21, $C$9, 100%, $E$9)</f>
        <v>26.648299999999999</v>
      </c>
      <c r="T55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51" s="56">
        <f>(1000*CHOOSE(CONTROL!$C$42, 695, 695)*CHOOSE(CONTROL!$C$42, 0.5599, 0.5599)*CHOOSE(CONTROL!$C$42, 30, 30))/1000000</f>
        <v>11.673914999999997</v>
      </c>
      <c r="V551" s="56">
        <f>(1000*CHOOSE(CONTROL!$C$42, 500, 500)*CHOOSE(CONTROL!$C$42, 0.275, 0.275)*CHOOSE(CONTROL!$C$42, 30, 30))/1000000</f>
        <v>4.125</v>
      </c>
      <c r="W551" s="56">
        <f>(1000*CHOOSE(CONTROL!$C$42, 0.1146, 0.1146)*CHOOSE(CONTROL!$C$42, 121.5, 121.5)*CHOOSE(CONTROL!$C$42, 30, 30))/1000000</f>
        <v>0.417717</v>
      </c>
      <c r="X551" s="56">
        <f>(30*0.2374*100000/1000000)</f>
        <v>0.71220000000000006</v>
      </c>
      <c r="Y551" s="56"/>
      <c r="Z551" s="17"/>
      <c r="AA551" s="55"/>
      <c r="AB551" s="48">
        <f>(B551*122.58+C551*297.941+D551*89.177+E551*140.302+F551*40+G551*60+H551*0+I551*100+J551*300)/(122.58+297.941+89.177+140.302+0+40+60+100+300)</f>
        <v>27.783630995826087</v>
      </c>
      <c r="AC551" s="45">
        <f>(M551*'RAP TEMPLATE-GAS AVAILABILITY'!O550+N551*'RAP TEMPLATE-GAS AVAILABILITY'!P550+O551*'RAP TEMPLATE-GAS AVAILABILITY'!Q550+P551*'RAP TEMPLATE-GAS AVAILABILITY'!R550)/('RAP TEMPLATE-GAS AVAILABILITY'!O550+'RAP TEMPLATE-GAS AVAILABILITY'!P550+'RAP TEMPLATE-GAS AVAILABILITY'!Q550+'RAP TEMPLATE-GAS AVAILABILITY'!R550)</f>
        <v>27.327713669064746</v>
      </c>
    </row>
    <row r="552" spans="1:29" ht="15.75" x14ac:dyDescent="0.25">
      <c r="A552" s="13">
        <v>57710</v>
      </c>
      <c r="B552" s="17">
        <f>CHOOSE(CONTROL!$C$42, 29.6323, 29.6323) * CHOOSE(CONTROL!$C$21, $C$9, 100%, $E$9)</f>
        <v>29.632300000000001</v>
      </c>
      <c r="C552" s="17">
        <f>CHOOSE(CONTROL!$C$42, 29.6374, 29.6374) * CHOOSE(CONTROL!$C$21, $C$9, 100%, $E$9)</f>
        <v>29.6374</v>
      </c>
      <c r="D552" s="17">
        <f>CHOOSE(CONTROL!$C$42, 29.7324, 29.7324) * CHOOSE(CONTROL!$C$21, $C$9, 100%, $E$9)</f>
        <v>29.732399999999998</v>
      </c>
      <c r="E552" s="17">
        <f>CHOOSE(CONTROL!$C$42, 29.7665, 29.7665) * CHOOSE(CONTROL!$C$21, $C$9, 100%, $E$9)</f>
        <v>29.766500000000001</v>
      </c>
      <c r="F552" s="17">
        <f>CHOOSE(CONTROL!$C$42, 29.6585, 29.6585)*CHOOSE(CONTROL!$C$21, $C$9, 100%, $E$9)</f>
        <v>29.6585</v>
      </c>
      <c r="G552" s="17">
        <f>CHOOSE(CONTROL!$C$42, 29.6762, 29.6762)*CHOOSE(CONTROL!$C$21, $C$9, 100%, $E$9)</f>
        <v>29.676200000000001</v>
      </c>
      <c r="H552" s="17">
        <f>CHOOSE(CONTROL!$C$42, 29.7557, 29.7557) * CHOOSE(CONTROL!$C$21, $C$9, 100%, $E$9)</f>
        <v>29.755700000000001</v>
      </c>
      <c r="I552" s="17">
        <f>CHOOSE(CONTROL!$C$42, 29.745, 29.745)* CHOOSE(CONTROL!$C$21, $C$9, 100%, $E$9)</f>
        <v>29.745000000000001</v>
      </c>
      <c r="J552" s="17">
        <f>CHOOSE(CONTROL!$C$42, 29.6515, 29.6515)* CHOOSE(CONTROL!$C$21, $C$9, 100%, $E$9)</f>
        <v>29.651499999999999</v>
      </c>
      <c r="K552" s="52">
        <f>CHOOSE(CONTROL!$C$42, 29.7408, 29.7408) * CHOOSE(CONTROL!$C$21, $C$9, 100%, $E$9)</f>
        <v>29.7408</v>
      </c>
      <c r="L552" s="17">
        <f>CHOOSE(CONTROL!$C$42, 30.3427, 30.3427) * CHOOSE(CONTROL!$C$21, $C$9, 100%, $E$9)</f>
        <v>30.342700000000001</v>
      </c>
      <c r="M552" s="17">
        <f>CHOOSE(CONTROL!$C$42, 29.1259, 29.1259) * CHOOSE(CONTROL!$C$21, $C$9, 100%, $E$9)</f>
        <v>29.125900000000001</v>
      </c>
      <c r="N552" s="17">
        <f>CHOOSE(CONTROL!$C$42, 29.1433, 29.1433) * CHOOSE(CONTROL!$C$21, $C$9, 100%, $E$9)</f>
        <v>29.1433</v>
      </c>
      <c r="O552" s="17">
        <f>CHOOSE(CONTROL!$C$42, 29.2282, 29.2282) * CHOOSE(CONTROL!$C$21, $C$9, 100%, $E$9)</f>
        <v>29.228200000000001</v>
      </c>
      <c r="P552" s="17">
        <f>CHOOSE(CONTROL!$C$42, 29.2162, 29.2162) * CHOOSE(CONTROL!$C$21, $C$9, 100%, $E$9)</f>
        <v>29.216200000000001</v>
      </c>
      <c r="Q552" s="17">
        <f>CHOOSE(CONTROL!$C$42, 29.8229, 29.8229) * CHOOSE(CONTROL!$C$21, $C$9, 100%, $E$9)</f>
        <v>29.822900000000001</v>
      </c>
      <c r="R552" s="17">
        <f>CHOOSE(CONTROL!$C$42, 30.4844, 30.4844) * CHOOSE(CONTROL!$C$21, $C$9, 100%, $E$9)</f>
        <v>30.484400000000001</v>
      </c>
      <c r="S552" s="17">
        <f>CHOOSE(CONTROL!$C$42, 28.4651, 28.4651) * CHOOSE(CONTROL!$C$21, $C$9, 100%, $E$9)</f>
        <v>28.4651</v>
      </c>
      <c r="T55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52" s="56">
        <f>(1000*CHOOSE(CONTROL!$C$42, 695, 695)*CHOOSE(CONTROL!$C$42, 0.5599, 0.5599)*CHOOSE(CONTROL!$C$42, 31, 31))/1000000</f>
        <v>12.063045499999998</v>
      </c>
      <c r="V552" s="56">
        <f>(1000*CHOOSE(CONTROL!$C$42, 500, 500)*CHOOSE(CONTROL!$C$42, 0.275, 0.275)*CHOOSE(CONTROL!$C$42, 31, 31))/1000000</f>
        <v>4.2625000000000002</v>
      </c>
      <c r="W552" s="56">
        <f>(1000*CHOOSE(CONTROL!$C$42, 0.1146, 0.1146)*CHOOSE(CONTROL!$C$42, 121.5, 121.5)*CHOOSE(CONTROL!$C$42, 31, 31))/1000000</f>
        <v>0.43164089999999994</v>
      </c>
      <c r="X552" s="56">
        <f>(31*0.2374*100000/1000000)</f>
        <v>0.73594000000000004</v>
      </c>
      <c r="Y552" s="56"/>
      <c r="Z552" s="17"/>
      <c r="AA552" s="55"/>
      <c r="AB552" s="48">
        <f>(B552*122.58+C552*297.941+D552*89.177+E552*140.302+F552*40+G552*60+H552*0+I552*100+J552*300)/(122.58+297.941+89.177+140.302+0+40+60+100+300)</f>
        <v>29.675766647999996</v>
      </c>
      <c r="AC552" s="45">
        <f>(M552*'RAP TEMPLATE-GAS AVAILABILITY'!O551+N552*'RAP TEMPLATE-GAS AVAILABILITY'!P551+O552*'RAP TEMPLATE-GAS AVAILABILITY'!Q551+P552*'RAP TEMPLATE-GAS AVAILABILITY'!R551)/('RAP TEMPLATE-GAS AVAILABILITY'!O551+'RAP TEMPLATE-GAS AVAILABILITY'!P551+'RAP TEMPLATE-GAS AVAILABILITY'!Q551+'RAP TEMPLATE-GAS AVAILABILITY'!R551)</f>
        <v>29.186260431654674</v>
      </c>
    </row>
    <row r="553" spans="1:29" ht="15.75" x14ac:dyDescent="0.25">
      <c r="A553" s="13">
        <v>57741</v>
      </c>
      <c r="B553" s="17">
        <f>CHOOSE(CONTROL!$C$42, 32.088, 32.088) * CHOOSE(CONTROL!$C$21, $C$9, 100%, $E$9)</f>
        <v>32.088000000000001</v>
      </c>
      <c r="C553" s="17">
        <f>CHOOSE(CONTROL!$C$42, 32.0931, 32.0931) * CHOOSE(CONTROL!$C$21, $C$9, 100%, $E$9)</f>
        <v>32.0931</v>
      </c>
      <c r="D553" s="17">
        <f>CHOOSE(CONTROL!$C$42, 32.2115, 32.2115) * CHOOSE(CONTROL!$C$21, $C$9, 100%, $E$9)</f>
        <v>32.211500000000001</v>
      </c>
      <c r="E553" s="17">
        <f>CHOOSE(CONTROL!$C$42, 32.2456, 32.2456) * CHOOSE(CONTROL!$C$21, $C$9, 100%, $E$9)</f>
        <v>32.245600000000003</v>
      </c>
      <c r="F553" s="17">
        <f>CHOOSE(CONTROL!$C$42, 32.1084, 32.1084)*CHOOSE(CONTROL!$C$21, $C$9, 100%, $E$9)</f>
        <v>32.108400000000003</v>
      </c>
      <c r="G553" s="17">
        <f>CHOOSE(CONTROL!$C$42, 32.1253, 32.1253)*CHOOSE(CONTROL!$C$21, $C$9, 100%, $E$9)</f>
        <v>32.125300000000003</v>
      </c>
      <c r="H553" s="17">
        <f>CHOOSE(CONTROL!$C$42, 32.2348, 32.2348) * CHOOSE(CONTROL!$C$21, $C$9, 100%, $E$9)</f>
        <v>32.2348</v>
      </c>
      <c r="I553" s="17">
        <f>CHOOSE(CONTROL!$C$42, 32.2121, 32.2121)* CHOOSE(CONTROL!$C$21, $C$9, 100%, $E$9)</f>
        <v>32.2121</v>
      </c>
      <c r="J553" s="17">
        <f>CHOOSE(CONTROL!$C$42, 32.1014, 32.1014)* CHOOSE(CONTROL!$C$21, $C$9, 100%, $E$9)</f>
        <v>32.101399999999998</v>
      </c>
      <c r="K553" s="52">
        <f>CHOOSE(CONTROL!$C$42, 32.2079, 32.2079) * CHOOSE(CONTROL!$C$21, $C$9, 100%, $E$9)</f>
        <v>32.207900000000002</v>
      </c>
      <c r="L553" s="17">
        <f>CHOOSE(CONTROL!$C$42, 32.8218, 32.8218) * CHOOSE(CONTROL!$C$21, $C$9, 100%, $E$9)</f>
        <v>32.821800000000003</v>
      </c>
      <c r="M553" s="17">
        <f>CHOOSE(CONTROL!$C$42, 31.5317, 31.5317) * CHOOSE(CONTROL!$C$21, $C$9, 100%, $E$9)</f>
        <v>31.531700000000001</v>
      </c>
      <c r="N553" s="17">
        <f>CHOOSE(CONTROL!$C$42, 31.5483, 31.5483) * CHOOSE(CONTROL!$C$21, $C$9, 100%, $E$9)</f>
        <v>31.548300000000001</v>
      </c>
      <c r="O553" s="17">
        <f>CHOOSE(CONTROL!$C$42, 31.6627, 31.6627) * CHOOSE(CONTROL!$C$21, $C$9, 100%, $E$9)</f>
        <v>31.662700000000001</v>
      </c>
      <c r="P553" s="17">
        <f>CHOOSE(CONTROL!$C$42, 31.6387, 31.6387) * CHOOSE(CONTROL!$C$21, $C$9, 100%, $E$9)</f>
        <v>31.6387</v>
      </c>
      <c r="Q553" s="17">
        <f>CHOOSE(CONTROL!$C$42, 32.2574, 32.2574) * CHOOSE(CONTROL!$C$21, $C$9, 100%, $E$9)</f>
        <v>32.257399999999997</v>
      </c>
      <c r="R553" s="17">
        <f>CHOOSE(CONTROL!$C$42, 32.9251, 32.9251) * CHOOSE(CONTROL!$C$21, $C$9, 100%, $E$9)</f>
        <v>32.9251</v>
      </c>
      <c r="S553" s="17">
        <f>CHOOSE(CONTROL!$C$42, 30.8248, 30.8248) * CHOOSE(CONTROL!$C$21, $C$9, 100%, $E$9)</f>
        <v>30.8248</v>
      </c>
      <c r="T55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53" s="56">
        <f>(1000*CHOOSE(CONTROL!$C$42, 695, 695)*CHOOSE(CONTROL!$C$42, 0.5599, 0.5599)*CHOOSE(CONTROL!$C$42, 31, 31))/1000000</f>
        <v>12.063045499999998</v>
      </c>
      <c r="V553" s="56">
        <f>(1000*CHOOSE(CONTROL!$C$42, 500, 500)*CHOOSE(CONTROL!$C$42, 0.275, 0.275)*CHOOSE(CONTROL!$C$42, 31, 31))/1000000</f>
        <v>4.2625000000000002</v>
      </c>
      <c r="W553" s="56">
        <f>(1000*CHOOSE(CONTROL!$C$42, 0.1146, 0.1146)*CHOOSE(CONTROL!$C$42, 121.5, 121.5)*CHOOSE(CONTROL!$C$42, 31, 31))/1000000</f>
        <v>0.43164089999999994</v>
      </c>
      <c r="X553" s="56">
        <f>(31*0.2374*100000/1000000)</f>
        <v>0.73594000000000004</v>
      </c>
      <c r="Y553" s="56"/>
      <c r="Z553" s="17"/>
      <c r="AA553" s="55"/>
      <c r="AB553" s="48">
        <f>(B553*122.58+C553*297.941+D553*89.177+E553*140.302+F553*40+G553*60+H553*0+I553*100+J553*300)/(122.58+297.941+89.177+140.302+0+40+60+100+300)</f>
        <v>32.135068220695651</v>
      </c>
      <c r="AC553" s="45">
        <f>(M553*'RAP TEMPLATE-GAS AVAILABILITY'!O552+N553*'RAP TEMPLATE-GAS AVAILABILITY'!P552+O553*'RAP TEMPLATE-GAS AVAILABILITY'!Q552+P553*'RAP TEMPLATE-GAS AVAILABILITY'!R552)/('RAP TEMPLATE-GAS AVAILABILITY'!O552+'RAP TEMPLATE-GAS AVAILABILITY'!P552+'RAP TEMPLATE-GAS AVAILABILITY'!Q552+'RAP TEMPLATE-GAS AVAILABILITY'!R552)</f>
        <v>31.607425179856119</v>
      </c>
    </row>
    <row r="554" spans="1:29" ht="15.75" x14ac:dyDescent="0.25">
      <c r="A554" s="13">
        <v>57769</v>
      </c>
      <c r="B554" s="17">
        <f>CHOOSE(CONTROL!$C$42, 32.6591, 32.6591) * CHOOSE(CONTROL!$C$21, $C$9, 100%, $E$9)</f>
        <v>32.659100000000002</v>
      </c>
      <c r="C554" s="17">
        <f>CHOOSE(CONTROL!$C$42, 32.6641, 32.6641) * CHOOSE(CONTROL!$C$21, $C$9, 100%, $E$9)</f>
        <v>32.664099999999998</v>
      </c>
      <c r="D554" s="17">
        <f>CHOOSE(CONTROL!$C$42, 32.7826, 32.7826) * CHOOSE(CONTROL!$C$21, $C$9, 100%, $E$9)</f>
        <v>32.782600000000002</v>
      </c>
      <c r="E554" s="17">
        <f>CHOOSE(CONTROL!$C$42, 32.8167, 32.8167) * CHOOSE(CONTROL!$C$21, $C$9, 100%, $E$9)</f>
        <v>32.816699999999997</v>
      </c>
      <c r="F554" s="17">
        <f>CHOOSE(CONTROL!$C$42, 32.6794, 32.6794)*CHOOSE(CONTROL!$C$21, $C$9, 100%, $E$9)</f>
        <v>32.679400000000001</v>
      </c>
      <c r="G554" s="17">
        <f>CHOOSE(CONTROL!$C$42, 32.6963, 32.6963)*CHOOSE(CONTROL!$C$21, $C$9, 100%, $E$9)</f>
        <v>32.696300000000001</v>
      </c>
      <c r="H554" s="17">
        <f>CHOOSE(CONTROL!$C$42, 32.8059, 32.8059) * CHOOSE(CONTROL!$C$21, $C$9, 100%, $E$9)</f>
        <v>32.805900000000001</v>
      </c>
      <c r="I554" s="17">
        <f>CHOOSE(CONTROL!$C$42, 32.785, 32.785)* CHOOSE(CONTROL!$C$21, $C$9, 100%, $E$9)</f>
        <v>32.784999999999997</v>
      </c>
      <c r="J554" s="17">
        <f>CHOOSE(CONTROL!$C$42, 32.6724, 32.6724)* CHOOSE(CONTROL!$C$21, $C$9, 100%, $E$9)</f>
        <v>32.672400000000003</v>
      </c>
      <c r="K554" s="52">
        <f>CHOOSE(CONTROL!$C$42, 32.7807, 32.7807) * CHOOSE(CONTROL!$C$21, $C$9, 100%, $E$9)</f>
        <v>32.780700000000003</v>
      </c>
      <c r="L554" s="17">
        <f>CHOOSE(CONTROL!$C$42, 33.3929, 33.3929) * CHOOSE(CONTROL!$C$21, $C$9, 100%, $E$9)</f>
        <v>33.392899999999997</v>
      </c>
      <c r="M554" s="17">
        <f>CHOOSE(CONTROL!$C$42, 32.0925, 32.0925) * CHOOSE(CONTROL!$C$21, $C$9, 100%, $E$9)</f>
        <v>32.092500000000001</v>
      </c>
      <c r="N554" s="17">
        <f>CHOOSE(CONTROL!$C$42, 32.109, 32.109) * CHOOSE(CONTROL!$C$21, $C$9, 100%, $E$9)</f>
        <v>32.109000000000002</v>
      </c>
      <c r="O554" s="17">
        <f>CHOOSE(CONTROL!$C$42, 32.2235, 32.2235) * CHOOSE(CONTROL!$C$21, $C$9, 100%, $E$9)</f>
        <v>32.223500000000001</v>
      </c>
      <c r="P554" s="17">
        <f>CHOOSE(CONTROL!$C$42, 32.2012, 32.2012) * CHOOSE(CONTROL!$C$21, $C$9, 100%, $E$9)</f>
        <v>32.2012</v>
      </c>
      <c r="Q554" s="17">
        <f>CHOOSE(CONTROL!$C$42, 32.8182, 32.8182) * CHOOSE(CONTROL!$C$21, $C$9, 100%, $E$9)</f>
        <v>32.818199999999997</v>
      </c>
      <c r="R554" s="17">
        <f>CHOOSE(CONTROL!$C$42, 33.4873, 33.4873) * CHOOSE(CONTROL!$C$21, $C$9, 100%, $E$9)</f>
        <v>33.487299999999998</v>
      </c>
      <c r="S554" s="17">
        <f>CHOOSE(CONTROL!$C$42, 31.3736, 31.3736) * CHOOSE(CONTROL!$C$21, $C$9, 100%, $E$9)</f>
        <v>31.3736</v>
      </c>
      <c r="T55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54" s="56">
        <f>(1000*CHOOSE(CONTROL!$C$42, 695, 695)*CHOOSE(CONTROL!$C$42, 0.5599, 0.5599)*CHOOSE(CONTROL!$C$42, 28, 28))/1000000</f>
        <v>10.895653999999999</v>
      </c>
      <c r="V554" s="56">
        <f>(1000*CHOOSE(CONTROL!$C$42, 500, 500)*CHOOSE(CONTROL!$C$42, 0.275, 0.275)*CHOOSE(CONTROL!$C$42, 28, 28))/1000000</f>
        <v>3.85</v>
      </c>
      <c r="W554" s="56">
        <f>(1000*CHOOSE(CONTROL!$C$42, 0.1146, 0.1146)*CHOOSE(CONTROL!$C$42, 121.5, 121.5)*CHOOSE(CONTROL!$C$42, 28, 28))/1000000</f>
        <v>0.38986920000000003</v>
      </c>
      <c r="X554" s="56">
        <f>(28*0.2374*100000/1000000)</f>
        <v>0.66471999999999998</v>
      </c>
      <c r="Y554" s="56"/>
      <c r="Z554" s="17"/>
      <c r="AA554" s="55"/>
      <c r="AB554" s="48">
        <f>(B554*122.58+C554*297.941+D554*89.177+E554*140.302+F554*40+G554*60+H554*0+I554*100+J554*300)/(122.58+297.941+89.177+140.302+0+40+60+100+300)</f>
        <v>32.706264051913038</v>
      </c>
      <c r="AC554" s="45">
        <f>(M554*'RAP TEMPLATE-GAS AVAILABILITY'!O553+N554*'RAP TEMPLATE-GAS AVAILABILITY'!P553+O554*'RAP TEMPLATE-GAS AVAILABILITY'!Q553+P554*'RAP TEMPLATE-GAS AVAILABILITY'!R553)/('RAP TEMPLATE-GAS AVAILABILITY'!O553+'RAP TEMPLATE-GAS AVAILABILITY'!P553+'RAP TEMPLATE-GAS AVAILABILITY'!Q553+'RAP TEMPLATE-GAS AVAILABILITY'!R553)</f>
        <v>32.168464028776981</v>
      </c>
    </row>
    <row r="555" spans="1:29" ht="15.75" x14ac:dyDescent="0.25">
      <c r="A555" s="13">
        <v>57800</v>
      </c>
      <c r="B555" s="17">
        <f>CHOOSE(CONTROL!$C$42, 31.7321, 31.7321) * CHOOSE(CONTROL!$C$21, $C$9, 100%, $E$9)</f>
        <v>31.732099999999999</v>
      </c>
      <c r="C555" s="17">
        <f>CHOOSE(CONTROL!$C$42, 31.7372, 31.7372) * CHOOSE(CONTROL!$C$21, $C$9, 100%, $E$9)</f>
        <v>31.737200000000001</v>
      </c>
      <c r="D555" s="17">
        <f>CHOOSE(CONTROL!$C$42, 31.8556, 31.8556) * CHOOSE(CONTROL!$C$21, $C$9, 100%, $E$9)</f>
        <v>31.855599999999999</v>
      </c>
      <c r="E555" s="17">
        <f>CHOOSE(CONTROL!$C$42, 31.8898, 31.8898) * CHOOSE(CONTROL!$C$21, $C$9, 100%, $E$9)</f>
        <v>31.889800000000001</v>
      </c>
      <c r="F555" s="17">
        <f>CHOOSE(CONTROL!$C$42, 31.7518, 31.7518)*CHOOSE(CONTROL!$C$21, $C$9, 100%, $E$9)</f>
        <v>31.751799999999999</v>
      </c>
      <c r="G555" s="17">
        <f>CHOOSE(CONTROL!$C$42, 31.7685, 31.7685)*CHOOSE(CONTROL!$C$21, $C$9, 100%, $E$9)</f>
        <v>31.7685</v>
      </c>
      <c r="H555" s="17">
        <f>CHOOSE(CONTROL!$C$42, 31.8789, 31.8789) * CHOOSE(CONTROL!$C$21, $C$9, 100%, $E$9)</f>
        <v>31.878900000000002</v>
      </c>
      <c r="I555" s="17">
        <f>CHOOSE(CONTROL!$C$42, 31.8551, 31.8551)* CHOOSE(CONTROL!$C$21, $C$9, 100%, $E$9)</f>
        <v>31.8551</v>
      </c>
      <c r="J555" s="17">
        <f>CHOOSE(CONTROL!$C$42, 31.7448, 31.7448)* CHOOSE(CONTROL!$C$21, $C$9, 100%, $E$9)</f>
        <v>31.744800000000001</v>
      </c>
      <c r="K555" s="52">
        <f>CHOOSE(CONTROL!$C$42, 31.8509, 31.8509) * CHOOSE(CONTROL!$C$21, $C$9, 100%, $E$9)</f>
        <v>31.850899999999999</v>
      </c>
      <c r="L555" s="17">
        <f>CHOOSE(CONTROL!$C$42, 32.4659, 32.4659) * CHOOSE(CONTROL!$C$21, $C$9, 100%, $E$9)</f>
        <v>32.465899999999998</v>
      </c>
      <c r="M555" s="17">
        <f>CHOOSE(CONTROL!$C$42, 31.1815, 31.1815) * CHOOSE(CONTROL!$C$21, $C$9, 100%, $E$9)</f>
        <v>31.1815</v>
      </c>
      <c r="N555" s="17">
        <f>CHOOSE(CONTROL!$C$42, 31.1979, 31.1979) * CHOOSE(CONTROL!$C$21, $C$9, 100%, $E$9)</f>
        <v>31.197900000000001</v>
      </c>
      <c r="O555" s="17">
        <f>CHOOSE(CONTROL!$C$42, 31.3132, 31.3132) * CHOOSE(CONTROL!$C$21, $C$9, 100%, $E$9)</f>
        <v>31.313199999999998</v>
      </c>
      <c r="P555" s="17">
        <f>CHOOSE(CONTROL!$C$42, 31.2882, 31.2882) * CHOOSE(CONTROL!$C$21, $C$9, 100%, $E$9)</f>
        <v>31.2882</v>
      </c>
      <c r="Q555" s="17">
        <f>CHOOSE(CONTROL!$C$42, 31.9079, 31.9079) * CHOOSE(CONTROL!$C$21, $C$9, 100%, $E$9)</f>
        <v>31.907900000000001</v>
      </c>
      <c r="R555" s="17">
        <f>CHOOSE(CONTROL!$C$42, 32.5747, 32.5747) * CHOOSE(CONTROL!$C$21, $C$9, 100%, $E$9)</f>
        <v>32.5747</v>
      </c>
      <c r="S555" s="17">
        <f>CHOOSE(CONTROL!$C$42, 30.4829, 30.4829) * CHOOSE(CONTROL!$C$21, $C$9, 100%, $E$9)</f>
        <v>30.482900000000001</v>
      </c>
      <c r="T55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55" s="56">
        <f>(1000*CHOOSE(CONTROL!$C$42, 695, 695)*CHOOSE(CONTROL!$C$42, 0.5599, 0.5599)*CHOOSE(CONTROL!$C$42, 31, 31))/1000000</f>
        <v>12.063045499999998</v>
      </c>
      <c r="V555" s="56">
        <f>(1000*CHOOSE(CONTROL!$C$42, 500, 500)*CHOOSE(CONTROL!$C$42, 0.275, 0.275)*CHOOSE(CONTROL!$C$42, 31, 31))/1000000</f>
        <v>4.2625000000000002</v>
      </c>
      <c r="W555" s="56">
        <f>(1000*CHOOSE(CONTROL!$C$42, 0.1146, 0.1146)*CHOOSE(CONTROL!$C$42, 121.5, 121.5)*CHOOSE(CONTROL!$C$42, 31, 31))/1000000</f>
        <v>0.43164089999999994</v>
      </c>
      <c r="X555" s="56">
        <f>(31*0.2374*100000/1000000)</f>
        <v>0.73594000000000004</v>
      </c>
      <c r="Y555" s="56"/>
      <c r="Z555" s="17"/>
      <c r="AA555" s="55"/>
      <c r="AB555" s="48">
        <f>(B555*122.58+C555*297.941+D555*89.177+E555*140.302+F555*40+G555*60+H555*0+I555*100+J555*300)/(122.58+297.941+89.177+140.302+0+40+60+100+300)</f>
        <v>31.778830855652178</v>
      </c>
      <c r="AC555" s="45">
        <f>(M555*'RAP TEMPLATE-GAS AVAILABILITY'!O554+N555*'RAP TEMPLATE-GAS AVAILABILITY'!P554+O555*'RAP TEMPLATE-GAS AVAILABILITY'!Q554+P555*'RAP TEMPLATE-GAS AVAILABILITY'!R554)/('RAP TEMPLATE-GAS AVAILABILITY'!O554+'RAP TEMPLATE-GAS AVAILABILITY'!P554+'RAP TEMPLATE-GAS AVAILABILITY'!Q554+'RAP TEMPLATE-GAS AVAILABILITY'!R554)</f>
        <v>31.25748776978417</v>
      </c>
    </row>
    <row r="556" spans="1:29" ht="15.75" x14ac:dyDescent="0.25">
      <c r="A556" s="13">
        <v>57830</v>
      </c>
      <c r="B556" s="17">
        <f>CHOOSE(CONTROL!$C$42, 31.6382, 31.6382) * CHOOSE(CONTROL!$C$21, $C$9, 100%, $E$9)</f>
        <v>31.638200000000001</v>
      </c>
      <c r="C556" s="17">
        <f>CHOOSE(CONTROL!$C$42, 31.6426, 31.6426) * CHOOSE(CONTROL!$C$21, $C$9, 100%, $E$9)</f>
        <v>31.642600000000002</v>
      </c>
      <c r="D556" s="17">
        <f>CHOOSE(CONTROL!$C$42, 31.9168, 31.9168) * CHOOSE(CONTROL!$C$21, $C$9, 100%, $E$9)</f>
        <v>31.916799999999999</v>
      </c>
      <c r="E556" s="17">
        <f>CHOOSE(CONTROL!$C$42, 31.9489, 31.9489) * CHOOSE(CONTROL!$C$21, $C$9, 100%, $E$9)</f>
        <v>31.948899999999998</v>
      </c>
      <c r="F556" s="17">
        <f>CHOOSE(CONTROL!$C$42, 31.6575, 31.6575)*CHOOSE(CONTROL!$C$21, $C$9, 100%, $E$9)</f>
        <v>31.657499999999999</v>
      </c>
      <c r="G556" s="17">
        <f>CHOOSE(CONTROL!$C$42, 31.6738, 31.6738)*CHOOSE(CONTROL!$C$21, $C$9, 100%, $E$9)</f>
        <v>31.6738</v>
      </c>
      <c r="H556" s="17">
        <f>CHOOSE(CONTROL!$C$42, 31.9387, 31.9387) * CHOOSE(CONTROL!$C$21, $C$9, 100%, $E$9)</f>
        <v>31.938700000000001</v>
      </c>
      <c r="I556" s="17">
        <f>CHOOSE(CONTROL!$C$42, 31.7585, 31.7585)* CHOOSE(CONTROL!$C$21, $C$9, 100%, $E$9)</f>
        <v>31.758500000000002</v>
      </c>
      <c r="J556" s="17">
        <f>CHOOSE(CONTROL!$C$42, 31.6505, 31.6505)* CHOOSE(CONTROL!$C$21, $C$9, 100%, $E$9)</f>
        <v>31.650500000000001</v>
      </c>
      <c r="K556" s="52">
        <f>CHOOSE(CONTROL!$C$42, 31.7543, 31.7543) * CHOOSE(CONTROL!$C$21, $C$9, 100%, $E$9)</f>
        <v>31.754300000000001</v>
      </c>
      <c r="L556" s="17">
        <f>CHOOSE(CONTROL!$C$42, 32.5257, 32.5257) * CHOOSE(CONTROL!$C$21, $C$9, 100%, $E$9)</f>
        <v>32.525700000000001</v>
      </c>
      <c r="M556" s="17">
        <f>CHOOSE(CONTROL!$C$42, 31.0889, 31.0889) * CHOOSE(CONTROL!$C$21, $C$9, 100%, $E$9)</f>
        <v>31.088899999999999</v>
      </c>
      <c r="N556" s="17">
        <f>CHOOSE(CONTROL!$C$42, 31.1049, 31.1049) * CHOOSE(CONTROL!$C$21, $C$9, 100%, $E$9)</f>
        <v>31.104900000000001</v>
      </c>
      <c r="O556" s="17">
        <f>CHOOSE(CONTROL!$C$42, 31.372, 31.372) * CHOOSE(CONTROL!$C$21, $C$9, 100%, $E$9)</f>
        <v>31.372</v>
      </c>
      <c r="P556" s="17">
        <f>CHOOSE(CONTROL!$C$42, 31.1933, 31.1933) * CHOOSE(CONTROL!$C$21, $C$9, 100%, $E$9)</f>
        <v>31.193300000000001</v>
      </c>
      <c r="Q556" s="17">
        <f>CHOOSE(CONTROL!$C$42, 31.9667, 31.9667) * CHOOSE(CONTROL!$C$21, $C$9, 100%, $E$9)</f>
        <v>31.966699999999999</v>
      </c>
      <c r="R556" s="17">
        <f>CHOOSE(CONTROL!$C$42, 32.6336, 32.6336) * CHOOSE(CONTROL!$C$21, $C$9, 100%, $E$9)</f>
        <v>32.633600000000001</v>
      </c>
      <c r="S556" s="17">
        <f>CHOOSE(CONTROL!$C$42, 30.3918, 30.3918) * CHOOSE(CONTROL!$C$21, $C$9, 100%, $E$9)</f>
        <v>30.3918</v>
      </c>
      <c r="T55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56" s="56">
        <f>(1000*CHOOSE(CONTROL!$C$42, 695, 695)*CHOOSE(CONTROL!$C$42, 0.5599, 0.5599)*CHOOSE(CONTROL!$C$42, 30, 30))/1000000</f>
        <v>11.673914999999997</v>
      </c>
      <c r="V556" s="56">
        <f>(1000*CHOOSE(CONTROL!$C$42, 500, 500)*CHOOSE(CONTROL!$C$42, 0.275, 0.275)*CHOOSE(CONTROL!$C$42, 30, 30))/1000000</f>
        <v>4.125</v>
      </c>
      <c r="W556" s="56">
        <f>(1000*CHOOSE(CONTROL!$C$42, 0.1146, 0.1146)*CHOOSE(CONTROL!$C$42, 121.5, 121.5)*CHOOSE(CONTROL!$C$42, 30, 30))/1000000</f>
        <v>0.417717</v>
      </c>
      <c r="X556" s="56">
        <f>(30*0.1790888*145000/1000000)+(30*0.2374*100000/1000000)</f>
        <v>1.4912362799999999</v>
      </c>
      <c r="Y556" s="56"/>
      <c r="Z556" s="17"/>
      <c r="AA556" s="55"/>
      <c r="AB556" s="48">
        <f>(B556*141.293+C556*267.993+D556*115.016+E556*189.698+F556*40+G556*85+H556*0+I556*100+J556*300)/(141.293+267.993+115.016+189.698+0+40+85+100+300)</f>
        <v>31.728337042292171</v>
      </c>
      <c r="AC556" s="45">
        <f>(M556*'RAP TEMPLATE-GAS AVAILABILITY'!O555+N556*'RAP TEMPLATE-GAS AVAILABILITY'!P555+O556*'RAP TEMPLATE-GAS AVAILABILITY'!Q555+P556*'RAP TEMPLATE-GAS AVAILABILITY'!R555)/('RAP TEMPLATE-GAS AVAILABILITY'!O555+'RAP TEMPLATE-GAS AVAILABILITY'!P555+'RAP TEMPLATE-GAS AVAILABILITY'!Q555+'RAP TEMPLATE-GAS AVAILABILITY'!R555)</f>
        <v>31.187035971223018</v>
      </c>
    </row>
    <row r="557" spans="1:29" ht="15.75" x14ac:dyDescent="0.25">
      <c r="A557" s="13">
        <v>57861</v>
      </c>
      <c r="B557" s="17">
        <f>CHOOSE(CONTROL!$C$42, 31.9187, 31.9187) * CHOOSE(CONTROL!$C$21, $C$9, 100%, $E$9)</f>
        <v>31.918700000000001</v>
      </c>
      <c r="C557" s="17">
        <f>CHOOSE(CONTROL!$C$42, 31.9267, 31.9267) * CHOOSE(CONTROL!$C$21, $C$9, 100%, $E$9)</f>
        <v>31.9267</v>
      </c>
      <c r="D557" s="17">
        <f>CHOOSE(CONTROL!$C$42, 32.1978, 32.1978) * CHOOSE(CONTROL!$C$21, $C$9, 100%, $E$9)</f>
        <v>32.197800000000001</v>
      </c>
      <c r="E557" s="17">
        <f>CHOOSE(CONTROL!$C$42, 32.2293, 32.2293) * CHOOSE(CONTROL!$C$21, $C$9, 100%, $E$9)</f>
        <v>32.229300000000002</v>
      </c>
      <c r="F557" s="17">
        <f>CHOOSE(CONTROL!$C$42, 31.9369, 31.9369)*CHOOSE(CONTROL!$C$21, $C$9, 100%, $E$9)</f>
        <v>31.936900000000001</v>
      </c>
      <c r="G557" s="17">
        <f>CHOOSE(CONTROL!$C$42, 31.9535, 31.9535)*CHOOSE(CONTROL!$C$21, $C$9, 100%, $E$9)</f>
        <v>31.953499999999998</v>
      </c>
      <c r="H557" s="17">
        <f>CHOOSE(CONTROL!$C$42, 32.2179, 32.2179) * CHOOSE(CONTROL!$C$21, $C$9, 100%, $E$9)</f>
        <v>32.2179</v>
      </c>
      <c r="I557" s="17">
        <f>CHOOSE(CONTROL!$C$42, 32.0385, 32.0385)* CHOOSE(CONTROL!$C$21, $C$9, 100%, $E$9)</f>
        <v>32.038499999999999</v>
      </c>
      <c r="J557" s="17">
        <f>CHOOSE(CONTROL!$C$42, 31.9299, 31.9299)* CHOOSE(CONTROL!$C$21, $C$9, 100%, $E$9)</f>
        <v>31.9299</v>
      </c>
      <c r="K557" s="52">
        <f>CHOOSE(CONTROL!$C$42, 32.0343, 32.0343) * CHOOSE(CONTROL!$C$21, $C$9, 100%, $E$9)</f>
        <v>32.034300000000002</v>
      </c>
      <c r="L557" s="17">
        <f>CHOOSE(CONTROL!$C$42, 32.8049, 32.8049) * CHOOSE(CONTROL!$C$21, $C$9, 100%, $E$9)</f>
        <v>32.804900000000004</v>
      </c>
      <c r="M557" s="17">
        <f>CHOOSE(CONTROL!$C$42, 31.3632, 31.3632) * CHOOSE(CONTROL!$C$21, $C$9, 100%, $E$9)</f>
        <v>31.363199999999999</v>
      </c>
      <c r="N557" s="17">
        <f>CHOOSE(CONTROL!$C$42, 31.3796, 31.3796) * CHOOSE(CONTROL!$C$21, $C$9, 100%, $E$9)</f>
        <v>31.3796</v>
      </c>
      <c r="O557" s="17">
        <f>CHOOSE(CONTROL!$C$42, 31.6461, 31.6461) * CHOOSE(CONTROL!$C$21, $C$9, 100%, $E$9)</f>
        <v>31.646100000000001</v>
      </c>
      <c r="P557" s="17">
        <f>CHOOSE(CONTROL!$C$42, 31.4683, 31.4683) * CHOOSE(CONTROL!$C$21, $C$9, 100%, $E$9)</f>
        <v>31.468299999999999</v>
      </c>
      <c r="Q557" s="17">
        <f>CHOOSE(CONTROL!$C$42, 32.2408, 32.2408) * CHOOSE(CONTROL!$C$21, $C$9, 100%, $E$9)</f>
        <v>32.2408</v>
      </c>
      <c r="R557" s="17">
        <f>CHOOSE(CONTROL!$C$42, 32.9084, 32.9084) * CHOOSE(CONTROL!$C$21, $C$9, 100%, $E$9)</f>
        <v>32.9084</v>
      </c>
      <c r="S557" s="17">
        <f>CHOOSE(CONTROL!$C$42, 30.66, 30.66) * CHOOSE(CONTROL!$C$21, $C$9, 100%, $E$9)</f>
        <v>30.66</v>
      </c>
      <c r="T55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57" s="56">
        <f>(1000*CHOOSE(CONTROL!$C$42, 695, 695)*CHOOSE(CONTROL!$C$42, 0.5599, 0.5599)*CHOOSE(CONTROL!$C$42, 31, 31))/1000000</f>
        <v>12.063045499999998</v>
      </c>
      <c r="V557" s="56">
        <f>(1000*CHOOSE(CONTROL!$C$42, 500, 500)*CHOOSE(CONTROL!$C$42, 0.275, 0.275)*CHOOSE(CONTROL!$C$42, 31, 31))/1000000</f>
        <v>4.2625000000000002</v>
      </c>
      <c r="W557" s="56">
        <f>(1000*CHOOSE(CONTROL!$C$42, 0.1146, 0.1146)*CHOOSE(CONTROL!$C$42, 121.5, 121.5)*CHOOSE(CONTROL!$C$42, 31, 31))/1000000</f>
        <v>0.43164089999999994</v>
      </c>
      <c r="X557" s="56">
        <f>(31*0.1790888*145000/1000000)+(31*0.2374*100000/1000000)</f>
        <v>1.5409441560000001</v>
      </c>
      <c r="Y557" s="56"/>
      <c r="Z557" s="17"/>
      <c r="AA557" s="55"/>
      <c r="AB557" s="48">
        <f>(B557*194.205+C557*267.466+D557*133.845+E557*153.484+F557*40+G557*85+H557*0+I557*100+J557*300)/(194.205+267.466+133.845+153.484+0+40+85+100+300)</f>
        <v>32.002054786420722</v>
      </c>
      <c r="AC557" s="45">
        <f>(M557*'RAP TEMPLATE-GAS AVAILABILITY'!O556+N557*'RAP TEMPLATE-GAS AVAILABILITY'!P556+O557*'RAP TEMPLATE-GAS AVAILABILITY'!Q556+P557*'RAP TEMPLATE-GAS AVAILABILITY'!R556)/('RAP TEMPLATE-GAS AVAILABILITY'!O556+'RAP TEMPLATE-GAS AVAILABILITY'!P556+'RAP TEMPLATE-GAS AVAILABILITY'!Q556+'RAP TEMPLATE-GAS AVAILABILITY'!R556)</f>
        <v>31.461472661870502</v>
      </c>
    </row>
    <row r="558" spans="1:29" ht="15.75" x14ac:dyDescent="0.25">
      <c r="A558" s="13">
        <v>57891</v>
      </c>
      <c r="B558" s="17">
        <f>CHOOSE(CONTROL!$C$42, 32.8238, 32.8238) * CHOOSE(CONTROL!$C$21, $C$9, 100%, $E$9)</f>
        <v>32.823799999999999</v>
      </c>
      <c r="C558" s="17">
        <f>CHOOSE(CONTROL!$C$42, 32.8318, 32.8318) * CHOOSE(CONTROL!$C$21, $C$9, 100%, $E$9)</f>
        <v>32.831800000000001</v>
      </c>
      <c r="D558" s="17">
        <f>CHOOSE(CONTROL!$C$42, 33.1029, 33.1029) * CHOOSE(CONTROL!$C$21, $C$9, 100%, $E$9)</f>
        <v>33.102899999999998</v>
      </c>
      <c r="E558" s="17">
        <f>CHOOSE(CONTROL!$C$42, 33.1343, 33.1343) * CHOOSE(CONTROL!$C$21, $C$9, 100%, $E$9)</f>
        <v>33.134300000000003</v>
      </c>
      <c r="F558" s="17">
        <f>CHOOSE(CONTROL!$C$42, 32.8422, 32.8422)*CHOOSE(CONTROL!$C$21, $C$9, 100%, $E$9)</f>
        <v>32.842199999999998</v>
      </c>
      <c r="G558" s="17">
        <f>CHOOSE(CONTROL!$C$42, 32.8589, 32.8589)*CHOOSE(CONTROL!$C$21, $C$9, 100%, $E$9)</f>
        <v>32.858899999999998</v>
      </c>
      <c r="H558" s="17">
        <f>CHOOSE(CONTROL!$C$42, 33.123, 33.123) * CHOOSE(CONTROL!$C$21, $C$9, 100%, $E$9)</f>
        <v>33.122999999999998</v>
      </c>
      <c r="I558" s="17">
        <f>CHOOSE(CONTROL!$C$42, 32.9464, 32.9464)* CHOOSE(CONTROL!$C$21, $C$9, 100%, $E$9)</f>
        <v>32.946399999999997</v>
      </c>
      <c r="J558" s="17">
        <f>CHOOSE(CONTROL!$C$42, 32.8352, 32.8352)* CHOOSE(CONTROL!$C$21, $C$9, 100%, $E$9)</f>
        <v>32.8352</v>
      </c>
      <c r="K558" s="52">
        <f>CHOOSE(CONTROL!$C$42, 32.9422, 32.9422) * CHOOSE(CONTROL!$C$21, $C$9, 100%, $E$9)</f>
        <v>32.9422</v>
      </c>
      <c r="L558" s="17">
        <f>CHOOSE(CONTROL!$C$42, 33.71, 33.71) * CHOOSE(CONTROL!$C$21, $C$9, 100%, $E$9)</f>
        <v>33.71</v>
      </c>
      <c r="M558" s="17">
        <f>CHOOSE(CONTROL!$C$42, 32.2523, 32.2523) * CHOOSE(CONTROL!$C$21, $C$9, 100%, $E$9)</f>
        <v>32.252299999999998</v>
      </c>
      <c r="N558" s="17">
        <f>CHOOSE(CONTROL!$C$42, 32.2687, 32.2687) * CHOOSE(CONTROL!$C$21, $C$9, 100%, $E$9)</f>
        <v>32.268700000000003</v>
      </c>
      <c r="O558" s="17">
        <f>CHOOSE(CONTROL!$C$42, 32.5349, 32.5349) * CHOOSE(CONTROL!$C$21, $C$9, 100%, $E$9)</f>
        <v>32.5349</v>
      </c>
      <c r="P558" s="17">
        <f>CHOOSE(CONTROL!$C$42, 32.3598, 32.3598) * CHOOSE(CONTROL!$C$21, $C$9, 100%, $E$9)</f>
        <v>32.3598</v>
      </c>
      <c r="Q558" s="17">
        <f>CHOOSE(CONTROL!$C$42, 33.1296, 33.1296) * CHOOSE(CONTROL!$C$21, $C$9, 100%, $E$9)</f>
        <v>33.129600000000003</v>
      </c>
      <c r="R558" s="17">
        <f>CHOOSE(CONTROL!$C$42, 33.7994, 33.7994) * CHOOSE(CONTROL!$C$21, $C$9, 100%, $E$9)</f>
        <v>33.799399999999999</v>
      </c>
      <c r="S558" s="17">
        <f>CHOOSE(CONTROL!$C$42, 31.5297, 31.5297) * CHOOSE(CONTROL!$C$21, $C$9, 100%, $E$9)</f>
        <v>31.529699999999998</v>
      </c>
      <c r="T55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58" s="56">
        <f>(1000*CHOOSE(CONTROL!$C$42, 695, 695)*CHOOSE(CONTROL!$C$42, 0.5599, 0.5599)*CHOOSE(CONTROL!$C$42, 30, 30))/1000000</f>
        <v>11.673914999999997</v>
      </c>
      <c r="V558" s="56">
        <f>(1000*CHOOSE(CONTROL!$C$42, 500, 500)*CHOOSE(CONTROL!$C$42, 0.275, 0.275)*CHOOSE(CONTROL!$C$42, 30, 30))/1000000</f>
        <v>4.125</v>
      </c>
      <c r="W558" s="56">
        <f>(1000*CHOOSE(CONTROL!$C$42, 0.1146, 0.1146)*CHOOSE(CONTROL!$C$42, 121.5, 121.5)*CHOOSE(CONTROL!$C$42, 30, 30))/1000000</f>
        <v>0.417717</v>
      </c>
      <c r="X558" s="56">
        <f>(30*0.1790888*145000/1000000)+(30*0.2374*100000/1000000)</f>
        <v>1.4912362799999999</v>
      </c>
      <c r="Y558" s="56"/>
      <c r="Z558" s="17"/>
      <c r="AA558" s="55"/>
      <c r="AB558" s="48">
        <f>(B558*194.205+C558*267.466+D558*133.845+E558*153.484+F558*40+G558*85+H558*0+I558*100+J558*300)/(194.205+267.466+133.845+153.484+0+40+85+100+300)</f>
        <v>32.907435910125585</v>
      </c>
      <c r="AC558" s="45">
        <f>(M558*'RAP TEMPLATE-GAS AVAILABILITY'!O557+N558*'RAP TEMPLATE-GAS AVAILABILITY'!P557+O558*'RAP TEMPLATE-GAS AVAILABILITY'!Q557+P558*'RAP TEMPLATE-GAS AVAILABILITY'!R557)/('RAP TEMPLATE-GAS AVAILABILITY'!O557+'RAP TEMPLATE-GAS AVAILABILITY'!P557+'RAP TEMPLATE-GAS AVAILABILITY'!Q557+'RAP TEMPLATE-GAS AVAILABILITY'!R557)</f>
        <v>32.350833812949638</v>
      </c>
    </row>
    <row r="559" spans="1:29" ht="15.75" x14ac:dyDescent="0.25">
      <c r="A559" s="13">
        <v>57922</v>
      </c>
      <c r="B559" s="17">
        <f>CHOOSE(CONTROL!$C$42, 32.1943, 32.1943) * CHOOSE(CONTROL!$C$21, $C$9, 100%, $E$9)</f>
        <v>32.194299999999998</v>
      </c>
      <c r="C559" s="17">
        <f>CHOOSE(CONTROL!$C$42, 32.2023, 32.2023) * CHOOSE(CONTROL!$C$21, $C$9, 100%, $E$9)</f>
        <v>32.202300000000001</v>
      </c>
      <c r="D559" s="17">
        <f>CHOOSE(CONTROL!$C$42, 32.4734, 32.4734) * CHOOSE(CONTROL!$C$21, $C$9, 100%, $E$9)</f>
        <v>32.473399999999998</v>
      </c>
      <c r="E559" s="17">
        <f>CHOOSE(CONTROL!$C$42, 32.5048, 32.5048) * CHOOSE(CONTROL!$C$21, $C$9, 100%, $E$9)</f>
        <v>32.504800000000003</v>
      </c>
      <c r="F559" s="17">
        <f>CHOOSE(CONTROL!$C$42, 32.2132, 32.2132)*CHOOSE(CONTROL!$C$21, $C$9, 100%, $E$9)</f>
        <v>32.213200000000001</v>
      </c>
      <c r="G559" s="17">
        <f>CHOOSE(CONTROL!$C$42, 32.23, 32.23)*CHOOSE(CONTROL!$C$21, $C$9, 100%, $E$9)</f>
        <v>32.229999999999997</v>
      </c>
      <c r="H559" s="17">
        <f>CHOOSE(CONTROL!$C$42, 32.4935, 32.4935) * CHOOSE(CONTROL!$C$21, $C$9, 100%, $E$9)</f>
        <v>32.493499999999997</v>
      </c>
      <c r="I559" s="17">
        <f>CHOOSE(CONTROL!$C$42, 32.315, 32.315)* CHOOSE(CONTROL!$C$21, $C$9, 100%, $E$9)</f>
        <v>32.314999999999998</v>
      </c>
      <c r="J559" s="17">
        <f>CHOOSE(CONTROL!$C$42, 32.2062, 32.2062)* CHOOSE(CONTROL!$C$21, $C$9, 100%, $E$9)</f>
        <v>32.206200000000003</v>
      </c>
      <c r="K559" s="52">
        <f>CHOOSE(CONTROL!$C$42, 32.3108, 32.3108) * CHOOSE(CONTROL!$C$21, $C$9, 100%, $E$9)</f>
        <v>32.3108</v>
      </c>
      <c r="L559" s="17">
        <f>CHOOSE(CONTROL!$C$42, 33.0805, 33.0805) * CHOOSE(CONTROL!$C$21, $C$9, 100%, $E$9)</f>
        <v>33.080500000000001</v>
      </c>
      <c r="M559" s="17">
        <f>CHOOSE(CONTROL!$C$42, 31.6346, 31.6346) * CHOOSE(CONTROL!$C$21, $C$9, 100%, $E$9)</f>
        <v>31.634599999999999</v>
      </c>
      <c r="N559" s="17">
        <f>CHOOSE(CONTROL!$C$42, 31.6511, 31.6511) * CHOOSE(CONTROL!$C$21, $C$9, 100%, $E$9)</f>
        <v>31.6511</v>
      </c>
      <c r="O559" s="17">
        <f>CHOOSE(CONTROL!$C$42, 31.9167, 31.9167) * CHOOSE(CONTROL!$C$21, $C$9, 100%, $E$9)</f>
        <v>31.916699999999999</v>
      </c>
      <c r="P559" s="17">
        <f>CHOOSE(CONTROL!$C$42, 31.7397, 31.7397) * CHOOSE(CONTROL!$C$21, $C$9, 100%, $E$9)</f>
        <v>31.739699999999999</v>
      </c>
      <c r="Q559" s="17">
        <f>CHOOSE(CONTROL!$C$42, 32.5114, 32.5114) * CHOOSE(CONTROL!$C$21, $C$9, 100%, $E$9)</f>
        <v>32.511400000000002</v>
      </c>
      <c r="R559" s="17">
        <f>CHOOSE(CONTROL!$C$42, 33.1797, 33.1797) * CHOOSE(CONTROL!$C$21, $C$9, 100%, $E$9)</f>
        <v>33.179699999999997</v>
      </c>
      <c r="S559" s="17">
        <f>CHOOSE(CONTROL!$C$42, 30.9249, 30.9249) * CHOOSE(CONTROL!$C$21, $C$9, 100%, $E$9)</f>
        <v>30.924900000000001</v>
      </c>
      <c r="T55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59" s="56">
        <f>(1000*CHOOSE(CONTROL!$C$42, 695, 695)*CHOOSE(CONTROL!$C$42, 0.5599, 0.5599)*CHOOSE(CONTROL!$C$42, 31, 31))/1000000</f>
        <v>12.063045499999998</v>
      </c>
      <c r="V559" s="56">
        <f>(1000*CHOOSE(CONTROL!$C$42, 500, 500)*CHOOSE(CONTROL!$C$42, 0.275, 0.275)*CHOOSE(CONTROL!$C$42, 31, 31))/1000000</f>
        <v>4.2625000000000002</v>
      </c>
      <c r="W559" s="56">
        <f>(1000*CHOOSE(CONTROL!$C$42, 0.1146, 0.1146)*CHOOSE(CONTROL!$C$42, 121.5, 121.5)*CHOOSE(CONTROL!$C$42, 31, 31))/1000000</f>
        <v>0.43164089999999994</v>
      </c>
      <c r="X559" s="56">
        <f>(31*0.1790888*145000/1000000)+(31*0.2374*100000/1000000)</f>
        <v>1.5409441560000001</v>
      </c>
      <c r="Y559" s="56"/>
      <c r="Z559" s="17"/>
      <c r="AA559" s="55"/>
      <c r="AB559" s="48">
        <f>(B559*194.205+C559*267.466+D559*133.845+E559*153.484+F559*40+G559*85+H559*0+I559*100+J559*300)/(194.205+267.466+133.845+153.484+0+40+85+100+300)</f>
        <v>32.277960242935634</v>
      </c>
      <c r="AC559" s="45">
        <f>(M559*'RAP TEMPLATE-GAS AVAILABILITY'!O558+N559*'RAP TEMPLATE-GAS AVAILABILITY'!P558+O559*'RAP TEMPLATE-GAS AVAILABILITY'!Q558+P559*'RAP TEMPLATE-GAS AVAILABILITY'!R558)/('RAP TEMPLATE-GAS AVAILABILITY'!O558+'RAP TEMPLATE-GAS AVAILABILITY'!P558+'RAP TEMPLATE-GAS AVAILABILITY'!Q558+'RAP TEMPLATE-GAS AVAILABILITY'!R558)</f>
        <v>31.732671223021583</v>
      </c>
    </row>
    <row r="560" spans="1:29" ht="15.75" x14ac:dyDescent="0.25">
      <c r="A560" s="13">
        <v>57953</v>
      </c>
      <c r="B560" s="17">
        <f>CHOOSE(CONTROL!$C$42, 30.6046, 30.6046) * CHOOSE(CONTROL!$C$21, $C$9, 100%, $E$9)</f>
        <v>30.604600000000001</v>
      </c>
      <c r="C560" s="17">
        <f>CHOOSE(CONTROL!$C$42, 30.6127, 30.6127) * CHOOSE(CONTROL!$C$21, $C$9, 100%, $E$9)</f>
        <v>30.6127</v>
      </c>
      <c r="D560" s="17">
        <f>CHOOSE(CONTROL!$C$42, 30.8837, 30.8837) * CHOOSE(CONTROL!$C$21, $C$9, 100%, $E$9)</f>
        <v>30.883700000000001</v>
      </c>
      <c r="E560" s="17">
        <f>CHOOSE(CONTROL!$C$42, 30.9152, 30.9152) * CHOOSE(CONTROL!$C$21, $C$9, 100%, $E$9)</f>
        <v>30.915199999999999</v>
      </c>
      <c r="F560" s="17">
        <f>CHOOSE(CONTROL!$C$42, 30.6238, 30.6238)*CHOOSE(CONTROL!$C$21, $C$9, 100%, $E$9)</f>
        <v>30.623799999999999</v>
      </c>
      <c r="G560" s="17">
        <f>CHOOSE(CONTROL!$C$42, 30.6406, 30.6406)*CHOOSE(CONTROL!$C$21, $C$9, 100%, $E$9)</f>
        <v>30.640599999999999</v>
      </c>
      <c r="H560" s="17">
        <f>CHOOSE(CONTROL!$C$42, 30.9038, 30.9038) * CHOOSE(CONTROL!$C$21, $C$9, 100%, $E$9)</f>
        <v>30.9038</v>
      </c>
      <c r="I560" s="17">
        <f>CHOOSE(CONTROL!$C$42, 30.7204, 30.7204)* CHOOSE(CONTROL!$C$21, $C$9, 100%, $E$9)</f>
        <v>30.720400000000001</v>
      </c>
      <c r="J560" s="17">
        <f>CHOOSE(CONTROL!$C$42, 30.6168, 30.6168)* CHOOSE(CONTROL!$C$21, $C$9, 100%, $E$9)</f>
        <v>30.616800000000001</v>
      </c>
      <c r="K560" s="52">
        <f>CHOOSE(CONTROL!$C$42, 30.7161, 30.7161) * CHOOSE(CONTROL!$C$21, $C$9, 100%, $E$9)</f>
        <v>30.716100000000001</v>
      </c>
      <c r="L560" s="17">
        <f>CHOOSE(CONTROL!$C$42, 31.4908, 31.4908) * CHOOSE(CONTROL!$C$21, $C$9, 100%, $E$9)</f>
        <v>31.4908</v>
      </c>
      <c r="M560" s="17">
        <f>CHOOSE(CONTROL!$C$42, 30.0738, 30.0738) * CHOOSE(CONTROL!$C$21, $C$9, 100%, $E$9)</f>
        <v>30.073799999999999</v>
      </c>
      <c r="N560" s="17">
        <f>CHOOSE(CONTROL!$C$42, 30.0903, 30.0903) * CHOOSE(CONTROL!$C$21, $C$9, 100%, $E$9)</f>
        <v>30.090299999999999</v>
      </c>
      <c r="O560" s="17">
        <f>CHOOSE(CONTROL!$C$42, 30.3557, 30.3557) * CHOOSE(CONTROL!$C$21, $C$9, 100%, $E$9)</f>
        <v>30.355699999999999</v>
      </c>
      <c r="P560" s="17">
        <f>CHOOSE(CONTROL!$C$42, 30.1739, 30.1739) * CHOOSE(CONTROL!$C$21, $C$9, 100%, $E$9)</f>
        <v>30.1739</v>
      </c>
      <c r="Q560" s="17">
        <f>CHOOSE(CONTROL!$C$42, 30.9504, 30.9504) * CHOOSE(CONTROL!$C$21, $C$9, 100%, $E$9)</f>
        <v>30.950399999999998</v>
      </c>
      <c r="R560" s="17">
        <f>CHOOSE(CONTROL!$C$42, 31.6147, 31.6147) * CHOOSE(CONTROL!$C$21, $C$9, 100%, $E$9)</f>
        <v>31.614699999999999</v>
      </c>
      <c r="S560" s="17">
        <f>CHOOSE(CONTROL!$C$42, 29.3974, 29.3974) * CHOOSE(CONTROL!$C$21, $C$9, 100%, $E$9)</f>
        <v>29.397400000000001</v>
      </c>
      <c r="T56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60" s="56">
        <f>(1000*CHOOSE(CONTROL!$C$42, 695, 695)*CHOOSE(CONTROL!$C$42, 0.5599, 0.5599)*CHOOSE(CONTROL!$C$42, 31, 31))/1000000</f>
        <v>12.063045499999998</v>
      </c>
      <c r="V560" s="56">
        <f>(1000*CHOOSE(CONTROL!$C$42, 500, 500)*CHOOSE(CONTROL!$C$42, 0.275, 0.275)*CHOOSE(CONTROL!$C$42, 31, 31))/1000000</f>
        <v>4.2625000000000002</v>
      </c>
      <c r="W560" s="56">
        <f>(1000*CHOOSE(CONTROL!$C$42, 0.1146, 0.1146)*CHOOSE(CONTROL!$C$42, 121.5, 121.5)*CHOOSE(CONTROL!$C$42, 31, 31))/1000000</f>
        <v>0.43164089999999994</v>
      </c>
      <c r="X560" s="56">
        <f>(31*0.1790888*145000/1000000)+(31*0.2374*100000/1000000)</f>
        <v>1.5409441560000001</v>
      </c>
      <c r="Y560" s="56"/>
      <c r="Z560" s="17"/>
      <c r="AA560" s="55"/>
      <c r="AB560" s="48">
        <f>(B560*194.205+C560*267.466+D560*133.845+E560*153.484+F560*40+G560*85+H560*0+I560*100+J560*300)/(194.205+267.466+133.845+153.484+0+40+85+100+300)</f>
        <v>30.688008747645213</v>
      </c>
      <c r="AC560" s="45">
        <f>(M560*'RAP TEMPLATE-GAS AVAILABILITY'!O559+N560*'RAP TEMPLATE-GAS AVAILABILITY'!P559+O560*'RAP TEMPLATE-GAS AVAILABILITY'!Q559+P560*'RAP TEMPLATE-GAS AVAILABILITY'!R559)/('RAP TEMPLATE-GAS AVAILABILITY'!O559+'RAP TEMPLATE-GAS AVAILABILITY'!P559+'RAP TEMPLATE-GAS AVAILABILITY'!Q559+'RAP TEMPLATE-GAS AVAILABILITY'!R559)</f>
        <v>30.171095683453235</v>
      </c>
    </row>
    <row r="561" spans="1:29" ht="15.75" x14ac:dyDescent="0.25">
      <c r="A561" s="13">
        <v>57983</v>
      </c>
      <c r="B561" s="17">
        <f>CHOOSE(CONTROL!$C$42, 28.6621, 28.6621) * CHOOSE(CONTROL!$C$21, $C$9, 100%, $E$9)</f>
        <v>28.662099999999999</v>
      </c>
      <c r="C561" s="17">
        <f>CHOOSE(CONTROL!$C$42, 28.6702, 28.6702) * CHOOSE(CONTROL!$C$21, $C$9, 100%, $E$9)</f>
        <v>28.670200000000001</v>
      </c>
      <c r="D561" s="17">
        <f>CHOOSE(CONTROL!$C$42, 28.9412, 28.9412) * CHOOSE(CONTROL!$C$21, $C$9, 100%, $E$9)</f>
        <v>28.941199999999998</v>
      </c>
      <c r="E561" s="17">
        <f>CHOOSE(CONTROL!$C$42, 28.9727, 28.9727) * CHOOSE(CONTROL!$C$21, $C$9, 100%, $E$9)</f>
        <v>28.9727</v>
      </c>
      <c r="F561" s="17">
        <f>CHOOSE(CONTROL!$C$42, 28.6813, 28.6813)*CHOOSE(CONTROL!$C$21, $C$9, 100%, $E$9)</f>
        <v>28.6813</v>
      </c>
      <c r="G561" s="17">
        <f>CHOOSE(CONTROL!$C$42, 28.6982, 28.6982)*CHOOSE(CONTROL!$C$21, $C$9, 100%, $E$9)</f>
        <v>28.6982</v>
      </c>
      <c r="H561" s="17">
        <f>CHOOSE(CONTROL!$C$42, 28.9613, 28.9613) * CHOOSE(CONTROL!$C$21, $C$9, 100%, $E$9)</f>
        <v>28.961300000000001</v>
      </c>
      <c r="I561" s="17">
        <f>CHOOSE(CONTROL!$C$42, 28.7718, 28.7718)* CHOOSE(CONTROL!$C$21, $C$9, 100%, $E$9)</f>
        <v>28.771799999999999</v>
      </c>
      <c r="J561" s="17">
        <f>CHOOSE(CONTROL!$C$42, 28.6743, 28.6743)* CHOOSE(CONTROL!$C$21, $C$9, 100%, $E$9)</f>
        <v>28.674299999999999</v>
      </c>
      <c r="K561" s="52">
        <f>CHOOSE(CONTROL!$C$42, 28.7676, 28.7676) * CHOOSE(CONTROL!$C$21, $C$9, 100%, $E$9)</f>
        <v>28.767600000000002</v>
      </c>
      <c r="L561" s="17">
        <f>CHOOSE(CONTROL!$C$42, 29.5483, 29.5483) * CHOOSE(CONTROL!$C$21, $C$9, 100%, $E$9)</f>
        <v>29.548300000000001</v>
      </c>
      <c r="M561" s="17">
        <f>CHOOSE(CONTROL!$C$42, 28.1663, 28.1663) * CHOOSE(CONTROL!$C$21, $C$9, 100%, $E$9)</f>
        <v>28.1663</v>
      </c>
      <c r="N561" s="17">
        <f>CHOOSE(CONTROL!$C$42, 28.1829, 28.1829) * CHOOSE(CONTROL!$C$21, $C$9, 100%, $E$9)</f>
        <v>28.1829</v>
      </c>
      <c r="O561" s="17">
        <f>CHOOSE(CONTROL!$C$42, 28.4481, 28.4481) * CHOOSE(CONTROL!$C$21, $C$9, 100%, $E$9)</f>
        <v>28.4481</v>
      </c>
      <c r="P561" s="17">
        <f>CHOOSE(CONTROL!$C$42, 28.2604, 28.2604) * CHOOSE(CONTROL!$C$21, $C$9, 100%, $E$9)</f>
        <v>28.260400000000001</v>
      </c>
      <c r="Q561" s="17">
        <f>CHOOSE(CONTROL!$C$42, 29.0428, 29.0428) * CHOOSE(CONTROL!$C$21, $C$9, 100%, $E$9)</f>
        <v>29.0428</v>
      </c>
      <c r="R561" s="17">
        <f>CHOOSE(CONTROL!$C$42, 29.7024, 29.7024) * CHOOSE(CONTROL!$C$21, $C$9, 100%, $E$9)</f>
        <v>29.702400000000001</v>
      </c>
      <c r="S561" s="17">
        <f>CHOOSE(CONTROL!$C$42, 27.5308, 27.5308) * CHOOSE(CONTROL!$C$21, $C$9, 100%, $E$9)</f>
        <v>27.530799999999999</v>
      </c>
      <c r="T56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61" s="56">
        <f>(1000*CHOOSE(CONTROL!$C$42, 695, 695)*CHOOSE(CONTROL!$C$42, 0.5599, 0.5599)*CHOOSE(CONTROL!$C$42, 30, 30))/1000000</f>
        <v>11.673914999999997</v>
      </c>
      <c r="V561" s="56">
        <f>(1000*CHOOSE(CONTROL!$C$42, 500, 500)*CHOOSE(CONTROL!$C$42, 0.275, 0.275)*CHOOSE(CONTROL!$C$42, 30, 30))/1000000</f>
        <v>4.125</v>
      </c>
      <c r="W561" s="56">
        <f>(1000*CHOOSE(CONTROL!$C$42, 0.1146, 0.1146)*CHOOSE(CONTROL!$C$42, 121.5, 121.5)*CHOOSE(CONTROL!$C$42, 30, 30))/1000000</f>
        <v>0.417717</v>
      </c>
      <c r="X561" s="56">
        <f>(30*0.1790888*145000/1000000)+(30*0.2374*100000/1000000)</f>
        <v>1.4912362799999999</v>
      </c>
      <c r="Y561" s="56"/>
      <c r="Z561" s="17"/>
      <c r="AA561" s="55"/>
      <c r="AB561" s="48">
        <f>(B561*194.205+C561*267.466+D561*133.845+E561*153.484+F561*40+G561*85+H561*0+I561*100+J561*300)/(194.205+267.466+133.845+153.484+0+40+85+100+300)</f>
        <v>28.745036612637364</v>
      </c>
      <c r="AC561" s="45">
        <f>(M561*'RAP TEMPLATE-GAS AVAILABILITY'!O560+N561*'RAP TEMPLATE-GAS AVAILABILITY'!P560+O561*'RAP TEMPLATE-GAS AVAILABILITY'!Q560+P561*'RAP TEMPLATE-GAS AVAILABILITY'!R560)/('RAP TEMPLATE-GAS AVAILABILITY'!O560+'RAP TEMPLATE-GAS AVAILABILITY'!P560+'RAP TEMPLATE-GAS AVAILABILITY'!Q560+'RAP TEMPLATE-GAS AVAILABILITY'!R560)</f>
        <v>28.262727338129494</v>
      </c>
    </row>
    <row r="562" spans="1:29" ht="15.75" x14ac:dyDescent="0.25">
      <c r="A562" s="13">
        <v>58014</v>
      </c>
      <c r="B562" s="17">
        <f>CHOOSE(CONTROL!$C$42, 28.0787, 28.0787) * CHOOSE(CONTROL!$C$21, $C$9, 100%, $E$9)</f>
        <v>28.078700000000001</v>
      </c>
      <c r="C562" s="17">
        <f>CHOOSE(CONTROL!$C$42, 28.084, 28.084) * CHOOSE(CONTROL!$C$21, $C$9, 100%, $E$9)</f>
        <v>28.084</v>
      </c>
      <c r="D562" s="17">
        <f>CHOOSE(CONTROL!$C$42, 28.36, 28.36) * CHOOSE(CONTROL!$C$21, $C$9, 100%, $E$9)</f>
        <v>28.36</v>
      </c>
      <c r="E562" s="17">
        <f>CHOOSE(CONTROL!$C$42, 28.3891, 28.3891) * CHOOSE(CONTROL!$C$21, $C$9, 100%, $E$9)</f>
        <v>28.389099999999999</v>
      </c>
      <c r="F562" s="17">
        <f>CHOOSE(CONTROL!$C$42, 28.1001, 28.1001)*CHOOSE(CONTROL!$C$21, $C$9, 100%, $E$9)</f>
        <v>28.100100000000001</v>
      </c>
      <c r="G562" s="17">
        <f>CHOOSE(CONTROL!$C$42, 28.1169, 28.1169)*CHOOSE(CONTROL!$C$21, $C$9, 100%, $E$9)</f>
        <v>28.116900000000001</v>
      </c>
      <c r="H562" s="17">
        <f>CHOOSE(CONTROL!$C$42, 28.3796, 28.3796) * CHOOSE(CONTROL!$C$21, $C$9, 100%, $E$9)</f>
        <v>28.3796</v>
      </c>
      <c r="I562" s="17">
        <f>CHOOSE(CONTROL!$C$42, 28.1882, 28.1882)* CHOOSE(CONTROL!$C$21, $C$9, 100%, $E$9)</f>
        <v>28.188199999999998</v>
      </c>
      <c r="J562" s="17">
        <f>CHOOSE(CONTROL!$C$42, 28.0931, 28.0931)* CHOOSE(CONTROL!$C$21, $C$9, 100%, $E$9)</f>
        <v>28.0931</v>
      </c>
      <c r="K562" s="52">
        <f>CHOOSE(CONTROL!$C$42, 28.184, 28.184) * CHOOSE(CONTROL!$C$21, $C$9, 100%, $E$9)</f>
        <v>28.184000000000001</v>
      </c>
      <c r="L562" s="17">
        <f>CHOOSE(CONTROL!$C$42, 28.9666, 28.9666) * CHOOSE(CONTROL!$C$21, $C$9, 100%, $E$9)</f>
        <v>28.9666</v>
      </c>
      <c r="M562" s="17">
        <f>CHOOSE(CONTROL!$C$42, 27.5955, 27.5955) * CHOOSE(CONTROL!$C$21, $C$9, 100%, $E$9)</f>
        <v>27.595500000000001</v>
      </c>
      <c r="N562" s="17">
        <f>CHOOSE(CONTROL!$C$42, 27.612, 27.612) * CHOOSE(CONTROL!$C$21, $C$9, 100%, $E$9)</f>
        <v>27.611999999999998</v>
      </c>
      <c r="O562" s="17">
        <f>CHOOSE(CONTROL!$C$42, 27.8768, 27.8768) * CHOOSE(CONTROL!$C$21, $C$9, 100%, $E$9)</f>
        <v>27.876799999999999</v>
      </c>
      <c r="P562" s="17">
        <f>CHOOSE(CONTROL!$C$42, 27.6874, 27.6874) * CHOOSE(CONTROL!$C$21, $C$9, 100%, $E$9)</f>
        <v>27.6874</v>
      </c>
      <c r="Q562" s="17">
        <f>CHOOSE(CONTROL!$C$42, 28.4715, 28.4715) * CHOOSE(CONTROL!$C$21, $C$9, 100%, $E$9)</f>
        <v>28.471499999999999</v>
      </c>
      <c r="R562" s="17">
        <f>CHOOSE(CONTROL!$C$42, 29.1297, 29.1297) * CHOOSE(CONTROL!$C$21, $C$9, 100%, $E$9)</f>
        <v>29.1297</v>
      </c>
      <c r="S562" s="17">
        <f>CHOOSE(CONTROL!$C$42, 26.9719, 26.9719) * CHOOSE(CONTROL!$C$21, $C$9, 100%, $E$9)</f>
        <v>26.971900000000002</v>
      </c>
      <c r="T56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62" s="56">
        <f>(1000*CHOOSE(CONTROL!$C$42, 695, 695)*CHOOSE(CONTROL!$C$42, 0.5599, 0.5599)*CHOOSE(CONTROL!$C$42, 31, 31))/1000000</f>
        <v>12.063045499999998</v>
      </c>
      <c r="V562" s="56">
        <f>(1000*CHOOSE(CONTROL!$C$42, 500, 500)*CHOOSE(CONTROL!$C$42, 0.275, 0.275)*CHOOSE(CONTROL!$C$42, 31, 31))/1000000</f>
        <v>4.2625000000000002</v>
      </c>
      <c r="W562" s="56">
        <f>(1000*CHOOSE(CONTROL!$C$42, 0.1146, 0.1146)*CHOOSE(CONTROL!$C$42, 121.5, 121.5)*CHOOSE(CONTROL!$C$42, 31, 31))/1000000</f>
        <v>0.43164089999999994</v>
      </c>
      <c r="X562" s="56">
        <f>(31*0.1790888*145000/1000000)+(31*0.2374*100000/1000000)</f>
        <v>1.5409441560000001</v>
      </c>
      <c r="Y562" s="56"/>
      <c r="Z562" s="17"/>
      <c r="AA562" s="55"/>
      <c r="AB562" s="48">
        <f>(B562*131.881+C562*277.167+D562*79.08+E562*225.872+F562*40+G562*85+H562*0+I562*100+J562*300)/(131.881+277.167+79.08+225.872+0+40+85+100+300)</f>
        <v>28.170062274334143</v>
      </c>
      <c r="AC562" s="45">
        <f>(M562*'RAP TEMPLATE-GAS AVAILABILITY'!O561+N562*'RAP TEMPLATE-GAS AVAILABILITY'!P561+O562*'RAP TEMPLATE-GAS AVAILABILITY'!Q561+P562*'RAP TEMPLATE-GAS AVAILABILITY'!R561)/('RAP TEMPLATE-GAS AVAILABILITY'!O561+'RAP TEMPLATE-GAS AVAILABILITY'!P561+'RAP TEMPLATE-GAS AVAILABILITY'!Q561+'RAP TEMPLATE-GAS AVAILABILITY'!R561)</f>
        <v>27.691447482014389</v>
      </c>
    </row>
    <row r="563" spans="1:29" ht="15.75" x14ac:dyDescent="0.25">
      <c r="A563" s="13">
        <v>58044</v>
      </c>
      <c r="B563" s="17">
        <f>CHOOSE(CONTROL!$C$42, 28.8177, 28.8177) * CHOOSE(CONTROL!$C$21, $C$9, 100%, $E$9)</f>
        <v>28.817699999999999</v>
      </c>
      <c r="C563" s="17">
        <f>CHOOSE(CONTROL!$C$42, 28.8228, 28.8228) * CHOOSE(CONTROL!$C$21, $C$9, 100%, $E$9)</f>
        <v>28.822800000000001</v>
      </c>
      <c r="D563" s="17">
        <f>CHOOSE(CONTROL!$C$42, 28.9178, 28.9178) * CHOOSE(CONTROL!$C$21, $C$9, 100%, $E$9)</f>
        <v>28.9178</v>
      </c>
      <c r="E563" s="17">
        <f>CHOOSE(CONTROL!$C$42, 28.9519, 28.9519) * CHOOSE(CONTROL!$C$21, $C$9, 100%, $E$9)</f>
        <v>28.951899999999998</v>
      </c>
      <c r="F563" s="17">
        <f>CHOOSE(CONTROL!$C$42, 28.8416, 28.8416)*CHOOSE(CONTROL!$C$21, $C$9, 100%, $E$9)</f>
        <v>28.8416</v>
      </c>
      <c r="G563" s="17">
        <f>CHOOSE(CONTROL!$C$42, 28.8587, 28.8587)*CHOOSE(CONTROL!$C$21, $C$9, 100%, $E$9)</f>
        <v>28.858699999999999</v>
      </c>
      <c r="H563" s="17">
        <f>CHOOSE(CONTROL!$C$42, 28.9411, 28.9411) * CHOOSE(CONTROL!$C$21, $C$9, 100%, $E$9)</f>
        <v>28.941099999999999</v>
      </c>
      <c r="I563" s="17">
        <f>CHOOSE(CONTROL!$C$42, 28.9279, 28.9279)* CHOOSE(CONTROL!$C$21, $C$9, 100%, $E$9)</f>
        <v>28.927900000000001</v>
      </c>
      <c r="J563" s="17">
        <f>CHOOSE(CONTROL!$C$42, 28.8346, 28.8346)* CHOOSE(CONTROL!$C$21, $C$9, 100%, $E$9)</f>
        <v>28.834599999999998</v>
      </c>
      <c r="K563" s="52">
        <f>CHOOSE(CONTROL!$C$42, 28.9237, 28.9237) * CHOOSE(CONTROL!$C$21, $C$9, 100%, $E$9)</f>
        <v>28.9237</v>
      </c>
      <c r="L563" s="17">
        <f>CHOOSE(CONTROL!$C$42, 29.5281, 29.5281) * CHOOSE(CONTROL!$C$21, $C$9, 100%, $E$9)</f>
        <v>29.528099999999998</v>
      </c>
      <c r="M563" s="17">
        <f>CHOOSE(CONTROL!$C$42, 28.3237, 28.3237) * CHOOSE(CONTROL!$C$21, $C$9, 100%, $E$9)</f>
        <v>28.323699999999999</v>
      </c>
      <c r="N563" s="17">
        <f>CHOOSE(CONTROL!$C$42, 28.3404, 28.3404) * CHOOSE(CONTROL!$C$21, $C$9, 100%, $E$9)</f>
        <v>28.340399999999999</v>
      </c>
      <c r="O563" s="17">
        <f>CHOOSE(CONTROL!$C$42, 28.4283, 28.4283) * CHOOSE(CONTROL!$C$21, $C$9, 100%, $E$9)</f>
        <v>28.4283</v>
      </c>
      <c r="P563" s="17">
        <f>CHOOSE(CONTROL!$C$42, 28.4138, 28.4138) * CHOOSE(CONTROL!$C$21, $C$9, 100%, $E$9)</f>
        <v>28.413799999999998</v>
      </c>
      <c r="Q563" s="17">
        <f>CHOOSE(CONTROL!$C$42, 29.023, 29.023) * CHOOSE(CONTROL!$C$21, $C$9, 100%, $E$9)</f>
        <v>29.023</v>
      </c>
      <c r="R563" s="17">
        <f>CHOOSE(CONTROL!$C$42, 29.6825, 29.6825) * CHOOSE(CONTROL!$C$21, $C$9, 100%, $E$9)</f>
        <v>29.682500000000001</v>
      </c>
      <c r="S563" s="17">
        <f>CHOOSE(CONTROL!$C$42, 27.6824, 27.6824) * CHOOSE(CONTROL!$C$21, $C$9, 100%, $E$9)</f>
        <v>27.682400000000001</v>
      </c>
      <c r="T56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63" s="56">
        <f>(1000*CHOOSE(CONTROL!$C$42, 695, 695)*CHOOSE(CONTROL!$C$42, 0.5599, 0.5599)*CHOOSE(CONTROL!$C$42, 30, 30))/1000000</f>
        <v>11.673914999999997</v>
      </c>
      <c r="V563" s="56">
        <f>(1000*CHOOSE(CONTROL!$C$42, 500, 500)*CHOOSE(CONTROL!$C$42, 0.275, 0.275)*CHOOSE(CONTROL!$C$42, 30, 30))/1000000</f>
        <v>4.125</v>
      </c>
      <c r="W563" s="56">
        <f>(1000*CHOOSE(CONTROL!$C$42, 0.1146, 0.1146)*CHOOSE(CONTROL!$C$42, 121.5, 121.5)*CHOOSE(CONTROL!$C$42, 30, 30))/1000000</f>
        <v>0.417717</v>
      </c>
      <c r="X563" s="56">
        <f>(30*0.2374*100000/1000000)</f>
        <v>0.71220000000000006</v>
      </c>
      <c r="Y563" s="56"/>
      <c r="Z563" s="17"/>
      <c r="AA563" s="55"/>
      <c r="AB563" s="48">
        <f>(B563*122.58+C563*297.941+D563*89.177+E563*140.302+F563*40+G563*60+H563*0+I563*100+J563*300)/(122.58+297.941+89.177+140.302+0+40+60+100+300)</f>
        <v>28.860117952347828</v>
      </c>
      <c r="AC563" s="45">
        <f>(M563*'RAP TEMPLATE-GAS AVAILABILITY'!O562+N563*'RAP TEMPLATE-GAS AVAILABILITY'!P562+O563*'RAP TEMPLATE-GAS AVAILABILITY'!Q562+P563*'RAP TEMPLATE-GAS AVAILABILITY'!R562)/('RAP TEMPLATE-GAS AVAILABILITY'!O562+'RAP TEMPLATE-GAS AVAILABILITY'!P562+'RAP TEMPLATE-GAS AVAILABILITY'!Q562+'RAP TEMPLATE-GAS AVAILABILITY'!R562)</f>
        <v>28.385033812949647</v>
      </c>
    </row>
    <row r="564" spans="1:29" ht="15.75" x14ac:dyDescent="0.25">
      <c r="A564" s="13">
        <v>58075</v>
      </c>
      <c r="B564" s="17">
        <f>CHOOSE(CONTROL!$C$42, 30.7818, 30.7818) * CHOOSE(CONTROL!$C$21, $C$9, 100%, $E$9)</f>
        <v>30.7818</v>
      </c>
      <c r="C564" s="17">
        <f>CHOOSE(CONTROL!$C$42, 30.7869, 30.7869) * CHOOSE(CONTROL!$C$21, $C$9, 100%, $E$9)</f>
        <v>30.786899999999999</v>
      </c>
      <c r="D564" s="17">
        <f>CHOOSE(CONTROL!$C$42, 30.8819, 30.8819) * CHOOSE(CONTROL!$C$21, $C$9, 100%, $E$9)</f>
        <v>30.881900000000002</v>
      </c>
      <c r="E564" s="17">
        <f>CHOOSE(CONTROL!$C$42, 30.916, 30.916) * CHOOSE(CONTROL!$C$21, $C$9, 100%, $E$9)</f>
        <v>30.916</v>
      </c>
      <c r="F564" s="17">
        <f>CHOOSE(CONTROL!$C$42, 30.8081, 30.8081)*CHOOSE(CONTROL!$C$21, $C$9, 100%, $E$9)</f>
        <v>30.8081</v>
      </c>
      <c r="G564" s="17">
        <f>CHOOSE(CONTROL!$C$42, 30.8258, 30.8258)*CHOOSE(CONTROL!$C$21, $C$9, 100%, $E$9)</f>
        <v>30.825800000000001</v>
      </c>
      <c r="H564" s="17">
        <f>CHOOSE(CONTROL!$C$42, 30.9052, 30.9052) * CHOOSE(CONTROL!$C$21, $C$9, 100%, $E$9)</f>
        <v>30.905200000000001</v>
      </c>
      <c r="I564" s="17">
        <f>CHOOSE(CONTROL!$C$42, 30.8982, 30.8982)* CHOOSE(CONTROL!$C$21, $C$9, 100%, $E$9)</f>
        <v>30.898199999999999</v>
      </c>
      <c r="J564" s="17">
        <f>CHOOSE(CONTROL!$C$42, 30.8011, 30.8011)* CHOOSE(CONTROL!$C$21, $C$9, 100%, $E$9)</f>
        <v>30.801100000000002</v>
      </c>
      <c r="K564" s="52">
        <f>CHOOSE(CONTROL!$C$42, 30.894, 30.894) * CHOOSE(CONTROL!$C$21, $C$9, 100%, $E$9)</f>
        <v>30.893999999999998</v>
      </c>
      <c r="L564" s="17">
        <f>CHOOSE(CONTROL!$C$42, 31.4922, 31.4922) * CHOOSE(CONTROL!$C$21, $C$9, 100%, $E$9)</f>
        <v>31.4922</v>
      </c>
      <c r="M564" s="17">
        <f>CHOOSE(CONTROL!$C$42, 30.2548, 30.2548) * CHOOSE(CONTROL!$C$21, $C$9, 100%, $E$9)</f>
        <v>30.254799999999999</v>
      </c>
      <c r="N564" s="17">
        <f>CHOOSE(CONTROL!$C$42, 30.2721, 30.2721) * CHOOSE(CONTROL!$C$21, $C$9, 100%, $E$9)</f>
        <v>30.272099999999998</v>
      </c>
      <c r="O564" s="17">
        <f>CHOOSE(CONTROL!$C$42, 30.357, 30.357) * CHOOSE(CONTROL!$C$21, $C$9, 100%, $E$9)</f>
        <v>30.356999999999999</v>
      </c>
      <c r="P564" s="17">
        <f>CHOOSE(CONTROL!$C$42, 30.3485, 30.3485) * CHOOSE(CONTROL!$C$21, $C$9, 100%, $E$9)</f>
        <v>30.348500000000001</v>
      </c>
      <c r="Q564" s="17">
        <f>CHOOSE(CONTROL!$C$42, 30.9517, 30.9517) * CHOOSE(CONTROL!$C$21, $C$9, 100%, $E$9)</f>
        <v>30.951699999999999</v>
      </c>
      <c r="R564" s="17">
        <f>CHOOSE(CONTROL!$C$42, 31.6161, 31.6161) * CHOOSE(CONTROL!$C$21, $C$9, 100%, $E$9)</f>
        <v>31.616099999999999</v>
      </c>
      <c r="S564" s="17">
        <f>CHOOSE(CONTROL!$C$42, 29.5697, 29.5697) * CHOOSE(CONTROL!$C$21, $C$9, 100%, $E$9)</f>
        <v>29.569700000000001</v>
      </c>
      <c r="T56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64" s="56">
        <f>(1000*CHOOSE(CONTROL!$C$42, 695, 695)*CHOOSE(CONTROL!$C$42, 0.5599, 0.5599)*CHOOSE(CONTROL!$C$42, 31, 31))/1000000</f>
        <v>12.063045499999998</v>
      </c>
      <c r="V564" s="56">
        <f>(1000*CHOOSE(CONTROL!$C$42, 500, 500)*CHOOSE(CONTROL!$C$42, 0.275, 0.275)*CHOOSE(CONTROL!$C$42, 31, 31))/1000000</f>
        <v>4.2625000000000002</v>
      </c>
      <c r="W564" s="56">
        <f>(1000*CHOOSE(CONTROL!$C$42, 0.1146, 0.1146)*CHOOSE(CONTROL!$C$42, 121.5, 121.5)*CHOOSE(CONTROL!$C$42, 31, 31))/1000000</f>
        <v>0.43164089999999994</v>
      </c>
      <c r="X564" s="56">
        <f>(31*0.2374*100000/1000000)</f>
        <v>0.73594000000000004</v>
      </c>
      <c r="Y564" s="56"/>
      <c r="Z564" s="17"/>
      <c r="AA564" s="55"/>
      <c r="AB564" s="48">
        <f>(B564*122.58+C564*297.941+D564*89.177+E564*140.302+F564*40+G564*60+H564*0+I564*100+J564*300)/(122.58+297.941+89.177+140.302+0+40+60+100+300)</f>
        <v>30.825623169739131</v>
      </c>
      <c r="AC564" s="45">
        <f>(M564*'RAP TEMPLATE-GAS AVAILABILITY'!O563+N564*'RAP TEMPLATE-GAS AVAILABILITY'!P563+O564*'RAP TEMPLATE-GAS AVAILABILITY'!Q563+P564*'RAP TEMPLATE-GAS AVAILABILITY'!R563)/('RAP TEMPLATE-GAS AVAILABILITY'!O563+'RAP TEMPLATE-GAS AVAILABILITY'!P563+'RAP TEMPLATE-GAS AVAILABILITY'!Q563+'RAP TEMPLATE-GAS AVAILABILITY'!R563)</f>
        <v>30.315598561151081</v>
      </c>
    </row>
    <row r="565" spans="1:29" ht="15.75" x14ac:dyDescent="0.25">
      <c r="A565" s="13">
        <v>58106</v>
      </c>
      <c r="B565" s="17">
        <f>CHOOSE(CONTROL!$C$42, 33.3329, 33.3329) * CHOOSE(CONTROL!$C$21, $C$9, 100%, $E$9)</f>
        <v>33.332900000000002</v>
      </c>
      <c r="C565" s="17">
        <f>CHOOSE(CONTROL!$C$42, 33.3379, 33.3379) * CHOOSE(CONTROL!$C$21, $C$9, 100%, $E$9)</f>
        <v>33.337899999999998</v>
      </c>
      <c r="D565" s="17">
        <f>CHOOSE(CONTROL!$C$42, 33.4564, 33.4564) * CHOOSE(CONTROL!$C$21, $C$9, 100%, $E$9)</f>
        <v>33.456400000000002</v>
      </c>
      <c r="E565" s="17">
        <f>CHOOSE(CONTROL!$C$42, 33.4905, 33.4905) * CHOOSE(CONTROL!$C$21, $C$9, 100%, $E$9)</f>
        <v>33.490499999999997</v>
      </c>
      <c r="F565" s="17">
        <f>CHOOSE(CONTROL!$C$42, 33.3533, 33.3533)*CHOOSE(CONTROL!$C$21, $C$9, 100%, $E$9)</f>
        <v>33.353299999999997</v>
      </c>
      <c r="G565" s="17">
        <f>CHOOSE(CONTROL!$C$42, 33.3701, 33.3701)*CHOOSE(CONTROL!$C$21, $C$9, 100%, $E$9)</f>
        <v>33.370100000000001</v>
      </c>
      <c r="H565" s="17">
        <f>CHOOSE(CONTROL!$C$42, 33.4797, 33.4797) * CHOOSE(CONTROL!$C$21, $C$9, 100%, $E$9)</f>
        <v>33.479700000000001</v>
      </c>
      <c r="I565" s="17">
        <f>CHOOSE(CONTROL!$C$42, 33.4609, 33.4609)* CHOOSE(CONTROL!$C$21, $C$9, 100%, $E$9)</f>
        <v>33.460900000000002</v>
      </c>
      <c r="J565" s="17">
        <f>CHOOSE(CONTROL!$C$42, 33.3463, 33.3463)* CHOOSE(CONTROL!$C$21, $C$9, 100%, $E$9)</f>
        <v>33.346299999999999</v>
      </c>
      <c r="K565" s="52">
        <f>CHOOSE(CONTROL!$C$42, 33.4567, 33.4567) * CHOOSE(CONTROL!$C$21, $C$9, 100%, $E$9)</f>
        <v>33.456699999999998</v>
      </c>
      <c r="L565" s="17">
        <f>CHOOSE(CONTROL!$C$42, 34.0667, 34.0667) * CHOOSE(CONTROL!$C$21, $C$9, 100%, $E$9)</f>
        <v>34.066699999999997</v>
      </c>
      <c r="M565" s="17">
        <f>CHOOSE(CONTROL!$C$42, 32.7542, 32.7542) * CHOOSE(CONTROL!$C$21, $C$9, 100%, $E$9)</f>
        <v>32.754199999999997</v>
      </c>
      <c r="N565" s="17">
        <f>CHOOSE(CONTROL!$C$42, 32.7707, 32.7707) * CHOOSE(CONTROL!$C$21, $C$9, 100%, $E$9)</f>
        <v>32.770699999999998</v>
      </c>
      <c r="O565" s="17">
        <f>CHOOSE(CONTROL!$C$42, 32.8852, 32.8852) * CHOOSE(CONTROL!$C$21, $C$9, 100%, $E$9)</f>
        <v>32.885199999999998</v>
      </c>
      <c r="P565" s="17">
        <f>CHOOSE(CONTROL!$C$42, 32.865, 32.865) * CHOOSE(CONTROL!$C$21, $C$9, 100%, $E$9)</f>
        <v>32.865000000000002</v>
      </c>
      <c r="Q565" s="17">
        <f>CHOOSE(CONTROL!$C$42, 33.4799, 33.4799) * CHOOSE(CONTROL!$C$21, $C$9, 100%, $E$9)</f>
        <v>33.479900000000001</v>
      </c>
      <c r="R565" s="17">
        <f>CHOOSE(CONTROL!$C$42, 34.1506, 34.1506) * CHOOSE(CONTROL!$C$21, $C$9, 100%, $E$9)</f>
        <v>34.150599999999997</v>
      </c>
      <c r="S565" s="17">
        <f>CHOOSE(CONTROL!$C$42, 32.021, 32.021) * CHOOSE(CONTROL!$C$21, $C$9, 100%, $E$9)</f>
        <v>32.021000000000001</v>
      </c>
      <c r="T56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65" s="56">
        <f>(1000*CHOOSE(CONTROL!$C$42, 695, 695)*CHOOSE(CONTROL!$C$42, 0.5599, 0.5599)*CHOOSE(CONTROL!$C$42, 31, 31))/1000000</f>
        <v>12.063045499999998</v>
      </c>
      <c r="V565" s="56">
        <f>(1000*CHOOSE(CONTROL!$C$42, 500, 500)*CHOOSE(CONTROL!$C$42, 0.275, 0.275)*CHOOSE(CONTROL!$C$42, 31, 31))/1000000</f>
        <v>4.2625000000000002</v>
      </c>
      <c r="W565" s="56">
        <f>(1000*CHOOSE(CONTROL!$C$42, 0.1146, 0.1146)*CHOOSE(CONTROL!$C$42, 121.5, 121.5)*CHOOSE(CONTROL!$C$42, 31, 31))/1000000</f>
        <v>0.43164089999999994</v>
      </c>
      <c r="X565" s="56">
        <f>(31*0.2374*100000/1000000)</f>
        <v>0.73594000000000004</v>
      </c>
      <c r="Y565" s="56"/>
      <c r="Z565" s="17"/>
      <c r="AA565" s="55"/>
      <c r="AB565" s="48">
        <f>(B565*122.58+C565*297.941+D565*89.177+E565*140.302+F565*40+G565*60+H565*0+I565*100+J565*300)/(122.58+297.941+89.177+140.302+0+40+60+100+300)</f>
        <v>33.380276225826087</v>
      </c>
      <c r="AC565" s="45">
        <f>(M565*'RAP TEMPLATE-GAS AVAILABILITY'!O564+N565*'RAP TEMPLATE-GAS AVAILABILITY'!P564+O565*'RAP TEMPLATE-GAS AVAILABILITY'!Q564+P565*'RAP TEMPLATE-GAS AVAILABILITY'!R564)/('RAP TEMPLATE-GAS AVAILABILITY'!O564+'RAP TEMPLATE-GAS AVAILABILITY'!P564+'RAP TEMPLATE-GAS AVAILABILITY'!Q564+'RAP TEMPLATE-GAS AVAILABILITY'!R564)</f>
        <v>32.830466187050355</v>
      </c>
    </row>
    <row r="566" spans="1:29" ht="15.75" x14ac:dyDescent="0.25">
      <c r="A566" s="13">
        <v>58134</v>
      </c>
      <c r="B566" s="17">
        <f>CHOOSE(CONTROL!$C$42, 33.9261, 33.9261) * CHOOSE(CONTROL!$C$21, $C$9, 100%, $E$9)</f>
        <v>33.926099999999998</v>
      </c>
      <c r="C566" s="17">
        <f>CHOOSE(CONTROL!$C$42, 33.9311, 33.9311) * CHOOSE(CONTROL!$C$21, $C$9, 100%, $E$9)</f>
        <v>33.931100000000001</v>
      </c>
      <c r="D566" s="17">
        <f>CHOOSE(CONTROL!$C$42, 34.0496, 34.0496) * CHOOSE(CONTROL!$C$21, $C$9, 100%, $E$9)</f>
        <v>34.049599999999998</v>
      </c>
      <c r="E566" s="17">
        <f>CHOOSE(CONTROL!$C$42, 34.0837, 34.0837) * CHOOSE(CONTROL!$C$21, $C$9, 100%, $E$9)</f>
        <v>34.0837</v>
      </c>
      <c r="F566" s="17">
        <f>CHOOSE(CONTROL!$C$42, 33.9465, 33.9465)*CHOOSE(CONTROL!$C$21, $C$9, 100%, $E$9)</f>
        <v>33.9465</v>
      </c>
      <c r="G566" s="17">
        <f>CHOOSE(CONTROL!$C$42, 33.9633, 33.9633)*CHOOSE(CONTROL!$C$21, $C$9, 100%, $E$9)</f>
        <v>33.963299999999997</v>
      </c>
      <c r="H566" s="17">
        <f>CHOOSE(CONTROL!$C$42, 34.0729, 34.0729) * CHOOSE(CONTROL!$C$21, $C$9, 100%, $E$9)</f>
        <v>34.072899999999997</v>
      </c>
      <c r="I566" s="17">
        <f>CHOOSE(CONTROL!$C$42, 34.0559, 34.0559)* CHOOSE(CONTROL!$C$21, $C$9, 100%, $E$9)</f>
        <v>34.055900000000001</v>
      </c>
      <c r="J566" s="17">
        <f>CHOOSE(CONTROL!$C$42, 33.9395, 33.9395)* CHOOSE(CONTROL!$C$21, $C$9, 100%, $E$9)</f>
        <v>33.939500000000002</v>
      </c>
      <c r="K566" s="52">
        <f>CHOOSE(CONTROL!$C$42, 34.0517, 34.0517) * CHOOSE(CONTROL!$C$21, $C$9, 100%, $E$9)</f>
        <v>34.051699999999997</v>
      </c>
      <c r="L566" s="17">
        <f>CHOOSE(CONTROL!$C$42, 34.6599, 34.6599) * CHOOSE(CONTROL!$C$21, $C$9, 100%, $E$9)</f>
        <v>34.6599</v>
      </c>
      <c r="M566" s="17">
        <f>CHOOSE(CONTROL!$C$42, 33.3367, 33.3367) * CHOOSE(CONTROL!$C$21, $C$9, 100%, $E$9)</f>
        <v>33.3367</v>
      </c>
      <c r="N566" s="17">
        <f>CHOOSE(CONTROL!$C$42, 33.3532, 33.3532) * CHOOSE(CONTROL!$C$21, $C$9, 100%, $E$9)</f>
        <v>33.353200000000001</v>
      </c>
      <c r="O566" s="17">
        <f>CHOOSE(CONTROL!$C$42, 33.4677, 33.4677) * CHOOSE(CONTROL!$C$21, $C$9, 100%, $E$9)</f>
        <v>33.467700000000001</v>
      </c>
      <c r="P566" s="17">
        <f>CHOOSE(CONTROL!$C$42, 33.4493, 33.4493) * CHOOSE(CONTROL!$C$21, $C$9, 100%, $E$9)</f>
        <v>33.449300000000001</v>
      </c>
      <c r="Q566" s="17">
        <f>CHOOSE(CONTROL!$C$42, 34.0624, 34.0624) * CHOOSE(CONTROL!$C$21, $C$9, 100%, $E$9)</f>
        <v>34.062399999999997</v>
      </c>
      <c r="R566" s="17">
        <f>CHOOSE(CONTROL!$C$42, 34.7346, 34.7346) * CHOOSE(CONTROL!$C$21, $C$9, 100%, $E$9)</f>
        <v>34.7346</v>
      </c>
      <c r="S566" s="17">
        <f>CHOOSE(CONTROL!$C$42, 32.591, 32.591) * CHOOSE(CONTROL!$C$21, $C$9, 100%, $E$9)</f>
        <v>32.591000000000001</v>
      </c>
      <c r="T56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66" s="56">
        <f>(1000*CHOOSE(CONTROL!$C$42, 695, 695)*CHOOSE(CONTROL!$C$42, 0.5599, 0.5599)*CHOOSE(CONTROL!$C$42, 28, 28))/1000000</f>
        <v>10.895653999999999</v>
      </c>
      <c r="V566" s="56">
        <f>(1000*CHOOSE(CONTROL!$C$42, 500, 500)*CHOOSE(CONTROL!$C$42, 0.275, 0.275)*CHOOSE(CONTROL!$C$42, 28, 28))/1000000</f>
        <v>3.85</v>
      </c>
      <c r="W566" s="56">
        <f>(1000*CHOOSE(CONTROL!$C$42, 0.1146, 0.1146)*CHOOSE(CONTROL!$C$42, 121.5, 121.5)*CHOOSE(CONTROL!$C$42, 28, 28))/1000000</f>
        <v>0.38986920000000003</v>
      </c>
      <c r="X566" s="56">
        <f>(28*0.2374*100000/1000000)</f>
        <v>0.66471999999999998</v>
      </c>
      <c r="Y566" s="56"/>
      <c r="Z566" s="17"/>
      <c r="AA566" s="55"/>
      <c r="AB566" s="48">
        <f>(B566*122.58+C566*297.941+D566*89.177+E566*140.302+F566*40+G566*60+H566*0+I566*100+J566*300)/(122.58+297.941+89.177+140.302+0+40+60+100+300)</f>
        <v>33.973632747565219</v>
      </c>
      <c r="AC566" s="45">
        <f>(M566*'RAP TEMPLATE-GAS AVAILABILITY'!O565+N566*'RAP TEMPLATE-GAS AVAILABILITY'!P565+O566*'RAP TEMPLATE-GAS AVAILABILITY'!Q565+P566*'RAP TEMPLATE-GAS AVAILABILITY'!R565)/('RAP TEMPLATE-GAS AVAILABILITY'!O565+'RAP TEMPLATE-GAS AVAILABILITY'!P565+'RAP TEMPLATE-GAS AVAILABILITY'!Q565+'RAP TEMPLATE-GAS AVAILABILITY'!R565)</f>
        <v>33.413225179856113</v>
      </c>
    </row>
    <row r="567" spans="1:29" ht="15.75" x14ac:dyDescent="0.25">
      <c r="A567" s="13">
        <v>58165</v>
      </c>
      <c r="B567" s="17">
        <f>CHOOSE(CONTROL!$C$42, 32.9632, 32.9632) * CHOOSE(CONTROL!$C$21, $C$9, 100%, $E$9)</f>
        <v>32.963200000000001</v>
      </c>
      <c r="C567" s="17">
        <f>CHOOSE(CONTROL!$C$42, 32.9682, 32.9682) * CHOOSE(CONTROL!$C$21, $C$9, 100%, $E$9)</f>
        <v>32.968200000000003</v>
      </c>
      <c r="D567" s="17">
        <f>CHOOSE(CONTROL!$C$42, 33.0867, 33.0867) * CHOOSE(CONTROL!$C$21, $C$9, 100%, $E$9)</f>
        <v>33.0867</v>
      </c>
      <c r="E567" s="17">
        <f>CHOOSE(CONTROL!$C$42, 33.1208, 33.1208) * CHOOSE(CONTROL!$C$21, $C$9, 100%, $E$9)</f>
        <v>33.120800000000003</v>
      </c>
      <c r="F567" s="17">
        <f>CHOOSE(CONTROL!$C$42, 32.9829, 32.9829)*CHOOSE(CONTROL!$C$21, $C$9, 100%, $E$9)</f>
        <v>32.982900000000001</v>
      </c>
      <c r="G567" s="17">
        <f>CHOOSE(CONTROL!$C$42, 32.9995, 32.9995)*CHOOSE(CONTROL!$C$21, $C$9, 100%, $E$9)</f>
        <v>32.999499999999998</v>
      </c>
      <c r="H567" s="17">
        <f>CHOOSE(CONTROL!$C$42, 33.11, 33.11) * CHOOSE(CONTROL!$C$21, $C$9, 100%, $E$9)</f>
        <v>33.11</v>
      </c>
      <c r="I567" s="17">
        <f>CHOOSE(CONTROL!$C$42, 33.09, 33.09)* CHOOSE(CONTROL!$C$21, $C$9, 100%, $E$9)</f>
        <v>33.090000000000003</v>
      </c>
      <c r="J567" s="17">
        <f>CHOOSE(CONTROL!$C$42, 32.9759, 32.9759)* CHOOSE(CONTROL!$C$21, $C$9, 100%, $E$9)</f>
        <v>32.975900000000003</v>
      </c>
      <c r="K567" s="52">
        <f>CHOOSE(CONTROL!$C$42, 33.0858, 33.0858) * CHOOSE(CONTROL!$C$21, $C$9, 100%, $E$9)</f>
        <v>33.085799999999999</v>
      </c>
      <c r="L567" s="17">
        <f>CHOOSE(CONTROL!$C$42, 33.697, 33.697) * CHOOSE(CONTROL!$C$21, $C$9, 100%, $E$9)</f>
        <v>33.697000000000003</v>
      </c>
      <c r="M567" s="17">
        <f>CHOOSE(CONTROL!$C$42, 32.3904, 32.3904) * CHOOSE(CONTROL!$C$21, $C$9, 100%, $E$9)</f>
        <v>32.3904</v>
      </c>
      <c r="N567" s="17">
        <f>CHOOSE(CONTROL!$C$42, 32.4068, 32.4068) * CHOOSE(CONTROL!$C$21, $C$9, 100%, $E$9)</f>
        <v>32.406799999999997</v>
      </c>
      <c r="O567" s="17">
        <f>CHOOSE(CONTROL!$C$42, 32.5221, 32.5221) * CHOOSE(CONTROL!$C$21, $C$9, 100%, $E$9)</f>
        <v>32.522100000000002</v>
      </c>
      <c r="P567" s="17">
        <f>CHOOSE(CONTROL!$C$42, 32.5008, 32.5008) * CHOOSE(CONTROL!$C$21, $C$9, 100%, $E$9)</f>
        <v>32.500799999999998</v>
      </c>
      <c r="Q567" s="17">
        <f>CHOOSE(CONTROL!$C$42, 33.1168, 33.1168) * CHOOSE(CONTROL!$C$21, $C$9, 100%, $E$9)</f>
        <v>33.116799999999998</v>
      </c>
      <c r="R567" s="17">
        <f>CHOOSE(CONTROL!$C$42, 33.7866, 33.7866) * CHOOSE(CONTROL!$C$21, $C$9, 100%, $E$9)</f>
        <v>33.7866</v>
      </c>
      <c r="S567" s="17">
        <f>CHOOSE(CONTROL!$C$42, 31.6658, 31.6658) * CHOOSE(CONTROL!$C$21, $C$9, 100%, $E$9)</f>
        <v>31.665800000000001</v>
      </c>
      <c r="T56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67" s="56">
        <f>(1000*CHOOSE(CONTROL!$C$42, 695, 695)*CHOOSE(CONTROL!$C$42, 0.5599, 0.5599)*CHOOSE(CONTROL!$C$42, 31, 31))/1000000</f>
        <v>12.063045499999998</v>
      </c>
      <c r="V567" s="56">
        <f>(1000*CHOOSE(CONTROL!$C$42, 500, 500)*CHOOSE(CONTROL!$C$42, 0.275, 0.275)*CHOOSE(CONTROL!$C$42, 31, 31))/1000000</f>
        <v>4.2625000000000002</v>
      </c>
      <c r="W567" s="56">
        <f>(1000*CHOOSE(CONTROL!$C$42, 0.1146, 0.1146)*CHOOSE(CONTROL!$C$42, 121.5, 121.5)*CHOOSE(CONTROL!$C$42, 31, 31))/1000000</f>
        <v>0.43164089999999994</v>
      </c>
      <c r="X567" s="56">
        <f>(31*0.2374*100000/1000000)</f>
        <v>0.73594000000000004</v>
      </c>
      <c r="Y567" s="56"/>
      <c r="Z567" s="17"/>
      <c r="AA567" s="55"/>
      <c r="AB567" s="48">
        <f>(B567*122.58+C567*297.941+D567*89.177+E567*140.302+F567*40+G567*60+H567*0+I567*100+J567*300)/(122.58+297.941+89.177+140.302+0+40+60+100+300)</f>
        <v>33.010217964956524</v>
      </c>
      <c r="AC567" s="45">
        <f>(M567*'RAP TEMPLATE-GAS AVAILABILITY'!O566+N567*'RAP TEMPLATE-GAS AVAILABILITY'!P566+O567*'RAP TEMPLATE-GAS AVAILABILITY'!Q566+P567*'RAP TEMPLATE-GAS AVAILABILITY'!R566)/('RAP TEMPLATE-GAS AVAILABILITY'!O566+'RAP TEMPLATE-GAS AVAILABILITY'!P566+'RAP TEMPLATE-GAS AVAILABILITY'!Q566+'RAP TEMPLATE-GAS AVAILABILITY'!R566)</f>
        <v>32.466920143884892</v>
      </c>
    </row>
    <row r="568" spans="1:29" ht="15.75" x14ac:dyDescent="0.25">
      <c r="A568" s="13">
        <v>58195</v>
      </c>
      <c r="B568" s="17">
        <f>CHOOSE(CONTROL!$C$42, 32.8655, 32.8655) * CHOOSE(CONTROL!$C$21, $C$9, 100%, $E$9)</f>
        <v>32.865499999999997</v>
      </c>
      <c r="C568" s="17">
        <f>CHOOSE(CONTROL!$C$42, 32.87, 32.87) * CHOOSE(CONTROL!$C$21, $C$9, 100%, $E$9)</f>
        <v>32.869999999999997</v>
      </c>
      <c r="D568" s="17">
        <f>CHOOSE(CONTROL!$C$42, 33.1442, 33.1442) * CHOOSE(CONTROL!$C$21, $C$9, 100%, $E$9)</f>
        <v>33.144199999999998</v>
      </c>
      <c r="E568" s="17">
        <f>CHOOSE(CONTROL!$C$42, 33.1763, 33.1763) * CHOOSE(CONTROL!$C$21, $C$9, 100%, $E$9)</f>
        <v>33.176299999999998</v>
      </c>
      <c r="F568" s="17">
        <f>CHOOSE(CONTROL!$C$42, 32.8848, 32.8848)*CHOOSE(CONTROL!$C$21, $C$9, 100%, $E$9)</f>
        <v>32.884799999999998</v>
      </c>
      <c r="G568" s="17">
        <f>CHOOSE(CONTROL!$C$42, 32.9012, 32.9012)*CHOOSE(CONTROL!$C$21, $C$9, 100%, $E$9)</f>
        <v>32.901200000000003</v>
      </c>
      <c r="H568" s="17">
        <f>CHOOSE(CONTROL!$C$42, 33.1661, 33.1661) * CHOOSE(CONTROL!$C$21, $C$9, 100%, $E$9)</f>
        <v>33.1661</v>
      </c>
      <c r="I568" s="17">
        <f>CHOOSE(CONTROL!$C$42, 32.9897, 32.9897)* CHOOSE(CONTROL!$C$21, $C$9, 100%, $E$9)</f>
        <v>32.989699999999999</v>
      </c>
      <c r="J568" s="17">
        <f>CHOOSE(CONTROL!$C$42, 32.8778, 32.8778)* CHOOSE(CONTROL!$C$21, $C$9, 100%, $E$9)</f>
        <v>32.877800000000001</v>
      </c>
      <c r="K568" s="52">
        <f>CHOOSE(CONTROL!$C$42, 32.9855, 32.9855) * CHOOSE(CONTROL!$C$21, $C$9, 100%, $E$9)</f>
        <v>32.985500000000002</v>
      </c>
      <c r="L568" s="17">
        <f>CHOOSE(CONTROL!$C$42, 33.7531, 33.7531) * CHOOSE(CONTROL!$C$21, $C$9, 100%, $E$9)</f>
        <v>33.753100000000003</v>
      </c>
      <c r="M568" s="17">
        <f>CHOOSE(CONTROL!$C$42, 32.2942, 32.2942) * CHOOSE(CONTROL!$C$21, $C$9, 100%, $E$9)</f>
        <v>32.294199999999996</v>
      </c>
      <c r="N568" s="17">
        <f>CHOOSE(CONTROL!$C$42, 32.3102, 32.3102) * CHOOSE(CONTROL!$C$21, $C$9, 100%, $E$9)</f>
        <v>32.310200000000002</v>
      </c>
      <c r="O568" s="17">
        <f>CHOOSE(CONTROL!$C$42, 32.5772, 32.5772) * CHOOSE(CONTROL!$C$21, $C$9, 100%, $E$9)</f>
        <v>32.577199999999998</v>
      </c>
      <c r="P568" s="17">
        <f>CHOOSE(CONTROL!$C$42, 32.4023, 32.4023) * CHOOSE(CONTROL!$C$21, $C$9, 100%, $E$9)</f>
        <v>32.402299999999997</v>
      </c>
      <c r="Q568" s="17">
        <f>CHOOSE(CONTROL!$C$42, 33.1719, 33.1719) * CHOOSE(CONTROL!$C$21, $C$9, 100%, $E$9)</f>
        <v>33.171900000000001</v>
      </c>
      <c r="R568" s="17">
        <f>CHOOSE(CONTROL!$C$42, 33.8419, 33.8419) * CHOOSE(CONTROL!$C$21, $C$9, 100%, $E$9)</f>
        <v>33.841900000000003</v>
      </c>
      <c r="S568" s="17">
        <f>CHOOSE(CONTROL!$C$42, 31.5712, 31.5712) * CHOOSE(CONTROL!$C$21, $C$9, 100%, $E$9)</f>
        <v>31.571200000000001</v>
      </c>
      <c r="T56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68" s="56">
        <f>(1000*CHOOSE(CONTROL!$C$42, 695, 695)*CHOOSE(CONTROL!$C$42, 0.5599, 0.5599)*CHOOSE(CONTROL!$C$42, 30, 30))/1000000</f>
        <v>11.673914999999997</v>
      </c>
      <c r="V568" s="56">
        <f>(1000*CHOOSE(CONTROL!$C$42, 500, 500)*CHOOSE(CONTROL!$C$42, 0.275, 0.275)*CHOOSE(CONTROL!$C$42, 30, 30))/1000000</f>
        <v>4.125</v>
      </c>
      <c r="W568" s="56">
        <f>(1000*CHOOSE(CONTROL!$C$42, 0.1146, 0.1146)*CHOOSE(CONTROL!$C$42, 121.5, 121.5)*CHOOSE(CONTROL!$C$42, 30, 30))/1000000</f>
        <v>0.417717</v>
      </c>
      <c r="X568" s="56">
        <f>(30*0.1790888*145000/1000000)+(30*0.2374*100000/1000000)</f>
        <v>1.4912362799999999</v>
      </c>
      <c r="Y568" s="56"/>
      <c r="Z568" s="17"/>
      <c r="AA568" s="55"/>
      <c r="AB568" s="48">
        <f>(B568*141.293+C568*267.993+D568*115.016+E568*189.698+F568*40+G568*85+H568*0+I568*100+J568*300)/(141.293+267.993+115.016+189.698+0+40+85+100+300)</f>
        <v>32.95600489596449</v>
      </c>
      <c r="AC568" s="45">
        <f>(M568*'RAP TEMPLATE-GAS AVAILABILITY'!O567+N568*'RAP TEMPLATE-GAS AVAILABILITY'!P567+O568*'RAP TEMPLATE-GAS AVAILABILITY'!Q567+P568*'RAP TEMPLATE-GAS AVAILABILITY'!R567)/('RAP TEMPLATE-GAS AVAILABILITY'!O567+'RAP TEMPLATE-GAS AVAILABILITY'!P567+'RAP TEMPLATE-GAS AVAILABILITY'!Q567+'RAP TEMPLATE-GAS AVAILABILITY'!R567)</f>
        <v>32.392840287769779</v>
      </c>
    </row>
    <row r="569" spans="1:29" ht="15.75" x14ac:dyDescent="0.25">
      <c r="A569" s="13">
        <v>58226</v>
      </c>
      <c r="B569" s="17">
        <f>CHOOSE(CONTROL!$C$42, 33.1569, 33.1569) * CHOOSE(CONTROL!$C$21, $C$9, 100%, $E$9)</f>
        <v>33.1569</v>
      </c>
      <c r="C569" s="17">
        <f>CHOOSE(CONTROL!$C$42, 33.1649, 33.1649) * CHOOSE(CONTROL!$C$21, $C$9, 100%, $E$9)</f>
        <v>33.164900000000003</v>
      </c>
      <c r="D569" s="17">
        <f>CHOOSE(CONTROL!$C$42, 33.436, 33.436) * CHOOSE(CONTROL!$C$21, $C$9, 100%, $E$9)</f>
        <v>33.436</v>
      </c>
      <c r="E569" s="17">
        <f>CHOOSE(CONTROL!$C$42, 33.4674, 33.4674) * CHOOSE(CONTROL!$C$21, $C$9, 100%, $E$9)</f>
        <v>33.467399999999998</v>
      </c>
      <c r="F569" s="17">
        <f>CHOOSE(CONTROL!$C$42, 33.175, 33.175)*CHOOSE(CONTROL!$C$21, $C$9, 100%, $E$9)</f>
        <v>33.174999999999997</v>
      </c>
      <c r="G569" s="17">
        <f>CHOOSE(CONTROL!$C$42, 33.1917, 33.1917)*CHOOSE(CONTROL!$C$21, $C$9, 100%, $E$9)</f>
        <v>33.191699999999997</v>
      </c>
      <c r="H569" s="17">
        <f>CHOOSE(CONTROL!$C$42, 33.4561, 33.4561) * CHOOSE(CONTROL!$C$21, $C$9, 100%, $E$9)</f>
        <v>33.456099999999999</v>
      </c>
      <c r="I569" s="17">
        <f>CHOOSE(CONTROL!$C$42, 33.2806, 33.2806)* CHOOSE(CONTROL!$C$21, $C$9, 100%, $E$9)</f>
        <v>33.2806</v>
      </c>
      <c r="J569" s="17">
        <f>CHOOSE(CONTROL!$C$42, 33.168, 33.168)* CHOOSE(CONTROL!$C$21, $C$9, 100%, $E$9)</f>
        <v>33.167999999999999</v>
      </c>
      <c r="K569" s="52">
        <f>CHOOSE(CONTROL!$C$42, 33.2764, 33.2764) * CHOOSE(CONTROL!$C$21, $C$9, 100%, $E$9)</f>
        <v>33.276400000000002</v>
      </c>
      <c r="L569" s="17">
        <f>CHOOSE(CONTROL!$C$42, 34.0431, 34.0431) * CHOOSE(CONTROL!$C$21, $C$9, 100%, $E$9)</f>
        <v>34.043100000000003</v>
      </c>
      <c r="M569" s="17">
        <f>CHOOSE(CONTROL!$C$42, 32.5792, 32.5792) * CHOOSE(CONTROL!$C$21, $C$9, 100%, $E$9)</f>
        <v>32.5792</v>
      </c>
      <c r="N569" s="17">
        <f>CHOOSE(CONTROL!$C$42, 32.5955, 32.5955) * CHOOSE(CONTROL!$C$21, $C$9, 100%, $E$9)</f>
        <v>32.595500000000001</v>
      </c>
      <c r="O569" s="17">
        <f>CHOOSE(CONTROL!$C$42, 32.862, 32.862) * CHOOSE(CONTROL!$C$21, $C$9, 100%, $E$9)</f>
        <v>32.862000000000002</v>
      </c>
      <c r="P569" s="17">
        <f>CHOOSE(CONTROL!$C$42, 32.6879, 32.6879) * CHOOSE(CONTROL!$C$21, $C$9, 100%, $E$9)</f>
        <v>32.687899999999999</v>
      </c>
      <c r="Q569" s="17">
        <f>CHOOSE(CONTROL!$C$42, 33.4567, 33.4567) * CHOOSE(CONTROL!$C$21, $C$9, 100%, $E$9)</f>
        <v>33.456699999999998</v>
      </c>
      <c r="R569" s="17">
        <f>CHOOSE(CONTROL!$C$42, 34.1273, 34.1273) * CHOOSE(CONTROL!$C$21, $C$9, 100%, $E$9)</f>
        <v>34.127299999999998</v>
      </c>
      <c r="S569" s="17">
        <f>CHOOSE(CONTROL!$C$42, 31.8498, 31.8498) * CHOOSE(CONTROL!$C$21, $C$9, 100%, $E$9)</f>
        <v>31.849799999999998</v>
      </c>
      <c r="T56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69" s="56">
        <f>(1000*CHOOSE(CONTROL!$C$42, 695, 695)*CHOOSE(CONTROL!$C$42, 0.5599, 0.5599)*CHOOSE(CONTROL!$C$42, 31, 31))/1000000</f>
        <v>12.063045499999998</v>
      </c>
      <c r="V569" s="56">
        <f>(1000*CHOOSE(CONTROL!$C$42, 500, 500)*CHOOSE(CONTROL!$C$42, 0.275, 0.275)*CHOOSE(CONTROL!$C$42, 31, 31))/1000000</f>
        <v>4.2625000000000002</v>
      </c>
      <c r="W569" s="56">
        <f>(1000*CHOOSE(CONTROL!$C$42, 0.1146, 0.1146)*CHOOSE(CONTROL!$C$42, 121.5, 121.5)*CHOOSE(CONTROL!$C$42, 31, 31))/1000000</f>
        <v>0.43164089999999994</v>
      </c>
      <c r="X569" s="56">
        <f>(31*0.1790888*145000/1000000)+(31*0.2374*100000/1000000)</f>
        <v>1.5409441560000001</v>
      </c>
      <c r="Y569" s="56"/>
      <c r="Z569" s="17"/>
      <c r="AA569" s="55"/>
      <c r="AB569" s="48">
        <f>(B569*194.205+C569*267.466+D569*133.845+E569*153.484+F569*40+G569*85+H569*0+I569*100+J569*300)/(194.205+267.466+133.845+153.484+0+40+85+100+300)</f>
        <v>33.240522173861855</v>
      </c>
      <c r="AC569" s="45">
        <f>(M569*'RAP TEMPLATE-GAS AVAILABILITY'!O568+N569*'RAP TEMPLATE-GAS AVAILABILITY'!P568+O569*'RAP TEMPLATE-GAS AVAILABILITY'!Q568+P569*'RAP TEMPLATE-GAS AVAILABILITY'!R568)/('RAP TEMPLATE-GAS AVAILABILITY'!O568+'RAP TEMPLATE-GAS AVAILABILITY'!P568+'RAP TEMPLATE-GAS AVAILABILITY'!Q568+'RAP TEMPLATE-GAS AVAILABILITY'!R568)</f>
        <v>32.677939568345323</v>
      </c>
    </row>
    <row r="570" spans="1:29" ht="15.75" x14ac:dyDescent="0.25">
      <c r="A570" s="13">
        <v>58256</v>
      </c>
      <c r="B570" s="17">
        <f>CHOOSE(CONTROL!$C$42, 34.0971, 34.0971) * CHOOSE(CONTROL!$C$21, $C$9, 100%, $E$9)</f>
        <v>34.097099999999998</v>
      </c>
      <c r="C570" s="17">
        <f>CHOOSE(CONTROL!$C$42, 34.1051, 34.1051) * CHOOSE(CONTROL!$C$21, $C$9, 100%, $E$9)</f>
        <v>34.1051</v>
      </c>
      <c r="D570" s="17">
        <f>CHOOSE(CONTROL!$C$42, 34.3762, 34.3762) * CHOOSE(CONTROL!$C$21, $C$9, 100%, $E$9)</f>
        <v>34.376199999999997</v>
      </c>
      <c r="E570" s="17">
        <f>CHOOSE(CONTROL!$C$42, 34.4076, 34.4076) * CHOOSE(CONTROL!$C$21, $C$9, 100%, $E$9)</f>
        <v>34.407600000000002</v>
      </c>
      <c r="F570" s="17">
        <f>CHOOSE(CONTROL!$C$42, 34.1155, 34.1155)*CHOOSE(CONTROL!$C$21, $C$9, 100%, $E$9)</f>
        <v>34.115499999999997</v>
      </c>
      <c r="G570" s="17">
        <f>CHOOSE(CONTROL!$C$42, 34.1323, 34.1323)*CHOOSE(CONTROL!$C$21, $C$9, 100%, $E$9)</f>
        <v>34.132300000000001</v>
      </c>
      <c r="H570" s="17">
        <f>CHOOSE(CONTROL!$C$42, 34.3963, 34.3963) * CHOOSE(CONTROL!$C$21, $C$9, 100%, $E$9)</f>
        <v>34.396299999999997</v>
      </c>
      <c r="I570" s="17">
        <f>CHOOSE(CONTROL!$C$42, 34.2237, 34.2237)* CHOOSE(CONTROL!$C$21, $C$9, 100%, $E$9)</f>
        <v>34.223700000000001</v>
      </c>
      <c r="J570" s="17">
        <f>CHOOSE(CONTROL!$C$42, 34.1085, 34.1085)* CHOOSE(CONTROL!$C$21, $C$9, 100%, $E$9)</f>
        <v>34.108499999999999</v>
      </c>
      <c r="K570" s="52">
        <f>CHOOSE(CONTROL!$C$42, 34.2195, 34.2195) * CHOOSE(CONTROL!$C$21, $C$9, 100%, $E$9)</f>
        <v>34.219499999999996</v>
      </c>
      <c r="L570" s="17">
        <f>CHOOSE(CONTROL!$C$42, 34.9833, 34.9833) * CHOOSE(CONTROL!$C$21, $C$9, 100%, $E$9)</f>
        <v>34.9833</v>
      </c>
      <c r="M570" s="17">
        <f>CHOOSE(CONTROL!$C$42, 33.5027, 33.5027) * CHOOSE(CONTROL!$C$21, $C$9, 100%, $E$9)</f>
        <v>33.502699999999997</v>
      </c>
      <c r="N570" s="17">
        <f>CHOOSE(CONTROL!$C$42, 33.5191, 33.5191) * CHOOSE(CONTROL!$C$21, $C$9, 100%, $E$9)</f>
        <v>33.519100000000002</v>
      </c>
      <c r="O570" s="17">
        <f>CHOOSE(CONTROL!$C$42, 33.7853, 33.7853) * CHOOSE(CONTROL!$C$21, $C$9, 100%, $E$9)</f>
        <v>33.785299999999999</v>
      </c>
      <c r="P570" s="17">
        <f>CHOOSE(CONTROL!$C$42, 33.614, 33.614) * CHOOSE(CONTROL!$C$21, $C$9, 100%, $E$9)</f>
        <v>33.613999999999997</v>
      </c>
      <c r="Q570" s="17">
        <f>CHOOSE(CONTROL!$C$42, 34.38, 34.38) * CHOOSE(CONTROL!$C$21, $C$9, 100%, $E$9)</f>
        <v>34.380000000000003</v>
      </c>
      <c r="R570" s="17">
        <f>CHOOSE(CONTROL!$C$42, 35.0529, 35.0529) * CHOOSE(CONTROL!$C$21, $C$9, 100%, $E$9)</f>
        <v>35.052900000000001</v>
      </c>
      <c r="S570" s="17">
        <f>CHOOSE(CONTROL!$C$42, 32.7533, 32.7533) * CHOOSE(CONTROL!$C$21, $C$9, 100%, $E$9)</f>
        <v>32.753300000000003</v>
      </c>
      <c r="T57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70" s="56">
        <f>(1000*CHOOSE(CONTROL!$C$42, 695, 695)*CHOOSE(CONTROL!$C$42, 0.5599, 0.5599)*CHOOSE(CONTROL!$C$42, 30, 30))/1000000</f>
        <v>11.673914999999997</v>
      </c>
      <c r="V570" s="56">
        <f>(1000*CHOOSE(CONTROL!$C$42, 500, 500)*CHOOSE(CONTROL!$C$42, 0.275, 0.275)*CHOOSE(CONTROL!$C$42, 30, 30))/1000000</f>
        <v>4.125</v>
      </c>
      <c r="W570" s="56">
        <f>(1000*CHOOSE(CONTROL!$C$42, 0.1146, 0.1146)*CHOOSE(CONTROL!$C$42, 121.5, 121.5)*CHOOSE(CONTROL!$C$42, 30, 30))/1000000</f>
        <v>0.417717</v>
      </c>
      <c r="X570" s="56">
        <f>(30*0.1790888*145000/1000000)+(30*0.2374*100000/1000000)</f>
        <v>1.4912362799999999</v>
      </c>
      <c r="Y570" s="56"/>
      <c r="Z570" s="17"/>
      <c r="AA570" s="55"/>
      <c r="AB570" s="48">
        <f>(B570*194.205+C570*267.466+D570*133.845+E570*153.484+F570*40+G570*85+H570*0+I570*100+J570*300)/(194.205+267.466+133.845+153.484+0+40+85+100+300)</f>
        <v>34.181056553767661</v>
      </c>
      <c r="AC570" s="45">
        <f>(M570*'RAP TEMPLATE-GAS AVAILABILITY'!O569+N570*'RAP TEMPLATE-GAS AVAILABILITY'!P569+O570*'RAP TEMPLATE-GAS AVAILABILITY'!Q569+P570*'RAP TEMPLATE-GAS AVAILABILITY'!R569)/('RAP TEMPLATE-GAS AVAILABILITY'!O569+'RAP TEMPLATE-GAS AVAILABILITY'!P569+'RAP TEMPLATE-GAS AVAILABILITY'!Q569+'RAP TEMPLATE-GAS AVAILABILITY'!R569)</f>
        <v>33.601780575539571</v>
      </c>
    </row>
    <row r="571" spans="1:29" ht="15.75" x14ac:dyDescent="0.25">
      <c r="A571" s="13">
        <v>58287</v>
      </c>
      <c r="B571" s="17">
        <f>CHOOSE(CONTROL!$C$42, 33.4432, 33.4432) * CHOOSE(CONTROL!$C$21, $C$9, 100%, $E$9)</f>
        <v>33.443199999999997</v>
      </c>
      <c r="C571" s="17">
        <f>CHOOSE(CONTROL!$C$42, 33.4512, 33.4512) * CHOOSE(CONTROL!$C$21, $C$9, 100%, $E$9)</f>
        <v>33.4512</v>
      </c>
      <c r="D571" s="17">
        <f>CHOOSE(CONTROL!$C$42, 33.7223, 33.7223) * CHOOSE(CONTROL!$C$21, $C$9, 100%, $E$9)</f>
        <v>33.722299999999997</v>
      </c>
      <c r="E571" s="17">
        <f>CHOOSE(CONTROL!$C$42, 33.7537, 33.7537) * CHOOSE(CONTROL!$C$21, $C$9, 100%, $E$9)</f>
        <v>33.753700000000002</v>
      </c>
      <c r="F571" s="17">
        <f>CHOOSE(CONTROL!$C$42, 33.462, 33.462)*CHOOSE(CONTROL!$C$21, $C$9, 100%, $E$9)</f>
        <v>33.462000000000003</v>
      </c>
      <c r="G571" s="17">
        <f>CHOOSE(CONTROL!$C$42, 33.4789, 33.4789)*CHOOSE(CONTROL!$C$21, $C$9, 100%, $E$9)</f>
        <v>33.478900000000003</v>
      </c>
      <c r="H571" s="17">
        <f>CHOOSE(CONTROL!$C$42, 33.7424, 33.7424) * CHOOSE(CONTROL!$C$21, $C$9, 100%, $E$9)</f>
        <v>33.742400000000004</v>
      </c>
      <c r="I571" s="17">
        <f>CHOOSE(CONTROL!$C$42, 33.5678, 33.5678)* CHOOSE(CONTROL!$C$21, $C$9, 100%, $E$9)</f>
        <v>33.567799999999998</v>
      </c>
      <c r="J571" s="17">
        <f>CHOOSE(CONTROL!$C$42, 33.455, 33.455)* CHOOSE(CONTROL!$C$21, $C$9, 100%, $E$9)</f>
        <v>33.454999999999998</v>
      </c>
      <c r="K571" s="52">
        <f>CHOOSE(CONTROL!$C$42, 33.5636, 33.5636) * CHOOSE(CONTROL!$C$21, $C$9, 100%, $E$9)</f>
        <v>33.563600000000001</v>
      </c>
      <c r="L571" s="17">
        <f>CHOOSE(CONTROL!$C$42, 34.3294, 34.3294) * CHOOSE(CONTROL!$C$21, $C$9, 100%, $E$9)</f>
        <v>34.3294</v>
      </c>
      <c r="M571" s="17">
        <f>CHOOSE(CONTROL!$C$42, 32.861, 32.861) * CHOOSE(CONTROL!$C$21, $C$9, 100%, $E$9)</f>
        <v>32.860999999999997</v>
      </c>
      <c r="N571" s="17">
        <f>CHOOSE(CONTROL!$C$42, 32.8775, 32.8775) * CHOOSE(CONTROL!$C$21, $C$9, 100%, $E$9)</f>
        <v>32.877499999999998</v>
      </c>
      <c r="O571" s="17">
        <f>CHOOSE(CONTROL!$C$42, 33.1431, 33.1431) * CHOOSE(CONTROL!$C$21, $C$9, 100%, $E$9)</f>
        <v>33.143099999999997</v>
      </c>
      <c r="P571" s="17">
        <f>CHOOSE(CONTROL!$C$42, 32.9699, 32.9699) * CHOOSE(CONTROL!$C$21, $C$9, 100%, $E$9)</f>
        <v>32.969900000000003</v>
      </c>
      <c r="Q571" s="17">
        <f>CHOOSE(CONTROL!$C$42, 33.7378, 33.7378) * CHOOSE(CONTROL!$C$21, $C$9, 100%, $E$9)</f>
        <v>33.7378</v>
      </c>
      <c r="R571" s="17">
        <f>CHOOSE(CONTROL!$C$42, 34.4092, 34.4092) * CHOOSE(CONTROL!$C$21, $C$9, 100%, $E$9)</f>
        <v>34.409199999999998</v>
      </c>
      <c r="S571" s="17">
        <f>CHOOSE(CONTROL!$C$42, 32.1249, 32.1249) * CHOOSE(CONTROL!$C$21, $C$9, 100%, $E$9)</f>
        <v>32.124899999999997</v>
      </c>
      <c r="T57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71" s="56">
        <f>(1000*CHOOSE(CONTROL!$C$42, 695, 695)*CHOOSE(CONTROL!$C$42, 0.5599, 0.5599)*CHOOSE(CONTROL!$C$42, 31, 31))/1000000</f>
        <v>12.063045499999998</v>
      </c>
      <c r="V571" s="56">
        <f>(1000*CHOOSE(CONTROL!$C$42, 500, 500)*CHOOSE(CONTROL!$C$42, 0.275, 0.275)*CHOOSE(CONTROL!$C$42, 31, 31))/1000000</f>
        <v>4.2625000000000002</v>
      </c>
      <c r="W571" s="56">
        <f>(1000*CHOOSE(CONTROL!$C$42, 0.1146, 0.1146)*CHOOSE(CONTROL!$C$42, 121.5, 121.5)*CHOOSE(CONTROL!$C$42, 31, 31))/1000000</f>
        <v>0.43164089999999994</v>
      </c>
      <c r="X571" s="56">
        <f>(31*0.1790888*145000/1000000)+(31*0.2374*100000/1000000)</f>
        <v>1.5409441560000001</v>
      </c>
      <c r="Y571" s="56"/>
      <c r="Z571" s="17"/>
      <c r="AA571" s="55"/>
      <c r="AB571" s="48">
        <f>(B571*194.205+C571*267.466+D571*133.845+E571*153.484+F571*40+G571*85+H571*0+I571*100+J571*300)/(194.205+267.466+133.845+153.484+0+40+85+100+300)</f>
        <v>33.527139677786494</v>
      </c>
      <c r="AC571" s="45">
        <f>(M571*'RAP TEMPLATE-GAS AVAILABILITY'!O570+N571*'RAP TEMPLATE-GAS AVAILABILITY'!P570+O571*'RAP TEMPLATE-GAS AVAILABILITY'!Q570+P571*'RAP TEMPLATE-GAS AVAILABILITY'!R570)/('RAP TEMPLATE-GAS AVAILABILITY'!O570+'RAP TEMPLATE-GAS AVAILABILITY'!P570+'RAP TEMPLATE-GAS AVAILABILITY'!Q570+'RAP TEMPLATE-GAS AVAILABILITY'!R570)</f>
        <v>32.959617985611509</v>
      </c>
    </row>
    <row r="572" spans="1:29" ht="15.75" x14ac:dyDescent="0.25">
      <c r="A572" s="13">
        <v>58318</v>
      </c>
      <c r="B572" s="17">
        <f>CHOOSE(CONTROL!$C$42, 31.7918, 31.7918) * CHOOSE(CONTROL!$C$21, $C$9, 100%, $E$9)</f>
        <v>31.791799999999999</v>
      </c>
      <c r="C572" s="17">
        <f>CHOOSE(CONTROL!$C$42, 31.7999, 31.7999) * CHOOSE(CONTROL!$C$21, $C$9, 100%, $E$9)</f>
        <v>31.799900000000001</v>
      </c>
      <c r="D572" s="17">
        <f>CHOOSE(CONTROL!$C$42, 32.0709, 32.0709) * CHOOSE(CONTROL!$C$21, $C$9, 100%, $E$9)</f>
        <v>32.070900000000002</v>
      </c>
      <c r="E572" s="17">
        <f>CHOOSE(CONTROL!$C$42, 32.1024, 32.1024) * CHOOSE(CONTROL!$C$21, $C$9, 100%, $E$9)</f>
        <v>32.102400000000003</v>
      </c>
      <c r="F572" s="17">
        <f>CHOOSE(CONTROL!$C$42, 31.811, 31.811)*CHOOSE(CONTROL!$C$21, $C$9, 100%, $E$9)</f>
        <v>31.811</v>
      </c>
      <c r="G572" s="17">
        <f>CHOOSE(CONTROL!$C$42, 31.8278, 31.8278)*CHOOSE(CONTROL!$C$21, $C$9, 100%, $E$9)</f>
        <v>31.8278</v>
      </c>
      <c r="H572" s="17">
        <f>CHOOSE(CONTROL!$C$42, 32.091, 32.091) * CHOOSE(CONTROL!$C$21, $C$9, 100%, $E$9)</f>
        <v>32.091000000000001</v>
      </c>
      <c r="I572" s="17">
        <f>CHOOSE(CONTROL!$C$42, 31.9113, 31.9113)* CHOOSE(CONTROL!$C$21, $C$9, 100%, $E$9)</f>
        <v>31.911300000000001</v>
      </c>
      <c r="J572" s="17">
        <f>CHOOSE(CONTROL!$C$42, 31.804, 31.804)* CHOOSE(CONTROL!$C$21, $C$9, 100%, $E$9)</f>
        <v>31.803999999999998</v>
      </c>
      <c r="K572" s="52">
        <f>CHOOSE(CONTROL!$C$42, 31.907, 31.907) * CHOOSE(CONTROL!$C$21, $C$9, 100%, $E$9)</f>
        <v>31.907</v>
      </c>
      <c r="L572" s="17">
        <f>CHOOSE(CONTROL!$C$42, 32.678, 32.678) * CHOOSE(CONTROL!$C$21, $C$9, 100%, $E$9)</f>
        <v>32.677999999999997</v>
      </c>
      <c r="M572" s="17">
        <f>CHOOSE(CONTROL!$C$42, 31.2396, 31.2396) * CHOOSE(CONTROL!$C$21, $C$9, 100%, $E$9)</f>
        <v>31.239599999999999</v>
      </c>
      <c r="N572" s="17">
        <f>CHOOSE(CONTROL!$C$42, 31.2562, 31.2562) * CHOOSE(CONTROL!$C$21, $C$9, 100%, $E$9)</f>
        <v>31.2562</v>
      </c>
      <c r="O572" s="17">
        <f>CHOOSE(CONTROL!$C$42, 31.5215, 31.5215) * CHOOSE(CONTROL!$C$21, $C$9, 100%, $E$9)</f>
        <v>31.5215</v>
      </c>
      <c r="P572" s="17">
        <f>CHOOSE(CONTROL!$C$42, 31.3433, 31.3433) * CHOOSE(CONTROL!$C$21, $C$9, 100%, $E$9)</f>
        <v>31.343299999999999</v>
      </c>
      <c r="Q572" s="17">
        <f>CHOOSE(CONTROL!$C$42, 32.1162, 32.1162) * CHOOSE(CONTROL!$C$21, $C$9, 100%, $E$9)</f>
        <v>32.116199999999999</v>
      </c>
      <c r="R572" s="17">
        <f>CHOOSE(CONTROL!$C$42, 32.7835, 32.7835) * CHOOSE(CONTROL!$C$21, $C$9, 100%, $E$9)</f>
        <v>32.783499999999997</v>
      </c>
      <c r="S572" s="17">
        <f>CHOOSE(CONTROL!$C$42, 30.5381, 30.5381) * CHOOSE(CONTROL!$C$21, $C$9, 100%, $E$9)</f>
        <v>30.5381</v>
      </c>
      <c r="T57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72" s="56">
        <f>(1000*CHOOSE(CONTROL!$C$42, 695, 695)*CHOOSE(CONTROL!$C$42, 0.5599, 0.5599)*CHOOSE(CONTROL!$C$42, 31, 31))/1000000</f>
        <v>12.063045499999998</v>
      </c>
      <c r="V572" s="56">
        <f>(1000*CHOOSE(CONTROL!$C$42, 500, 500)*CHOOSE(CONTROL!$C$42, 0.275, 0.275)*CHOOSE(CONTROL!$C$42, 31, 31))/1000000</f>
        <v>4.2625000000000002</v>
      </c>
      <c r="W572" s="56">
        <f>(1000*CHOOSE(CONTROL!$C$42, 0.1146, 0.1146)*CHOOSE(CONTROL!$C$42, 121.5, 121.5)*CHOOSE(CONTROL!$C$42, 31, 31))/1000000</f>
        <v>0.43164089999999994</v>
      </c>
      <c r="X572" s="56">
        <f>(31*0.1790888*145000/1000000)+(31*0.2374*100000/1000000)</f>
        <v>1.5409441560000001</v>
      </c>
      <c r="Y572" s="56"/>
      <c r="Z572" s="17"/>
      <c r="AA572" s="55"/>
      <c r="AB572" s="48">
        <f>(B572*194.205+C572*267.466+D572*133.845+E572*153.484+F572*40+G572*85+H572*0+I572*100+J572*300)/(194.205+267.466+133.845+153.484+0+40+85+100+300)</f>
        <v>31.875499171507062</v>
      </c>
      <c r="AC572" s="45">
        <f>(M572*'RAP TEMPLATE-GAS AVAILABILITY'!O571+N572*'RAP TEMPLATE-GAS AVAILABILITY'!P571+O572*'RAP TEMPLATE-GAS AVAILABILITY'!Q571+P572*'RAP TEMPLATE-GAS AVAILABILITY'!R571)/('RAP TEMPLATE-GAS AVAILABILITY'!O571+'RAP TEMPLATE-GAS AVAILABILITY'!P571+'RAP TEMPLATE-GAS AVAILABILITY'!Q571+'RAP TEMPLATE-GAS AVAILABILITY'!R571)</f>
        <v>31.337436690647479</v>
      </c>
    </row>
    <row r="573" spans="1:29" ht="15.75" x14ac:dyDescent="0.25">
      <c r="A573" s="13">
        <v>58348</v>
      </c>
      <c r="B573" s="17">
        <f>CHOOSE(CONTROL!$C$42, 29.774, 29.774) * CHOOSE(CONTROL!$C$21, $C$9, 100%, $E$9)</f>
        <v>29.774000000000001</v>
      </c>
      <c r="C573" s="17">
        <f>CHOOSE(CONTROL!$C$42, 29.782, 29.782) * CHOOSE(CONTROL!$C$21, $C$9, 100%, $E$9)</f>
        <v>29.782</v>
      </c>
      <c r="D573" s="17">
        <f>CHOOSE(CONTROL!$C$42, 30.0531, 30.0531) * CHOOSE(CONTROL!$C$21, $C$9, 100%, $E$9)</f>
        <v>30.053100000000001</v>
      </c>
      <c r="E573" s="17">
        <f>CHOOSE(CONTROL!$C$42, 30.0845, 30.0845) * CHOOSE(CONTROL!$C$21, $C$9, 100%, $E$9)</f>
        <v>30.084499999999998</v>
      </c>
      <c r="F573" s="17">
        <f>CHOOSE(CONTROL!$C$42, 29.7932, 29.7932)*CHOOSE(CONTROL!$C$21, $C$9, 100%, $E$9)</f>
        <v>29.793199999999999</v>
      </c>
      <c r="G573" s="17">
        <f>CHOOSE(CONTROL!$C$42, 29.8101, 29.8101)*CHOOSE(CONTROL!$C$21, $C$9, 100%, $E$9)</f>
        <v>29.810099999999998</v>
      </c>
      <c r="H573" s="17">
        <f>CHOOSE(CONTROL!$C$42, 30.0731, 30.0731) * CHOOSE(CONTROL!$C$21, $C$9, 100%, $E$9)</f>
        <v>30.0731</v>
      </c>
      <c r="I573" s="17">
        <f>CHOOSE(CONTROL!$C$42, 29.8871, 29.8871)* CHOOSE(CONTROL!$C$21, $C$9, 100%, $E$9)</f>
        <v>29.8871</v>
      </c>
      <c r="J573" s="17">
        <f>CHOOSE(CONTROL!$C$42, 29.7862, 29.7862)* CHOOSE(CONTROL!$C$21, $C$9, 100%, $E$9)</f>
        <v>29.786200000000001</v>
      </c>
      <c r="K573" s="52">
        <f>CHOOSE(CONTROL!$C$42, 29.8829, 29.8829) * CHOOSE(CONTROL!$C$21, $C$9, 100%, $E$9)</f>
        <v>29.882899999999999</v>
      </c>
      <c r="L573" s="17">
        <f>CHOOSE(CONTROL!$C$42, 30.6601, 30.6601) * CHOOSE(CONTROL!$C$21, $C$9, 100%, $E$9)</f>
        <v>30.6601</v>
      </c>
      <c r="M573" s="17">
        <f>CHOOSE(CONTROL!$C$42, 29.2581, 29.2581) * CHOOSE(CONTROL!$C$21, $C$9, 100%, $E$9)</f>
        <v>29.258099999999999</v>
      </c>
      <c r="N573" s="17">
        <f>CHOOSE(CONTROL!$C$42, 29.2747, 29.2747) * CHOOSE(CONTROL!$C$21, $C$9, 100%, $E$9)</f>
        <v>29.274699999999999</v>
      </c>
      <c r="O573" s="17">
        <f>CHOOSE(CONTROL!$C$42, 29.5399, 29.5399) * CHOOSE(CONTROL!$C$21, $C$9, 100%, $E$9)</f>
        <v>29.539899999999999</v>
      </c>
      <c r="P573" s="17">
        <f>CHOOSE(CONTROL!$C$42, 29.3556, 29.3556) * CHOOSE(CONTROL!$C$21, $C$9, 100%, $E$9)</f>
        <v>29.355599999999999</v>
      </c>
      <c r="Q573" s="17">
        <f>CHOOSE(CONTROL!$C$42, 30.1346, 30.1346) * CHOOSE(CONTROL!$C$21, $C$9, 100%, $E$9)</f>
        <v>30.134599999999999</v>
      </c>
      <c r="R573" s="17">
        <f>CHOOSE(CONTROL!$C$42, 30.797, 30.797) * CHOOSE(CONTROL!$C$21, $C$9, 100%, $E$9)</f>
        <v>30.797000000000001</v>
      </c>
      <c r="S573" s="17">
        <f>CHOOSE(CONTROL!$C$42, 28.5992, 28.5992) * CHOOSE(CONTROL!$C$21, $C$9, 100%, $E$9)</f>
        <v>28.5992</v>
      </c>
      <c r="T57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73" s="56">
        <f>(1000*CHOOSE(CONTROL!$C$42, 695, 695)*CHOOSE(CONTROL!$C$42, 0.5599, 0.5599)*CHOOSE(CONTROL!$C$42, 30, 30))/1000000</f>
        <v>11.673914999999997</v>
      </c>
      <c r="V573" s="56">
        <f>(1000*CHOOSE(CONTROL!$C$42, 500, 500)*CHOOSE(CONTROL!$C$42, 0.275, 0.275)*CHOOSE(CONTROL!$C$42, 30, 30))/1000000</f>
        <v>4.125</v>
      </c>
      <c r="W573" s="56">
        <f>(1000*CHOOSE(CONTROL!$C$42, 0.1146, 0.1146)*CHOOSE(CONTROL!$C$42, 121.5, 121.5)*CHOOSE(CONTROL!$C$42, 30, 30))/1000000</f>
        <v>0.417717</v>
      </c>
      <c r="X573" s="56">
        <f>(30*0.1790888*145000/1000000)+(30*0.2374*100000/1000000)</f>
        <v>1.4912362799999999</v>
      </c>
      <c r="Y573" s="56"/>
      <c r="Z573" s="17"/>
      <c r="AA573" s="55"/>
      <c r="AB573" s="48">
        <f>(B573*194.205+C573*267.466+D573*133.845+E573*153.484+F573*40+G573*85+H573*0+I573*100+J573*300)/(194.205+267.466+133.845+153.484+0+40+85+100+300)</f>
        <v>29.857170447017268</v>
      </c>
      <c r="AC573" s="45">
        <f>(M573*'RAP TEMPLATE-GAS AVAILABILITY'!O572+N573*'RAP TEMPLATE-GAS AVAILABILITY'!P572+O573*'RAP TEMPLATE-GAS AVAILABILITY'!Q572+P573*'RAP TEMPLATE-GAS AVAILABILITY'!R572)/('RAP TEMPLATE-GAS AVAILABILITY'!O572+'RAP TEMPLATE-GAS AVAILABILITY'!P572+'RAP TEMPLATE-GAS AVAILABILITY'!Q572+'RAP TEMPLATE-GAS AVAILABILITY'!R572)</f>
        <v>29.355016546762595</v>
      </c>
    </row>
    <row r="574" spans="1:29" ht="15.75" x14ac:dyDescent="0.25">
      <c r="A574" s="13">
        <v>58379</v>
      </c>
      <c r="B574" s="17">
        <f>CHOOSE(CONTROL!$C$42, 29.1679, 29.1679) * CHOOSE(CONTROL!$C$21, $C$9, 100%, $E$9)</f>
        <v>29.167899999999999</v>
      </c>
      <c r="C574" s="17">
        <f>CHOOSE(CONTROL!$C$42, 29.1732, 29.1732) * CHOOSE(CONTROL!$C$21, $C$9, 100%, $E$9)</f>
        <v>29.173200000000001</v>
      </c>
      <c r="D574" s="17">
        <f>CHOOSE(CONTROL!$C$42, 29.4493, 29.4493) * CHOOSE(CONTROL!$C$21, $C$9, 100%, $E$9)</f>
        <v>29.449300000000001</v>
      </c>
      <c r="E574" s="17">
        <f>CHOOSE(CONTROL!$C$42, 29.4784, 29.4784) * CHOOSE(CONTROL!$C$21, $C$9, 100%, $E$9)</f>
        <v>29.478400000000001</v>
      </c>
      <c r="F574" s="17">
        <f>CHOOSE(CONTROL!$C$42, 29.1893, 29.1893)*CHOOSE(CONTROL!$C$21, $C$9, 100%, $E$9)</f>
        <v>29.189299999999999</v>
      </c>
      <c r="G574" s="17">
        <f>CHOOSE(CONTROL!$C$42, 29.2061, 29.2061)*CHOOSE(CONTROL!$C$21, $C$9, 100%, $E$9)</f>
        <v>29.206099999999999</v>
      </c>
      <c r="H574" s="17">
        <f>CHOOSE(CONTROL!$C$42, 29.4689, 29.4689) * CHOOSE(CONTROL!$C$21, $C$9, 100%, $E$9)</f>
        <v>29.468900000000001</v>
      </c>
      <c r="I574" s="17">
        <f>CHOOSE(CONTROL!$C$42, 29.2809, 29.2809)* CHOOSE(CONTROL!$C$21, $C$9, 100%, $E$9)</f>
        <v>29.280899999999999</v>
      </c>
      <c r="J574" s="17">
        <f>CHOOSE(CONTROL!$C$42, 29.1823, 29.1823)* CHOOSE(CONTROL!$C$21, $C$9, 100%, $E$9)</f>
        <v>29.182300000000001</v>
      </c>
      <c r="K574" s="52">
        <f>CHOOSE(CONTROL!$C$42, 29.2767, 29.2767) * CHOOSE(CONTROL!$C$21, $C$9, 100%, $E$9)</f>
        <v>29.276700000000002</v>
      </c>
      <c r="L574" s="17">
        <f>CHOOSE(CONTROL!$C$42, 30.0559, 30.0559) * CHOOSE(CONTROL!$C$21, $C$9, 100%, $E$9)</f>
        <v>30.055900000000001</v>
      </c>
      <c r="M574" s="17">
        <f>CHOOSE(CONTROL!$C$42, 28.6651, 28.6651) * CHOOSE(CONTROL!$C$21, $C$9, 100%, $E$9)</f>
        <v>28.665099999999999</v>
      </c>
      <c r="N574" s="17">
        <f>CHOOSE(CONTROL!$C$42, 28.6816, 28.6816) * CHOOSE(CONTROL!$C$21, $C$9, 100%, $E$9)</f>
        <v>28.6816</v>
      </c>
      <c r="O574" s="17">
        <f>CHOOSE(CONTROL!$C$42, 28.9465, 28.9465) * CHOOSE(CONTROL!$C$21, $C$9, 100%, $E$9)</f>
        <v>28.9465</v>
      </c>
      <c r="P574" s="17">
        <f>CHOOSE(CONTROL!$C$42, 28.7604, 28.7604) * CHOOSE(CONTROL!$C$21, $C$9, 100%, $E$9)</f>
        <v>28.760400000000001</v>
      </c>
      <c r="Q574" s="17">
        <f>CHOOSE(CONTROL!$C$42, 29.5412, 29.5412) * CHOOSE(CONTROL!$C$21, $C$9, 100%, $E$9)</f>
        <v>29.5412</v>
      </c>
      <c r="R574" s="17">
        <f>CHOOSE(CONTROL!$C$42, 30.2021, 30.2021) * CHOOSE(CONTROL!$C$21, $C$9, 100%, $E$9)</f>
        <v>30.202100000000002</v>
      </c>
      <c r="S574" s="17">
        <f>CHOOSE(CONTROL!$C$42, 28.0185, 28.0185) * CHOOSE(CONTROL!$C$21, $C$9, 100%, $E$9)</f>
        <v>28.0185</v>
      </c>
      <c r="T57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74" s="56">
        <f>(1000*CHOOSE(CONTROL!$C$42, 695, 695)*CHOOSE(CONTROL!$C$42, 0.5599, 0.5599)*CHOOSE(CONTROL!$C$42, 31, 31))/1000000</f>
        <v>12.063045499999998</v>
      </c>
      <c r="V574" s="56">
        <f>(1000*CHOOSE(CONTROL!$C$42, 500, 500)*CHOOSE(CONTROL!$C$42, 0.275, 0.275)*CHOOSE(CONTROL!$C$42, 31, 31))/1000000</f>
        <v>4.2625000000000002</v>
      </c>
      <c r="W574" s="56">
        <f>(1000*CHOOSE(CONTROL!$C$42, 0.1146, 0.1146)*CHOOSE(CONTROL!$C$42, 121.5, 121.5)*CHOOSE(CONTROL!$C$42, 31, 31))/1000000</f>
        <v>0.43164089999999994</v>
      </c>
      <c r="X574" s="56">
        <f>(31*0.1790888*145000/1000000)+(31*0.2374*100000/1000000)</f>
        <v>1.5409441560000001</v>
      </c>
      <c r="Y574" s="56"/>
      <c r="Z574" s="17"/>
      <c r="AA574" s="55"/>
      <c r="AB574" s="48">
        <f>(B574*131.881+C574*277.167+D574*79.08+E574*225.872+F574*40+G574*85+H574*0+I574*100+J574*300)/(131.881+277.167+79.08+225.872+0+40+85+100+300)</f>
        <v>29.259569372962066</v>
      </c>
      <c r="AC574" s="45">
        <f>(M574*'RAP TEMPLATE-GAS AVAILABILITY'!O573+N574*'RAP TEMPLATE-GAS AVAILABILITY'!P573+O574*'RAP TEMPLATE-GAS AVAILABILITY'!Q573+P574*'RAP TEMPLATE-GAS AVAILABILITY'!R573)/('RAP TEMPLATE-GAS AVAILABILITY'!O573+'RAP TEMPLATE-GAS AVAILABILITY'!P573+'RAP TEMPLATE-GAS AVAILABILITY'!Q573+'RAP TEMPLATE-GAS AVAILABILITY'!R573)</f>
        <v>28.76156474820144</v>
      </c>
    </row>
    <row r="575" spans="1:29" ht="15.75" x14ac:dyDescent="0.25">
      <c r="A575" s="13">
        <v>58409</v>
      </c>
      <c r="B575" s="17">
        <f>CHOOSE(CONTROL!$C$42, 29.9357, 29.9357) * CHOOSE(CONTROL!$C$21, $C$9, 100%, $E$9)</f>
        <v>29.935700000000001</v>
      </c>
      <c r="C575" s="17">
        <f>CHOOSE(CONTROL!$C$42, 29.9407, 29.9407) * CHOOSE(CONTROL!$C$21, $C$9, 100%, $E$9)</f>
        <v>29.9407</v>
      </c>
      <c r="D575" s="17">
        <f>CHOOSE(CONTROL!$C$42, 30.0358, 30.0358) * CHOOSE(CONTROL!$C$21, $C$9, 100%, $E$9)</f>
        <v>30.035799999999998</v>
      </c>
      <c r="E575" s="17">
        <f>CHOOSE(CONTROL!$C$42, 30.0699, 30.0699) * CHOOSE(CONTROL!$C$21, $C$9, 100%, $E$9)</f>
        <v>30.069900000000001</v>
      </c>
      <c r="F575" s="17">
        <f>CHOOSE(CONTROL!$C$42, 29.9596, 29.9596)*CHOOSE(CONTROL!$C$21, $C$9, 100%, $E$9)</f>
        <v>29.959599999999998</v>
      </c>
      <c r="G575" s="17">
        <f>CHOOSE(CONTROL!$C$42, 29.9766, 29.9766)*CHOOSE(CONTROL!$C$21, $C$9, 100%, $E$9)</f>
        <v>29.976600000000001</v>
      </c>
      <c r="H575" s="17">
        <f>CHOOSE(CONTROL!$C$42, 30.0591, 30.0591) * CHOOSE(CONTROL!$C$21, $C$9, 100%, $E$9)</f>
        <v>30.059100000000001</v>
      </c>
      <c r="I575" s="17">
        <f>CHOOSE(CONTROL!$C$42, 30.0494, 30.0494)* CHOOSE(CONTROL!$C$21, $C$9, 100%, $E$9)</f>
        <v>30.049399999999999</v>
      </c>
      <c r="J575" s="17">
        <f>CHOOSE(CONTROL!$C$42, 29.9526, 29.9526)* CHOOSE(CONTROL!$C$21, $C$9, 100%, $E$9)</f>
        <v>29.9526</v>
      </c>
      <c r="K575" s="52">
        <f>CHOOSE(CONTROL!$C$42, 30.0451, 30.0451) * CHOOSE(CONTROL!$C$21, $C$9, 100%, $E$9)</f>
        <v>30.045100000000001</v>
      </c>
      <c r="L575" s="17">
        <f>CHOOSE(CONTROL!$C$42, 30.6461, 30.6461) * CHOOSE(CONTROL!$C$21, $C$9, 100%, $E$9)</f>
        <v>30.646100000000001</v>
      </c>
      <c r="M575" s="17">
        <f>CHOOSE(CONTROL!$C$42, 29.4215, 29.4215) * CHOOSE(CONTROL!$C$21, $C$9, 100%, $E$9)</f>
        <v>29.421500000000002</v>
      </c>
      <c r="N575" s="17">
        <f>CHOOSE(CONTROL!$C$42, 29.4383, 29.4383) * CHOOSE(CONTROL!$C$21, $C$9, 100%, $E$9)</f>
        <v>29.438300000000002</v>
      </c>
      <c r="O575" s="17">
        <f>CHOOSE(CONTROL!$C$42, 29.5261, 29.5261) * CHOOSE(CONTROL!$C$21, $C$9, 100%, $E$9)</f>
        <v>29.5261</v>
      </c>
      <c r="P575" s="17">
        <f>CHOOSE(CONTROL!$C$42, 29.515, 29.515) * CHOOSE(CONTROL!$C$21, $C$9, 100%, $E$9)</f>
        <v>29.515000000000001</v>
      </c>
      <c r="Q575" s="17">
        <f>CHOOSE(CONTROL!$C$42, 30.1208, 30.1208) * CHOOSE(CONTROL!$C$21, $C$9, 100%, $E$9)</f>
        <v>30.120799999999999</v>
      </c>
      <c r="R575" s="17">
        <f>CHOOSE(CONTROL!$C$42, 30.7831, 30.7831) * CHOOSE(CONTROL!$C$21, $C$9, 100%, $E$9)</f>
        <v>30.783100000000001</v>
      </c>
      <c r="S575" s="17">
        <f>CHOOSE(CONTROL!$C$42, 28.7566, 28.7566) * CHOOSE(CONTROL!$C$21, $C$9, 100%, $E$9)</f>
        <v>28.756599999999999</v>
      </c>
      <c r="T57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75" s="56">
        <f>(1000*CHOOSE(CONTROL!$C$42, 695, 695)*CHOOSE(CONTROL!$C$42, 0.5599, 0.5599)*CHOOSE(CONTROL!$C$42, 30, 30))/1000000</f>
        <v>11.673914999999997</v>
      </c>
      <c r="V575" s="56">
        <f>(1000*CHOOSE(CONTROL!$C$42, 500, 500)*CHOOSE(CONTROL!$C$42, 0.275, 0.275)*CHOOSE(CONTROL!$C$42, 30, 30))/1000000</f>
        <v>4.125</v>
      </c>
      <c r="W575" s="56">
        <f>(1000*CHOOSE(CONTROL!$C$42, 0.1146, 0.1146)*CHOOSE(CONTROL!$C$42, 121.5, 121.5)*CHOOSE(CONTROL!$C$42, 30, 30))/1000000</f>
        <v>0.417717</v>
      </c>
      <c r="X575" s="56">
        <f>(30*0.2374*100000/1000000)</f>
        <v>0.71220000000000006</v>
      </c>
      <c r="Y575" s="56"/>
      <c r="Z575" s="17"/>
      <c r="AA575" s="55"/>
      <c r="AB575" s="48">
        <f>(B575*122.58+C575*297.941+D575*89.177+E575*140.302+F575*40+G575*60+H575*0+I575*100+J575*300)/(122.58+297.941+89.177+140.302+0+40+60+100+300)</f>
        <v>29.978391174869561</v>
      </c>
      <c r="AC575" s="45">
        <f>(M575*'RAP TEMPLATE-GAS AVAILABILITY'!O574+N575*'RAP TEMPLATE-GAS AVAILABILITY'!P574+O575*'RAP TEMPLATE-GAS AVAILABILITY'!Q574+P575*'RAP TEMPLATE-GAS AVAILABILITY'!R574)/('RAP TEMPLATE-GAS AVAILABILITY'!O574+'RAP TEMPLATE-GAS AVAILABILITY'!P574+'RAP TEMPLATE-GAS AVAILABILITY'!Q574+'RAP TEMPLATE-GAS AVAILABILITY'!R574)</f>
        <v>29.483328776978421</v>
      </c>
    </row>
    <row r="576" spans="1:29" ht="15.75" x14ac:dyDescent="0.25">
      <c r="A576" s="13">
        <v>58440</v>
      </c>
      <c r="B576" s="17">
        <f>CHOOSE(CONTROL!$C$42, 31.976, 31.976) * CHOOSE(CONTROL!$C$21, $C$9, 100%, $E$9)</f>
        <v>31.975999999999999</v>
      </c>
      <c r="C576" s="17">
        <f>CHOOSE(CONTROL!$C$42, 31.9811, 31.9811) * CHOOSE(CONTROL!$C$21, $C$9, 100%, $E$9)</f>
        <v>31.981100000000001</v>
      </c>
      <c r="D576" s="17">
        <f>CHOOSE(CONTROL!$C$42, 32.0761, 32.0761) * CHOOSE(CONTROL!$C$21, $C$9, 100%, $E$9)</f>
        <v>32.076099999999997</v>
      </c>
      <c r="E576" s="17">
        <f>CHOOSE(CONTROL!$C$42, 32.1102, 32.1102) * CHOOSE(CONTROL!$C$21, $C$9, 100%, $E$9)</f>
        <v>32.110199999999999</v>
      </c>
      <c r="F576" s="17">
        <f>CHOOSE(CONTROL!$C$42, 32.0022, 32.0022)*CHOOSE(CONTROL!$C$21, $C$9, 100%, $E$9)</f>
        <v>32.002200000000002</v>
      </c>
      <c r="G576" s="17">
        <f>CHOOSE(CONTROL!$C$42, 32.0199, 32.0199)*CHOOSE(CONTROL!$C$21, $C$9, 100%, $E$9)</f>
        <v>32.0199</v>
      </c>
      <c r="H576" s="17">
        <f>CHOOSE(CONTROL!$C$42, 32.0994, 32.0994) * CHOOSE(CONTROL!$C$21, $C$9, 100%, $E$9)</f>
        <v>32.099400000000003</v>
      </c>
      <c r="I576" s="17">
        <f>CHOOSE(CONTROL!$C$42, 32.0961, 32.0961)* CHOOSE(CONTROL!$C$21, $C$9, 100%, $E$9)</f>
        <v>32.0961</v>
      </c>
      <c r="J576" s="17">
        <f>CHOOSE(CONTROL!$C$42, 31.9952, 31.9952)* CHOOSE(CONTROL!$C$21, $C$9, 100%, $E$9)</f>
        <v>31.995200000000001</v>
      </c>
      <c r="K576" s="52">
        <f>CHOOSE(CONTROL!$C$42, 32.0919, 32.0919) * CHOOSE(CONTROL!$C$21, $C$9, 100%, $E$9)</f>
        <v>32.091900000000003</v>
      </c>
      <c r="L576" s="17">
        <f>CHOOSE(CONTROL!$C$42, 32.6864, 32.6864) * CHOOSE(CONTROL!$C$21, $C$9, 100%, $E$9)</f>
        <v>32.686399999999999</v>
      </c>
      <c r="M576" s="17">
        <f>CHOOSE(CONTROL!$C$42, 31.4275, 31.4275) * CHOOSE(CONTROL!$C$21, $C$9, 100%, $E$9)</f>
        <v>31.427499999999998</v>
      </c>
      <c r="N576" s="17">
        <f>CHOOSE(CONTROL!$C$42, 31.4448, 31.4448) * CHOOSE(CONTROL!$C$21, $C$9, 100%, $E$9)</f>
        <v>31.444800000000001</v>
      </c>
      <c r="O576" s="17">
        <f>CHOOSE(CONTROL!$C$42, 31.5297, 31.5297) * CHOOSE(CONTROL!$C$21, $C$9, 100%, $E$9)</f>
        <v>31.529699999999998</v>
      </c>
      <c r="P576" s="17">
        <f>CHOOSE(CONTROL!$C$42, 31.5248, 31.5248) * CHOOSE(CONTROL!$C$21, $C$9, 100%, $E$9)</f>
        <v>31.524799999999999</v>
      </c>
      <c r="Q576" s="17">
        <f>CHOOSE(CONTROL!$C$42, 32.1244, 32.1244) * CHOOSE(CONTROL!$C$21, $C$9, 100%, $E$9)</f>
        <v>32.124400000000001</v>
      </c>
      <c r="R576" s="17">
        <f>CHOOSE(CONTROL!$C$42, 32.7917, 32.7917) * CHOOSE(CONTROL!$C$21, $C$9, 100%, $E$9)</f>
        <v>32.791699999999999</v>
      </c>
      <c r="S576" s="17">
        <f>CHOOSE(CONTROL!$C$42, 30.7172, 30.7172) * CHOOSE(CONTROL!$C$21, $C$9, 100%, $E$9)</f>
        <v>30.717199999999998</v>
      </c>
      <c r="T57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76" s="56">
        <f>(1000*CHOOSE(CONTROL!$C$42, 695, 695)*CHOOSE(CONTROL!$C$42, 0.5599, 0.5599)*CHOOSE(CONTROL!$C$42, 31, 31))/1000000</f>
        <v>12.063045499999998</v>
      </c>
      <c r="V576" s="56">
        <f>(1000*CHOOSE(CONTROL!$C$42, 500, 500)*CHOOSE(CONTROL!$C$42, 0.275, 0.275)*CHOOSE(CONTROL!$C$42, 31, 31))/1000000</f>
        <v>4.2625000000000002</v>
      </c>
      <c r="W576" s="56">
        <f>(1000*CHOOSE(CONTROL!$C$42, 0.1146, 0.1146)*CHOOSE(CONTROL!$C$42, 121.5, 121.5)*CHOOSE(CONTROL!$C$42, 31, 31))/1000000</f>
        <v>0.43164089999999994</v>
      </c>
      <c r="X576" s="56">
        <f>(31*0.2374*100000/1000000)</f>
        <v>0.73594000000000004</v>
      </c>
      <c r="Y576" s="56"/>
      <c r="Z576" s="17"/>
      <c r="AA576" s="55"/>
      <c r="AB576" s="48">
        <f>(B576*122.58+C576*297.941+D576*89.177+E576*140.302+F576*40+G576*60+H576*0+I576*100+J576*300)/(122.58+297.941+89.177+140.302+0+40+60+100+300)</f>
        <v>32.020110126260867</v>
      </c>
      <c r="AC576" s="45">
        <f>(M576*'RAP TEMPLATE-GAS AVAILABILITY'!O575+N576*'RAP TEMPLATE-GAS AVAILABILITY'!P575+O576*'RAP TEMPLATE-GAS AVAILABILITY'!Q575+P576*'RAP TEMPLATE-GAS AVAILABILITY'!R575)/('RAP TEMPLATE-GAS AVAILABILITY'!O575+'RAP TEMPLATE-GAS AVAILABILITY'!P575+'RAP TEMPLATE-GAS AVAILABILITY'!Q575+'RAP TEMPLATE-GAS AVAILABILITY'!R575)</f>
        <v>31.488816546762585</v>
      </c>
    </row>
    <row r="577" spans="1:29" ht="15.75" x14ac:dyDescent="0.25">
      <c r="A577" s="13">
        <v>58471</v>
      </c>
      <c r="B577" s="17">
        <f>CHOOSE(CONTROL!$C$42, 34.626, 34.626) * CHOOSE(CONTROL!$C$21, $C$9, 100%, $E$9)</f>
        <v>34.625999999999998</v>
      </c>
      <c r="C577" s="17">
        <f>CHOOSE(CONTROL!$C$42, 34.6311, 34.6311) * CHOOSE(CONTROL!$C$21, $C$9, 100%, $E$9)</f>
        <v>34.631100000000004</v>
      </c>
      <c r="D577" s="17">
        <f>CHOOSE(CONTROL!$C$42, 34.7496, 34.7496) * CHOOSE(CONTROL!$C$21, $C$9, 100%, $E$9)</f>
        <v>34.749600000000001</v>
      </c>
      <c r="E577" s="17">
        <f>CHOOSE(CONTROL!$C$42, 34.7837, 34.7837) * CHOOSE(CONTROL!$C$21, $C$9, 100%, $E$9)</f>
        <v>34.783700000000003</v>
      </c>
      <c r="F577" s="17">
        <f>CHOOSE(CONTROL!$C$42, 34.6464, 34.6464)*CHOOSE(CONTROL!$C$21, $C$9, 100%, $E$9)</f>
        <v>34.6464</v>
      </c>
      <c r="G577" s="17">
        <f>CHOOSE(CONTROL!$C$42, 34.6633, 34.6633)*CHOOSE(CONTROL!$C$21, $C$9, 100%, $E$9)</f>
        <v>34.6633</v>
      </c>
      <c r="H577" s="17">
        <f>CHOOSE(CONTROL!$C$42, 34.7729, 34.7729) * CHOOSE(CONTROL!$C$21, $C$9, 100%, $E$9)</f>
        <v>34.7729</v>
      </c>
      <c r="I577" s="17">
        <f>CHOOSE(CONTROL!$C$42, 34.7581, 34.7581)* CHOOSE(CONTROL!$C$21, $C$9, 100%, $E$9)</f>
        <v>34.758099999999999</v>
      </c>
      <c r="J577" s="17">
        <f>CHOOSE(CONTROL!$C$42, 34.6394, 34.6394)* CHOOSE(CONTROL!$C$21, $C$9, 100%, $E$9)</f>
        <v>34.639400000000002</v>
      </c>
      <c r="K577" s="52">
        <f>CHOOSE(CONTROL!$C$42, 34.7539, 34.7539) * CHOOSE(CONTROL!$C$21, $C$9, 100%, $E$9)</f>
        <v>34.753900000000002</v>
      </c>
      <c r="L577" s="17">
        <f>CHOOSE(CONTROL!$C$42, 35.3599, 35.3599) * CHOOSE(CONTROL!$C$21, $C$9, 100%, $E$9)</f>
        <v>35.359900000000003</v>
      </c>
      <c r="M577" s="17">
        <f>CHOOSE(CONTROL!$C$42, 34.0241, 34.0241) * CHOOSE(CONTROL!$C$21, $C$9, 100%, $E$9)</f>
        <v>34.024099999999997</v>
      </c>
      <c r="N577" s="17">
        <f>CHOOSE(CONTROL!$C$42, 34.0406, 34.0406) * CHOOSE(CONTROL!$C$21, $C$9, 100%, $E$9)</f>
        <v>34.040599999999998</v>
      </c>
      <c r="O577" s="17">
        <f>CHOOSE(CONTROL!$C$42, 34.1551, 34.1551) * CHOOSE(CONTROL!$C$21, $C$9, 100%, $E$9)</f>
        <v>34.155099999999997</v>
      </c>
      <c r="P577" s="17">
        <f>CHOOSE(CONTROL!$C$42, 34.1388, 34.1388) * CHOOSE(CONTROL!$C$21, $C$9, 100%, $E$9)</f>
        <v>34.138800000000003</v>
      </c>
      <c r="Q577" s="17">
        <f>CHOOSE(CONTROL!$C$42, 34.7498, 34.7498) * CHOOSE(CONTROL!$C$21, $C$9, 100%, $E$9)</f>
        <v>34.7498</v>
      </c>
      <c r="R577" s="17">
        <f>CHOOSE(CONTROL!$C$42, 35.4237, 35.4237) * CHOOSE(CONTROL!$C$21, $C$9, 100%, $E$9)</f>
        <v>35.423699999999997</v>
      </c>
      <c r="S577" s="17">
        <f>CHOOSE(CONTROL!$C$42, 33.2636, 33.2636) * CHOOSE(CONTROL!$C$21, $C$9, 100%, $E$9)</f>
        <v>33.263599999999997</v>
      </c>
      <c r="T57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77" s="56">
        <f>(1000*CHOOSE(CONTROL!$C$42, 695, 695)*CHOOSE(CONTROL!$C$42, 0.5599, 0.5599)*CHOOSE(CONTROL!$C$42, 31, 31))/1000000</f>
        <v>12.063045499999998</v>
      </c>
      <c r="V577" s="56">
        <f>(1000*CHOOSE(CONTROL!$C$42, 500, 500)*CHOOSE(CONTROL!$C$42, 0.275, 0.275)*CHOOSE(CONTROL!$C$42, 31, 31))/1000000</f>
        <v>4.2625000000000002</v>
      </c>
      <c r="W577" s="56">
        <f>(1000*CHOOSE(CONTROL!$C$42, 0.1146, 0.1146)*CHOOSE(CONTROL!$C$42, 121.5, 121.5)*CHOOSE(CONTROL!$C$42, 31, 31))/1000000</f>
        <v>0.43164089999999994</v>
      </c>
      <c r="X577" s="56">
        <f>(31*0.2374*100000/1000000)</f>
        <v>0.73594000000000004</v>
      </c>
      <c r="Y577" s="56"/>
      <c r="Z577" s="17"/>
      <c r="AA577" s="55"/>
      <c r="AB577" s="48">
        <f>(B577*122.58+C577*297.941+D577*89.177+E577*140.302+F577*40+G577*60+H577*0+I577*100+J577*300)/(122.58+297.941+89.177+140.302+0+40+60+100+300)</f>
        <v>34.673783827565217</v>
      </c>
      <c r="AC577" s="45">
        <f>(M577*'RAP TEMPLATE-GAS AVAILABILITY'!O576+N577*'RAP TEMPLATE-GAS AVAILABILITY'!P576+O577*'RAP TEMPLATE-GAS AVAILABILITY'!Q576+P577*'RAP TEMPLATE-GAS AVAILABILITY'!R576)/('RAP TEMPLATE-GAS AVAILABILITY'!O576+'RAP TEMPLATE-GAS AVAILABILITY'!P576+'RAP TEMPLATE-GAS AVAILABILITY'!Q576+'RAP TEMPLATE-GAS AVAILABILITY'!R576)</f>
        <v>34.100927338129495</v>
      </c>
    </row>
    <row r="578" spans="1:29" ht="15.75" x14ac:dyDescent="0.25">
      <c r="A578" s="13">
        <v>58499</v>
      </c>
      <c r="B578" s="17">
        <f>CHOOSE(CONTROL!$C$42, 35.2423, 35.2423) * CHOOSE(CONTROL!$C$21, $C$9, 100%, $E$9)</f>
        <v>35.2423</v>
      </c>
      <c r="C578" s="17">
        <f>CHOOSE(CONTROL!$C$42, 35.2473, 35.2473) * CHOOSE(CONTROL!$C$21, $C$9, 100%, $E$9)</f>
        <v>35.247300000000003</v>
      </c>
      <c r="D578" s="17">
        <f>CHOOSE(CONTROL!$C$42, 35.3658, 35.3658) * CHOOSE(CONTROL!$C$21, $C$9, 100%, $E$9)</f>
        <v>35.3658</v>
      </c>
      <c r="E578" s="17">
        <f>CHOOSE(CONTROL!$C$42, 35.3999, 35.3999) * CHOOSE(CONTROL!$C$21, $C$9, 100%, $E$9)</f>
        <v>35.399900000000002</v>
      </c>
      <c r="F578" s="17">
        <f>CHOOSE(CONTROL!$C$42, 35.2626, 35.2626)*CHOOSE(CONTROL!$C$21, $C$9, 100%, $E$9)</f>
        <v>35.262599999999999</v>
      </c>
      <c r="G578" s="17">
        <f>CHOOSE(CONTROL!$C$42, 35.2795, 35.2795)*CHOOSE(CONTROL!$C$21, $C$9, 100%, $E$9)</f>
        <v>35.279499999999999</v>
      </c>
      <c r="H578" s="17">
        <f>CHOOSE(CONTROL!$C$42, 35.3891, 35.3891) * CHOOSE(CONTROL!$C$21, $C$9, 100%, $E$9)</f>
        <v>35.389099999999999</v>
      </c>
      <c r="I578" s="17">
        <f>CHOOSE(CONTROL!$C$42, 35.3762, 35.3762)* CHOOSE(CONTROL!$C$21, $C$9, 100%, $E$9)</f>
        <v>35.376199999999997</v>
      </c>
      <c r="J578" s="17">
        <f>CHOOSE(CONTROL!$C$42, 35.2556, 35.2556)* CHOOSE(CONTROL!$C$21, $C$9, 100%, $E$9)</f>
        <v>35.255600000000001</v>
      </c>
      <c r="K578" s="52">
        <f>CHOOSE(CONTROL!$C$42, 35.372, 35.372) * CHOOSE(CONTROL!$C$21, $C$9, 100%, $E$9)</f>
        <v>35.372</v>
      </c>
      <c r="L578" s="17">
        <f>CHOOSE(CONTROL!$C$42, 35.9761, 35.9761) * CHOOSE(CONTROL!$C$21, $C$9, 100%, $E$9)</f>
        <v>35.976100000000002</v>
      </c>
      <c r="M578" s="17">
        <f>CHOOSE(CONTROL!$C$42, 34.6292, 34.6292) * CHOOSE(CONTROL!$C$21, $C$9, 100%, $E$9)</f>
        <v>34.629199999999997</v>
      </c>
      <c r="N578" s="17">
        <f>CHOOSE(CONTROL!$C$42, 34.6457, 34.6457) * CHOOSE(CONTROL!$C$21, $C$9, 100%, $E$9)</f>
        <v>34.645699999999998</v>
      </c>
      <c r="O578" s="17">
        <f>CHOOSE(CONTROL!$C$42, 34.7602, 34.7602) * CHOOSE(CONTROL!$C$21, $C$9, 100%, $E$9)</f>
        <v>34.760199999999998</v>
      </c>
      <c r="P578" s="17">
        <f>CHOOSE(CONTROL!$C$42, 34.7458, 34.7458) * CHOOSE(CONTROL!$C$21, $C$9, 100%, $E$9)</f>
        <v>34.745800000000003</v>
      </c>
      <c r="Q578" s="17">
        <f>CHOOSE(CONTROL!$C$42, 35.3549, 35.3549) * CHOOSE(CONTROL!$C$21, $C$9, 100%, $E$9)</f>
        <v>35.354900000000001</v>
      </c>
      <c r="R578" s="17">
        <f>CHOOSE(CONTROL!$C$42, 36.0303, 36.0303) * CHOOSE(CONTROL!$C$21, $C$9, 100%, $E$9)</f>
        <v>36.030299999999997</v>
      </c>
      <c r="S578" s="17">
        <f>CHOOSE(CONTROL!$C$42, 33.8557, 33.8557) * CHOOSE(CONTROL!$C$21, $C$9, 100%, $E$9)</f>
        <v>33.855699999999999</v>
      </c>
      <c r="T578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78" s="56">
        <f>(1000*CHOOSE(CONTROL!$C$42, 695, 695)*CHOOSE(CONTROL!$C$42, 0.5599, 0.5599)*CHOOSE(CONTROL!$C$42, 29, 29))/1000000</f>
        <v>11.284784499999999</v>
      </c>
      <c r="V578" s="56">
        <f>(1000*CHOOSE(CONTROL!$C$42, 500, 500)*CHOOSE(CONTROL!$C$42, 0.275, 0.275)*CHOOSE(CONTROL!$C$42, 29, 29))/1000000</f>
        <v>3.9874999999999998</v>
      </c>
      <c r="W578" s="56">
        <f>(1000*CHOOSE(CONTROL!$C$42, 0.1146, 0.1146)*CHOOSE(CONTROL!$C$42, 121.5, 121.5)*CHOOSE(CONTROL!$C$42, 29, 29))/1000000</f>
        <v>0.40379309999999996</v>
      </c>
      <c r="X578" s="56">
        <f>(29*0.2374*100000/1000000)</f>
        <v>0.68845999999999996</v>
      </c>
      <c r="Y578" s="56"/>
      <c r="Z578" s="17"/>
      <c r="AA578" s="55"/>
      <c r="AB578" s="48">
        <f>(B578*122.58+C578*297.941+D578*89.177+E578*140.302+F578*40+G578*60+H578*0+I578*100+J578*300)/(122.58+297.941+89.177+140.302+0+40+60+100+300)</f>
        <v>35.290159704086953</v>
      </c>
      <c r="AC578" s="45">
        <f>(M578*'RAP TEMPLATE-GAS AVAILABILITY'!O577+N578*'RAP TEMPLATE-GAS AVAILABILITY'!P577+O578*'RAP TEMPLATE-GAS AVAILABILITY'!Q577+P578*'RAP TEMPLATE-GAS AVAILABILITY'!R577)/('RAP TEMPLATE-GAS AVAILABILITY'!O577+'RAP TEMPLATE-GAS AVAILABILITY'!P577+'RAP TEMPLATE-GAS AVAILABILITY'!Q577+'RAP TEMPLATE-GAS AVAILABILITY'!R577)</f>
        <v>34.706300719424462</v>
      </c>
    </row>
    <row r="579" spans="1:29" ht="15.75" x14ac:dyDescent="0.25">
      <c r="A579" s="13">
        <v>58531</v>
      </c>
      <c r="B579" s="17">
        <f>CHOOSE(CONTROL!$C$42, 34.242, 34.242) * CHOOSE(CONTROL!$C$21, $C$9, 100%, $E$9)</f>
        <v>34.241999999999997</v>
      </c>
      <c r="C579" s="17">
        <f>CHOOSE(CONTROL!$C$42, 34.247, 34.247) * CHOOSE(CONTROL!$C$21, $C$9, 100%, $E$9)</f>
        <v>34.247</v>
      </c>
      <c r="D579" s="17">
        <f>CHOOSE(CONTROL!$C$42, 34.3655, 34.3655) * CHOOSE(CONTROL!$C$21, $C$9, 100%, $E$9)</f>
        <v>34.365499999999997</v>
      </c>
      <c r="E579" s="17">
        <f>CHOOSE(CONTROL!$C$42, 34.3996, 34.3996) * CHOOSE(CONTROL!$C$21, $C$9, 100%, $E$9)</f>
        <v>34.3996</v>
      </c>
      <c r="F579" s="17">
        <f>CHOOSE(CONTROL!$C$42, 34.2617, 34.2617)*CHOOSE(CONTROL!$C$21, $C$9, 100%, $E$9)</f>
        <v>34.261699999999998</v>
      </c>
      <c r="G579" s="17">
        <f>CHOOSE(CONTROL!$C$42, 34.2783, 34.2783)*CHOOSE(CONTROL!$C$21, $C$9, 100%, $E$9)</f>
        <v>34.278300000000002</v>
      </c>
      <c r="H579" s="17">
        <f>CHOOSE(CONTROL!$C$42, 34.3888, 34.3888) * CHOOSE(CONTROL!$C$21, $C$9, 100%, $E$9)</f>
        <v>34.388800000000003</v>
      </c>
      <c r="I579" s="17">
        <f>CHOOSE(CONTROL!$C$42, 34.3728, 34.3728)* CHOOSE(CONTROL!$C$21, $C$9, 100%, $E$9)</f>
        <v>34.372799999999998</v>
      </c>
      <c r="J579" s="17">
        <f>CHOOSE(CONTROL!$C$42, 34.2547, 34.2547)* CHOOSE(CONTROL!$C$21, $C$9, 100%, $E$9)</f>
        <v>34.2547</v>
      </c>
      <c r="K579" s="52">
        <f>CHOOSE(CONTROL!$C$42, 34.3686, 34.3686) * CHOOSE(CONTROL!$C$21, $C$9, 100%, $E$9)</f>
        <v>34.368600000000001</v>
      </c>
      <c r="L579" s="17">
        <f>CHOOSE(CONTROL!$C$42, 34.9758, 34.9758) * CHOOSE(CONTROL!$C$21, $C$9, 100%, $E$9)</f>
        <v>34.9758</v>
      </c>
      <c r="M579" s="17">
        <f>CHOOSE(CONTROL!$C$42, 33.6463, 33.6463) * CHOOSE(CONTROL!$C$21, $C$9, 100%, $E$9)</f>
        <v>33.646299999999997</v>
      </c>
      <c r="N579" s="17">
        <f>CHOOSE(CONTROL!$C$42, 33.6626, 33.6626) * CHOOSE(CONTROL!$C$21, $C$9, 100%, $E$9)</f>
        <v>33.662599999999998</v>
      </c>
      <c r="O579" s="17">
        <f>CHOOSE(CONTROL!$C$42, 33.7779, 33.7779) * CHOOSE(CONTROL!$C$21, $C$9, 100%, $E$9)</f>
        <v>33.777900000000002</v>
      </c>
      <c r="P579" s="17">
        <f>CHOOSE(CONTROL!$C$42, 33.7604, 33.7604) * CHOOSE(CONTROL!$C$21, $C$9, 100%, $E$9)</f>
        <v>33.760399999999997</v>
      </c>
      <c r="Q579" s="17">
        <f>CHOOSE(CONTROL!$C$42, 34.3726, 34.3726) * CHOOSE(CONTROL!$C$21, $C$9, 100%, $E$9)</f>
        <v>34.372599999999998</v>
      </c>
      <c r="R579" s="17">
        <f>CHOOSE(CONTROL!$C$42, 35.0456, 35.0456) * CHOOSE(CONTROL!$C$21, $C$9, 100%, $E$9)</f>
        <v>35.0456</v>
      </c>
      <c r="S579" s="17">
        <f>CHOOSE(CONTROL!$C$42, 32.8946, 32.8946) * CHOOSE(CONTROL!$C$21, $C$9, 100%, $E$9)</f>
        <v>32.894599999999997</v>
      </c>
      <c r="T57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79" s="56">
        <f>(1000*CHOOSE(CONTROL!$C$42, 695, 695)*CHOOSE(CONTROL!$C$42, 0.5599, 0.5599)*CHOOSE(CONTROL!$C$42, 31, 31))/1000000</f>
        <v>12.063045499999998</v>
      </c>
      <c r="V579" s="56">
        <f>(1000*CHOOSE(CONTROL!$C$42, 500, 500)*CHOOSE(CONTROL!$C$42, 0.275, 0.275)*CHOOSE(CONTROL!$C$42, 31, 31))/1000000</f>
        <v>4.2625000000000002</v>
      </c>
      <c r="W579" s="56">
        <f>(1000*CHOOSE(CONTROL!$C$42, 0.1146, 0.1146)*CHOOSE(CONTROL!$C$42, 121.5, 121.5)*CHOOSE(CONTROL!$C$42, 31, 31))/1000000</f>
        <v>0.43164089999999994</v>
      </c>
      <c r="X579" s="56">
        <f>(31*0.2374*100000/1000000)</f>
        <v>0.73594000000000004</v>
      </c>
      <c r="Y579" s="56"/>
      <c r="Z579" s="17"/>
      <c r="AA579" s="55"/>
      <c r="AB579" s="48">
        <f>(B579*122.58+C579*297.941+D579*89.177+E579*140.302+F579*40+G579*60+H579*0+I579*100+J579*300)/(122.58+297.941+89.177+140.302+0+40+60+100+300)</f>
        <v>34.28936579104348</v>
      </c>
      <c r="AC579" s="45">
        <f>(M579*'RAP TEMPLATE-GAS AVAILABILITY'!O578+N579*'RAP TEMPLATE-GAS AVAILABILITY'!P578+O579*'RAP TEMPLATE-GAS AVAILABILITY'!Q578+P579*'RAP TEMPLATE-GAS AVAILABILITY'!R578)/('RAP TEMPLATE-GAS AVAILABILITY'!O578+'RAP TEMPLATE-GAS AVAILABILITY'!P578+'RAP TEMPLATE-GAS AVAILABILITY'!Q578+'RAP TEMPLATE-GAS AVAILABILITY'!R578)</f>
        <v>33.723301438848921</v>
      </c>
    </row>
    <row r="580" spans="1:29" ht="15.75" x14ac:dyDescent="0.25">
      <c r="A580" s="13">
        <v>58561</v>
      </c>
      <c r="B580" s="17">
        <f>CHOOSE(CONTROL!$C$42, 34.1405, 34.1405) * CHOOSE(CONTROL!$C$21, $C$9, 100%, $E$9)</f>
        <v>34.140500000000003</v>
      </c>
      <c r="C580" s="17">
        <f>CHOOSE(CONTROL!$C$42, 34.145, 34.145) * CHOOSE(CONTROL!$C$21, $C$9, 100%, $E$9)</f>
        <v>34.145000000000003</v>
      </c>
      <c r="D580" s="17">
        <f>CHOOSE(CONTROL!$C$42, 34.4192, 34.4192) * CHOOSE(CONTROL!$C$21, $C$9, 100%, $E$9)</f>
        <v>34.419199999999996</v>
      </c>
      <c r="E580" s="17">
        <f>CHOOSE(CONTROL!$C$42, 34.4513, 34.4513) * CHOOSE(CONTROL!$C$21, $C$9, 100%, $E$9)</f>
        <v>34.451300000000003</v>
      </c>
      <c r="F580" s="17">
        <f>CHOOSE(CONTROL!$C$42, 34.1598, 34.1598)*CHOOSE(CONTROL!$C$21, $C$9, 100%, $E$9)</f>
        <v>34.159799999999997</v>
      </c>
      <c r="G580" s="17">
        <f>CHOOSE(CONTROL!$C$42, 34.1761, 34.1761)*CHOOSE(CONTROL!$C$21, $C$9, 100%, $E$9)</f>
        <v>34.176099999999998</v>
      </c>
      <c r="H580" s="17">
        <f>CHOOSE(CONTROL!$C$42, 34.4411, 34.4411) * CHOOSE(CONTROL!$C$21, $C$9, 100%, $E$9)</f>
        <v>34.441099999999999</v>
      </c>
      <c r="I580" s="17">
        <f>CHOOSE(CONTROL!$C$42, 34.2687, 34.2687)* CHOOSE(CONTROL!$C$21, $C$9, 100%, $E$9)</f>
        <v>34.268700000000003</v>
      </c>
      <c r="J580" s="17">
        <f>CHOOSE(CONTROL!$C$42, 34.1528, 34.1528)* CHOOSE(CONTROL!$C$21, $C$9, 100%, $E$9)</f>
        <v>34.152799999999999</v>
      </c>
      <c r="K580" s="52">
        <f>CHOOSE(CONTROL!$C$42, 34.2645, 34.2645) * CHOOSE(CONTROL!$C$21, $C$9, 100%, $E$9)</f>
        <v>34.264499999999998</v>
      </c>
      <c r="L580" s="17">
        <f>CHOOSE(CONTROL!$C$42, 35.0281, 35.0281) * CHOOSE(CONTROL!$C$21, $C$9, 100%, $E$9)</f>
        <v>35.028100000000002</v>
      </c>
      <c r="M580" s="17">
        <f>CHOOSE(CONTROL!$C$42, 33.5462, 33.5462) * CHOOSE(CONTROL!$C$21, $C$9, 100%, $E$9)</f>
        <v>33.546199999999999</v>
      </c>
      <c r="N580" s="17">
        <f>CHOOSE(CONTROL!$C$42, 33.5622, 33.5622) * CHOOSE(CONTROL!$C$21, $C$9, 100%, $E$9)</f>
        <v>33.562199999999997</v>
      </c>
      <c r="O580" s="17">
        <f>CHOOSE(CONTROL!$C$42, 33.8293, 33.8293) * CHOOSE(CONTROL!$C$21, $C$9, 100%, $E$9)</f>
        <v>33.829300000000003</v>
      </c>
      <c r="P580" s="17">
        <f>CHOOSE(CONTROL!$C$42, 33.6582, 33.6582) * CHOOSE(CONTROL!$C$21, $C$9, 100%, $E$9)</f>
        <v>33.658200000000001</v>
      </c>
      <c r="Q580" s="17">
        <f>CHOOSE(CONTROL!$C$42, 34.424, 34.424) * CHOOSE(CONTROL!$C$21, $C$9, 100%, $E$9)</f>
        <v>34.423999999999999</v>
      </c>
      <c r="R580" s="17">
        <f>CHOOSE(CONTROL!$C$42, 35.097, 35.097) * CHOOSE(CONTROL!$C$21, $C$9, 100%, $E$9)</f>
        <v>35.097000000000001</v>
      </c>
      <c r="S580" s="17">
        <f>CHOOSE(CONTROL!$C$42, 32.7963, 32.7963) * CHOOSE(CONTROL!$C$21, $C$9, 100%, $E$9)</f>
        <v>32.796300000000002</v>
      </c>
      <c r="T58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80" s="56">
        <f>(1000*CHOOSE(CONTROL!$C$42, 695, 695)*CHOOSE(CONTROL!$C$42, 0.5599, 0.5599)*CHOOSE(CONTROL!$C$42, 30, 30))/1000000</f>
        <v>11.673914999999997</v>
      </c>
      <c r="V580" s="56">
        <f>(1000*CHOOSE(CONTROL!$C$42, 500, 500)*CHOOSE(CONTROL!$C$42, 0.275, 0.275)*CHOOSE(CONTROL!$C$42, 30, 30))/1000000</f>
        <v>4.125</v>
      </c>
      <c r="W580" s="56">
        <f>(1000*CHOOSE(CONTROL!$C$42, 0.1146, 0.1146)*CHOOSE(CONTROL!$C$42, 121.5, 121.5)*CHOOSE(CONTROL!$C$42, 30, 30))/1000000</f>
        <v>0.417717</v>
      </c>
      <c r="X580" s="56">
        <f>(30*0.1790888*145000/1000000)+(30*0.2374*100000/1000000)</f>
        <v>1.4912362799999999</v>
      </c>
      <c r="Y580" s="56"/>
      <c r="Z580" s="17"/>
      <c r="AA580" s="55"/>
      <c r="AB580" s="48">
        <f>(B580*141.293+C580*267.993+D580*115.016+E580*189.698+F580*40+G580*85+H580*0+I580*100+J580*300)/(141.293+267.993+115.016+189.698+0+40+85+100+300)</f>
        <v>34.231320876594033</v>
      </c>
      <c r="AC580" s="45">
        <f>(M580*'RAP TEMPLATE-GAS AVAILABILITY'!O579+N580*'RAP TEMPLATE-GAS AVAILABILITY'!P579+O580*'RAP TEMPLATE-GAS AVAILABILITY'!Q579+P580*'RAP TEMPLATE-GAS AVAILABILITY'!R579)/('RAP TEMPLATE-GAS AVAILABILITY'!O579+'RAP TEMPLATE-GAS AVAILABILITY'!P579+'RAP TEMPLATE-GAS AVAILABILITY'!Q579+'RAP TEMPLATE-GAS AVAILABILITY'!R579)</f>
        <v>33.645429496402876</v>
      </c>
    </row>
    <row r="581" spans="1:29" ht="15.75" x14ac:dyDescent="0.25">
      <c r="A581" s="13">
        <v>58592</v>
      </c>
      <c r="B581" s="17">
        <f>CHOOSE(CONTROL!$C$42, 34.4431, 34.4431) * CHOOSE(CONTROL!$C$21, $C$9, 100%, $E$9)</f>
        <v>34.443100000000001</v>
      </c>
      <c r="C581" s="17">
        <f>CHOOSE(CONTROL!$C$42, 34.4512, 34.4512) * CHOOSE(CONTROL!$C$21, $C$9, 100%, $E$9)</f>
        <v>34.4512</v>
      </c>
      <c r="D581" s="17">
        <f>CHOOSE(CONTROL!$C$42, 34.7222, 34.7222) * CHOOSE(CONTROL!$C$21, $C$9, 100%, $E$9)</f>
        <v>34.722200000000001</v>
      </c>
      <c r="E581" s="17">
        <f>CHOOSE(CONTROL!$C$42, 34.7537, 34.7537) * CHOOSE(CONTROL!$C$21, $C$9, 100%, $E$9)</f>
        <v>34.753700000000002</v>
      </c>
      <c r="F581" s="17">
        <f>CHOOSE(CONTROL!$C$42, 34.4613, 34.4613)*CHOOSE(CONTROL!$C$21, $C$9, 100%, $E$9)</f>
        <v>34.461300000000001</v>
      </c>
      <c r="G581" s="17">
        <f>CHOOSE(CONTROL!$C$42, 34.4779, 34.4779)*CHOOSE(CONTROL!$C$21, $C$9, 100%, $E$9)</f>
        <v>34.477899999999998</v>
      </c>
      <c r="H581" s="17">
        <f>CHOOSE(CONTROL!$C$42, 34.7423, 34.7423) * CHOOSE(CONTROL!$C$21, $C$9, 100%, $E$9)</f>
        <v>34.7423</v>
      </c>
      <c r="I581" s="17">
        <f>CHOOSE(CONTROL!$C$42, 34.5709, 34.5709)* CHOOSE(CONTROL!$C$21, $C$9, 100%, $E$9)</f>
        <v>34.570900000000002</v>
      </c>
      <c r="J581" s="17">
        <f>CHOOSE(CONTROL!$C$42, 34.4543, 34.4543)* CHOOSE(CONTROL!$C$21, $C$9, 100%, $E$9)</f>
        <v>34.454300000000003</v>
      </c>
      <c r="K581" s="52">
        <f>CHOOSE(CONTROL!$C$42, 34.5666, 34.5666) * CHOOSE(CONTROL!$C$21, $C$9, 100%, $E$9)</f>
        <v>34.566600000000001</v>
      </c>
      <c r="L581" s="17">
        <f>CHOOSE(CONTROL!$C$42, 35.3293, 35.3293) * CHOOSE(CONTROL!$C$21, $C$9, 100%, $E$9)</f>
        <v>35.329300000000003</v>
      </c>
      <c r="M581" s="17">
        <f>CHOOSE(CONTROL!$C$42, 33.8423, 33.8423) * CHOOSE(CONTROL!$C$21, $C$9, 100%, $E$9)</f>
        <v>33.842300000000002</v>
      </c>
      <c r="N581" s="17">
        <f>CHOOSE(CONTROL!$C$42, 33.8586, 33.8586) * CHOOSE(CONTROL!$C$21, $C$9, 100%, $E$9)</f>
        <v>33.858600000000003</v>
      </c>
      <c r="O581" s="17">
        <f>CHOOSE(CONTROL!$C$42, 34.1251, 34.1251) * CHOOSE(CONTROL!$C$21, $C$9, 100%, $E$9)</f>
        <v>34.125100000000003</v>
      </c>
      <c r="P581" s="17">
        <f>CHOOSE(CONTROL!$C$42, 33.9549, 33.9549) * CHOOSE(CONTROL!$C$21, $C$9, 100%, $E$9)</f>
        <v>33.954900000000002</v>
      </c>
      <c r="Q581" s="17">
        <f>CHOOSE(CONTROL!$C$42, 34.7198, 34.7198) * CHOOSE(CONTROL!$C$21, $C$9, 100%, $E$9)</f>
        <v>34.719799999999999</v>
      </c>
      <c r="R581" s="17">
        <f>CHOOSE(CONTROL!$C$42, 35.3936, 35.3936) * CHOOSE(CONTROL!$C$21, $C$9, 100%, $E$9)</f>
        <v>35.393599999999999</v>
      </c>
      <c r="S581" s="17">
        <f>CHOOSE(CONTROL!$C$42, 33.0858, 33.0858) * CHOOSE(CONTROL!$C$21, $C$9, 100%, $E$9)</f>
        <v>33.085799999999999</v>
      </c>
      <c r="T58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81" s="56">
        <f>(1000*CHOOSE(CONTROL!$C$42, 695, 695)*CHOOSE(CONTROL!$C$42, 0.5599, 0.5599)*CHOOSE(CONTROL!$C$42, 31, 31))/1000000</f>
        <v>12.063045499999998</v>
      </c>
      <c r="V581" s="56">
        <f>(1000*CHOOSE(CONTROL!$C$42, 500, 500)*CHOOSE(CONTROL!$C$42, 0.275, 0.275)*CHOOSE(CONTROL!$C$42, 31, 31))/1000000</f>
        <v>4.2625000000000002</v>
      </c>
      <c r="W581" s="56">
        <f>(1000*CHOOSE(CONTROL!$C$42, 0.1146, 0.1146)*CHOOSE(CONTROL!$C$42, 121.5, 121.5)*CHOOSE(CONTROL!$C$42, 31, 31))/1000000</f>
        <v>0.43164089999999994</v>
      </c>
      <c r="X581" s="56">
        <f>(31*0.1790888*145000/1000000)+(31*0.2374*100000/1000000)</f>
        <v>1.5409441560000001</v>
      </c>
      <c r="Y581" s="56"/>
      <c r="Z581" s="17"/>
      <c r="AA581" s="55"/>
      <c r="AB581" s="48">
        <f>(B581*194.205+C581*267.466+D581*133.845+E581*153.484+F581*40+G581*85+H581*0+I581*100+J581*300)/(194.205+267.466+133.845+153.484+0+40+85+100+300)</f>
        <v>34.52710372409733</v>
      </c>
      <c r="AC581" s="45">
        <f>(M581*'RAP TEMPLATE-GAS AVAILABILITY'!O580+N581*'RAP TEMPLATE-GAS AVAILABILITY'!P580+O581*'RAP TEMPLATE-GAS AVAILABILITY'!Q580+P581*'RAP TEMPLATE-GAS AVAILABILITY'!R580)/('RAP TEMPLATE-GAS AVAILABILITY'!O580+'RAP TEMPLATE-GAS AVAILABILITY'!P580+'RAP TEMPLATE-GAS AVAILABILITY'!Q580+'RAP TEMPLATE-GAS AVAILABILITY'!R580)</f>
        <v>33.941600719424464</v>
      </c>
    </row>
    <row r="582" spans="1:29" ht="15.75" x14ac:dyDescent="0.25">
      <c r="A582" s="13">
        <v>58622</v>
      </c>
      <c r="B582" s="17">
        <f>CHOOSE(CONTROL!$C$42, 35.4198, 35.4198) * CHOOSE(CONTROL!$C$21, $C$9, 100%, $E$9)</f>
        <v>35.419800000000002</v>
      </c>
      <c r="C582" s="17">
        <f>CHOOSE(CONTROL!$C$42, 35.4278, 35.4278) * CHOOSE(CONTROL!$C$21, $C$9, 100%, $E$9)</f>
        <v>35.427799999999998</v>
      </c>
      <c r="D582" s="17">
        <f>CHOOSE(CONTROL!$C$42, 35.6989, 35.6989) * CHOOSE(CONTROL!$C$21, $C$9, 100%, $E$9)</f>
        <v>35.698900000000002</v>
      </c>
      <c r="E582" s="17">
        <f>CHOOSE(CONTROL!$C$42, 35.7304, 35.7304) * CHOOSE(CONTROL!$C$21, $C$9, 100%, $E$9)</f>
        <v>35.730400000000003</v>
      </c>
      <c r="F582" s="17">
        <f>CHOOSE(CONTROL!$C$42, 35.4383, 35.4383)*CHOOSE(CONTROL!$C$21, $C$9, 100%, $E$9)</f>
        <v>35.438299999999998</v>
      </c>
      <c r="G582" s="17">
        <f>CHOOSE(CONTROL!$C$42, 35.455, 35.455)*CHOOSE(CONTROL!$C$21, $C$9, 100%, $E$9)</f>
        <v>35.454999999999998</v>
      </c>
      <c r="H582" s="17">
        <f>CHOOSE(CONTROL!$C$42, 35.719, 35.719) * CHOOSE(CONTROL!$C$21, $C$9, 100%, $E$9)</f>
        <v>35.719000000000001</v>
      </c>
      <c r="I582" s="17">
        <f>CHOOSE(CONTROL!$C$42, 35.5506, 35.5506)* CHOOSE(CONTROL!$C$21, $C$9, 100%, $E$9)</f>
        <v>35.550600000000003</v>
      </c>
      <c r="J582" s="17">
        <f>CHOOSE(CONTROL!$C$42, 35.4313, 35.4313)* CHOOSE(CONTROL!$C$21, $C$9, 100%, $E$9)</f>
        <v>35.4313</v>
      </c>
      <c r="K582" s="52">
        <f>CHOOSE(CONTROL!$C$42, 35.5464, 35.5464) * CHOOSE(CONTROL!$C$21, $C$9, 100%, $E$9)</f>
        <v>35.546399999999998</v>
      </c>
      <c r="L582" s="17">
        <f>CHOOSE(CONTROL!$C$42, 36.306, 36.306) * CHOOSE(CONTROL!$C$21, $C$9, 100%, $E$9)</f>
        <v>36.305999999999997</v>
      </c>
      <c r="M582" s="17">
        <f>CHOOSE(CONTROL!$C$42, 34.8017, 34.8017) * CHOOSE(CONTROL!$C$21, $C$9, 100%, $E$9)</f>
        <v>34.801699999999997</v>
      </c>
      <c r="N582" s="17">
        <f>CHOOSE(CONTROL!$C$42, 34.8181, 34.8181) * CHOOSE(CONTROL!$C$21, $C$9, 100%, $E$9)</f>
        <v>34.818100000000001</v>
      </c>
      <c r="O582" s="17">
        <f>CHOOSE(CONTROL!$C$42, 35.0842, 35.0842) * CHOOSE(CONTROL!$C$21, $C$9, 100%, $E$9)</f>
        <v>35.084200000000003</v>
      </c>
      <c r="P582" s="17">
        <f>CHOOSE(CONTROL!$C$42, 34.917, 34.917) * CHOOSE(CONTROL!$C$21, $C$9, 100%, $E$9)</f>
        <v>34.917000000000002</v>
      </c>
      <c r="Q582" s="17">
        <f>CHOOSE(CONTROL!$C$42, 35.6789, 35.6789) * CHOOSE(CONTROL!$C$21, $C$9, 100%, $E$9)</f>
        <v>35.678899999999999</v>
      </c>
      <c r="R582" s="17">
        <f>CHOOSE(CONTROL!$C$42, 36.3551, 36.3551) * CHOOSE(CONTROL!$C$21, $C$9, 100%, $E$9)</f>
        <v>36.3551</v>
      </c>
      <c r="S582" s="17">
        <f>CHOOSE(CONTROL!$C$42, 34.0243, 34.0243) * CHOOSE(CONTROL!$C$21, $C$9, 100%, $E$9)</f>
        <v>34.024299999999997</v>
      </c>
      <c r="T58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82" s="56">
        <f>(1000*CHOOSE(CONTROL!$C$42, 695, 695)*CHOOSE(CONTROL!$C$42, 0.5599, 0.5599)*CHOOSE(CONTROL!$C$42, 30, 30))/1000000</f>
        <v>11.673914999999997</v>
      </c>
      <c r="V582" s="56">
        <f>(1000*CHOOSE(CONTROL!$C$42, 500, 500)*CHOOSE(CONTROL!$C$42, 0.275, 0.275)*CHOOSE(CONTROL!$C$42, 30, 30))/1000000</f>
        <v>4.125</v>
      </c>
      <c r="W582" s="56">
        <f>(1000*CHOOSE(CONTROL!$C$42, 0.1146, 0.1146)*CHOOSE(CONTROL!$C$42, 121.5, 121.5)*CHOOSE(CONTROL!$C$42, 30, 30))/1000000</f>
        <v>0.417717</v>
      </c>
      <c r="X582" s="56">
        <f>(30*0.1790888*145000/1000000)+(30*0.2374*100000/1000000)</f>
        <v>1.4912362799999999</v>
      </c>
      <c r="Y582" s="56"/>
      <c r="Z582" s="17"/>
      <c r="AA582" s="55"/>
      <c r="AB582" s="48">
        <f>(B582*194.205+C582*267.466+D582*133.845+E582*153.484+F582*40+G582*85+H582*0+I582*100+J582*300)/(194.205+267.466+133.845+153.484+0+40+85+100+300)</f>
        <v>35.504124959105177</v>
      </c>
      <c r="AC582" s="45">
        <f>(M582*'RAP TEMPLATE-GAS AVAILABILITY'!O581+N582*'RAP TEMPLATE-GAS AVAILABILITY'!P581+O582*'RAP TEMPLATE-GAS AVAILABILITY'!Q581+P582*'RAP TEMPLATE-GAS AVAILABILITY'!R581)/('RAP TEMPLATE-GAS AVAILABILITY'!O581+'RAP TEMPLATE-GAS AVAILABILITY'!P581+'RAP TEMPLATE-GAS AVAILABILITY'!Q581+'RAP TEMPLATE-GAS AVAILABILITY'!R581)</f>
        <v>34.901328057553961</v>
      </c>
    </row>
    <row r="583" spans="1:29" ht="15.75" x14ac:dyDescent="0.25">
      <c r="A583" s="13">
        <v>58653</v>
      </c>
      <c r="B583" s="17">
        <f>CHOOSE(CONTROL!$C$42, 34.7405, 34.7405) * CHOOSE(CONTROL!$C$21, $C$9, 100%, $E$9)</f>
        <v>34.740499999999997</v>
      </c>
      <c r="C583" s="17">
        <f>CHOOSE(CONTROL!$C$42, 34.7485, 34.7485) * CHOOSE(CONTROL!$C$21, $C$9, 100%, $E$9)</f>
        <v>34.7485</v>
      </c>
      <c r="D583" s="17">
        <f>CHOOSE(CONTROL!$C$42, 35.0196, 35.0196) * CHOOSE(CONTROL!$C$21, $C$9, 100%, $E$9)</f>
        <v>35.019599999999997</v>
      </c>
      <c r="E583" s="17">
        <f>CHOOSE(CONTROL!$C$42, 35.0511, 35.0511) * CHOOSE(CONTROL!$C$21, $C$9, 100%, $E$9)</f>
        <v>35.051099999999998</v>
      </c>
      <c r="F583" s="17">
        <f>CHOOSE(CONTROL!$C$42, 34.7594, 34.7594)*CHOOSE(CONTROL!$C$21, $C$9, 100%, $E$9)</f>
        <v>34.759399999999999</v>
      </c>
      <c r="G583" s="17">
        <f>CHOOSE(CONTROL!$C$42, 34.7762, 34.7762)*CHOOSE(CONTROL!$C$21, $C$9, 100%, $E$9)</f>
        <v>34.776200000000003</v>
      </c>
      <c r="H583" s="17">
        <f>CHOOSE(CONTROL!$C$42, 35.0397, 35.0397) * CHOOSE(CONTROL!$C$21, $C$9, 100%, $E$9)</f>
        <v>35.039700000000003</v>
      </c>
      <c r="I583" s="17">
        <f>CHOOSE(CONTROL!$C$42, 34.8692, 34.8692)* CHOOSE(CONTROL!$C$21, $C$9, 100%, $E$9)</f>
        <v>34.869199999999999</v>
      </c>
      <c r="J583" s="17">
        <f>CHOOSE(CONTROL!$C$42, 34.7524, 34.7524)* CHOOSE(CONTROL!$C$21, $C$9, 100%, $E$9)</f>
        <v>34.752400000000002</v>
      </c>
      <c r="K583" s="52">
        <f>CHOOSE(CONTROL!$C$42, 34.865, 34.865) * CHOOSE(CONTROL!$C$21, $C$9, 100%, $E$9)</f>
        <v>34.865000000000002</v>
      </c>
      <c r="L583" s="17">
        <f>CHOOSE(CONTROL!$C$42, 35.6267, 35.6267) * CHOOSE(CONTROL!$C$21, $C$9, 100%, $E$9)</f>
        <v>35.6267</v>
      </c>
      <c r="M583" s="17">
        <f>CHOOSE(CONTROL!$C$42, 34.135, 34.135) * CHOOSE(CONTROL!$C$21, $C$9, 100%, $E$9)</f>
        <v>34.134999999999998</v>
      </c>
      <c r="N583" s="17">
        <f>CHOOSE(CONTROL!$C$42, 34.1515, 34.1515) * CHOOSE(CONTROL!$C$21, $C$9, 100%, $E$9)</f>
        <v>34.151499999999999</v>
      </c>
      <c r="O583" s="17">
        <f>CHOOSE(CONTROL!$C$42, 34.4171, 34.4171) * CHOOSE(CONTROL!$C$21, $C$9, 100%, $E$9)</f>
        <v>34.417099999999998</v>
      </c>
      <c r="P583" s="17">
        <f>CHOOSE(CONTROL!$C$42, 34.2478, 34.2478) * CHOOSE(CONTROL!$C$21, $C$9, 100%, $E$9)</f>
        <v>34.247799999999998</v>
      </c>
      <c r="Q583" s="17">
        <f>CHOOSE(CONTROL!$C$42, 35.0118, 35.0118) * CHOOSE(CONTROL!$C$21, $C$9, 100%, $E$9)</f>
        <v>35.011800000000001</v>
      </c>
      <c r="R583" s="17">
        <f>CHOOSE(CONTROL!$C$42, 35.6864, 35.6864) * CHOOSE(CONTROL!$C$21, $C$9, 100%, $E$9)</f>
        <v>35.686399999999999</v>
      </c>
      <c r="S583" s="17">
        <f>CHOOSE(CONTROL!$C$42, 33.3715, 33.3715) * CHOOSE(CONTROL!$C$21, $C$9, 100%, $E$9)</f>
        <v>33.371499999999997</v>
      </c>
      <c r="T58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83" s="56">
        <f>(1000*CHOOSE(CONTROL!$C$42, 695, 695)*CHOOSE(CONTROL!$C$42, 0.5599, 0.5599)*CHOOSE(CONTROL!$C$42, 31, 31))/1000000</f>
        <v>12.063045499999998</v>
      </c>
      <c r="V583" s="56">
        <f>(1000*CHOOSE(CONTROL!$C$42, 500, 500)*CHOOSE(CONTROL!$C$42, 0.275, 0.275)*CHOOSE(CONTROL!$C$42, 31, 31))/1000000</f>
        <v>4.2625000000000002</v>
      </c>
      <c r="W583" s="56">
        <f>(1000*CHOOSE(CONTROL!$C$42, 0.1146, 0.1146)*CHOOSE(CONTROL!$C$42, 121.5, 121.5)*CHOOSE(CONTROL!$C$42, 31, 31))/1000000</f>
        <v>0.43164089999999994</v>
      </c>
      <c r="X583" s="56">
        <f>(31*0.1790888*145000/1000000)+(31*0.2374*100000/1000000)</f>
        <v>1.5409441560000001</v>
      </c>
      <c r="Y583" s="56"/>
      <c r="Z583" s="17"/>
      <c r="AA583" s="55"/>
      <c r="AB583" s="48">
        <f>(B583*194.205+C583*267.466+D583*133.845+E583*153.484+F583*40+G583*85+H583*0+I583*100+J583*300)/(194.205+267.466+133.845+153.484+0+40+85+100+300)</f>
        <v>34.824800233830452</v>
      </c>
      <c r="AC583" s="45">
        <f>(M583*'RAP TEMPLATE-GAS AVAILABILITY'!O582+N583*'RAP TEMPLATE-GAS AVAILABILITY'!P582+O583*'RAP TEMPLATE-GAS AVAILABILITY'!Q582+P583*'RAP TEMPLATE-GAS AVAILABILITY'!R582)/('RAP TEMPLATE-GAS AVAILABILITY'!O582+'RAP TEMPLATE-GAS AVAILABILITY'!P582+'RAP TEMPLATE-GAS AVAILABILITY'!Q582+'RAP TEMPLATE-GAS AVAILABILITY'!R582)</f>
        <v>34.234179136690649</v>
      </c>
    </row>
    <row r="584" spans="1:29" ht="15.75" x14ac:dyDescent="0.25">
      <c r="A584" s="13">
        <v>58684</v>
      </c>
      <c r="B584" s="17">
        <f>CHOOSE(CONTROL!$C$42, 33.0251, 33.0251) * CHOOSE(CONTROL!$C$21, $C$9, 100%, $E$9)</f>
        <v>33.025100000000002</v>
      </c>
      <c r="C584" s="17">
        <f>CHOOSE(CONTROL!$C$42, 33.0331, 33.0331) * CHOOSE(CONTROL!$C$21, $C$9, 100%, $E$9)</f>
        <v>33.033099999999997</v>
      </c>
      <c r="D584" s="17">
        <f>CHOOSE(CONTROL!$C$42, 33.3042, 33.3042) * CHOOSE(CONTROL!$C$21, $C$9, 100%, $E$9)</f>
        <v>33.304200000000002</v>
      </c>
      <c r="E584" s="17">
        <f>CHOOSE(CONTROL!$C$42, 33.3356, 33.3356) * CHOOSE(CONTROL!$C$21, $C$9, 100%, $E$9)</f>
        <v>33.335599999999999</v>
      </c>
      <c r="F584" s="17">
        <f>CHOOSE(CONTROL!$C$42, 33.0442, 33.0442)*CHOOSE(CONTROL!$C$21, $C$9, 100%, $E$9)</f>
        <v>33.044199999999996</v>
      </c>
      <c r="G584" s="17">
        <f>CHOOSE(CONTROL!$C$42, 33.0611, 33.0611)*CHOOSE(CONTROL!$C$21, $C$9, 100%, $E$9)</f>
        <v>33.061100000000003</v>
      </c>
      <c r="H584" s="17">
        <f>CHOOSE(CONTROL!$C$42, 33.3243, 33.3243) * CHOOSE(CONTROL!$C$21, $C$9, 100%, $E$9)</f>
        <v>33.324300000000001</v>
      </c>
      <c r="I584" s="17">
        <f>CHOOSE(CONTROL!$C$42, 33.1484, 33.1484)* CHOOSE(CONTROL!$C$21, $C$9, 100%, $E$9)</f>
        <v>33.148400000000002</v>
      </c>
      <c r="J584" s="17">
        <f>CHOOSE(CONTROL!$C$42, 33.0372, 33.0372)* CHOOSE(CONTROL!$C$21, $C$9, 100%, $E$9)</f>
        <v>33.037199999999999</v>
      </c>
      <c r="K584" s="52">
        <f>CHOOSE(CONTROL!$C$42, 33.1442, 33.1442) * CHOOSE(CONTROL!$C$21, $C$9, 100%, $E$9)</f>
        <v>33.144199999999998</v>
      </c>
      <c r="L584" s="17">
        <f>CHOOSE(CONTROL!$C$42, 33.9113, 33.9113) * CHOOSE(CONTROL!$C$21, $C$9, 100%, $E$9)</f>
        <v>33.911299999999997</v>
      </c>
      <c r="M584" s="17">
        <f>CHOOSE(CONTROL!$C$42, 32.4507, 32.4507) * CHOOSE(CONTROL!$C$21, $C$9, 100%, $E$9)</f>
        <v>32.450699999999998</v>
      </c>
      <c r="N584" s="17">
        <f>CHOOSE(CONTROL!$C$42, 32.4673, 32.4673) * CHOOSE(CONTROL!$C$21, $C$9, 100%, $E$9)</f>
        <v>32.467300000000002</v>
      </c>
      <c r="O584" s="17">
        <f>CHOOSE(CONTROL!$C$42, 32.7326, 32.7326) * CHOOSE(CONTROL!$C$21, $C$9, 100%, $E$9)</f>
        <v>32.732599999999998</v>
      </c>
      <c r="P584" s="17">
        <f>CHOOSE(CONTROL!$C$42, 32.5581, 32.5581) * CHOOSE(CONTROL!$C$21, $C$9, 100%, $E$9)</f>
        <v>32.558100000000003</v>
      </c>
      <c r="Q584" s="17">
        <f>CHOOSE(CONTROL!$C$42, 33.3273, 33.3273) * CHOOSE(CONTROL!$C$21, $C$9, 100%, $E$9)</f>
        <v>33.327300000000001</v>
      </c>
      <c r="R584" s="17">
        <f>CHOOSE(CONTROL!$C$42, 33.9976, 33.9976) * CHOOSE(CONTROL!$C$21, $C$9, 100%, $E$9)</f>
        <v>33.997599999999998</v>
      </c>
      <c r="S584" s="17">
        <f>CHOOSE(CONTROL!$C$42, 31.7232, 31.7232) * CHOOSE(CONTROL!$C$21, $C$9, 100%, $E$9)</f>
        <v>31.723199999999999</v>
      </c>
      <c r="T58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84" s="56">
        <f>(1000*CHOOSE(CONTROL!$C$42, 695, 695)*CHOOSE(CONTROL!$C$42, 0.5599, 0.5599)*CHOOSE(CONTROL!$C$42, 31, 31))/1000000</f>
        <v>12.063045499999998</v>
      </c>
      <c r="V584" s="56">
        <f>(1000*CHOOSE(CONTROL!$C$42, 500, 500)*CHOOSE(CONTROL!$C$42, 0.275, 0.275)*CHOOSE(CONTROL!$C$42, 31, 31))/1000000</f>
        <v>4.2625000000000002</v>
      </c>
      <c r="W584" s="56">
        <f>(1000*CHOOSE(CONTROL!$C$42, 0.1146, 0.1146)*CHOOSE(CONTROL!$C$42, 121.5, 121.5)*CHOOSE(CONTROL!$C$42, 31, 31))/1000000</f>
        <v>0.43164089999999994</v>
      </c>
      <c r="X584" s="56">
        <f>(31*0.1790888*145000/1000000)+(31*0.2374*100000/1000000)</f>
        <v>1.5409441560000001</v>
      </c>
      <c r="Y584" s="56"/>
      <c r="Z584" s="17"/>
      <c r="AA584" s="55"/>
      <c r="AB584" s="48">
        <f>(B584*194.205+C584*267.466+D584*133.845+E584*153.484+F584*40+G584*85+H584*0+I584*100+J584*300)/(194.205+267.466+133.845+153.484+0+40+85+100+300)</f>
        <v>33.10903771546311</v>
      </c>
      <c r="AC584" s="45">
        <f>(M584*'RAP TEMPLATE-GAS AVAILABILITY'!O583+N584*'RAP TEMPLATE-GAS AVAILABILITY'!P583+O584*'RAP TEMPLATE-GAS AVAILABILITY'!Q583+P584*'RAP TEMPLATE-GAS AVAILABILITY'!R583)/('RAP TEMPLATE-GAS AVAILABILITY'!O583+'RAP TEMPLATE-GAS AVAILABILITY'!P583+'RAP TEMPLATE-GAS AVAILABILITY'!Q583+'RAP TEMPLATE-GAS AVAILABILITY'!R583)</f>
        <v>32.549069064748203</v>
      </c>
    </row>
    <row r="585" spans="1:29" ht="15.75" x14ac:dyDescent="0.25">
      <c r="A585" s="13">
        <v>58714</v>
      </c>
      <c r="B585" s="17">
        <f>CHOOSE(CONTROL!$C$42, 30.9289, 30.9289) * CHOOSE(CONTROL!$C$21, $C$9, 100%, $E$9)</f>
        <v>30.928899999999999</v>
      </c>
      <c r="C585" s="17">
        <f>CHOOSE(CONTROL!$C$42, 30.937, 30.937) * CHOOSE(CONTROL!$C$21, $C$9, 100%, $E$9)</f>
        <v>30.937000000000001</v>
      </c>
      <c r="D585" s="17">
        <f>CHOOSE(CONTROL!$C$42, 31.208, 31.208) * CHOOSE(CONTROL!$C$21, $C$9, 100%, $E$9)</f>
        <v>31.207999999999998</v>
      </c>
      <c r="E585" s="17">
        <f>CHOOSE(CONTROL!$C$42, 31.2395, 31.2395) * CHOOSE(CONTROL!$C$21, $C$9, 100%, $E$9)</f>
        <v>31.2395</v>
      </c>
      <c r="F585" s="17">
        <f>CHOOSE(CONTROL!$C$42, 30.9481, 30.9481)*CHOOSE(CONTROL!$C$21, $C$9, 100%, $E$9)</f>
        <v>30.9481</v>
      </c>
      <c r="G585" s="17">
        <f>CHOOSE(CONTROL!$C$42, 30.965, 30.965)*CHOOSE(CONTROL!$C$21, $C$9, 100%, $E$9)</f>
        <v>30.965</v>
      </c>
      <c r="H585" s="17">
        <f>CHOOSE(CONTROL!$C$42, 31.2281, 31.2281) * CHOOSE(CONTROL!$C$21, $C$9, 100%, $E$9)</f>
        <v>31.228100000000001</v>
      </c>
      <c r="I585" s="17">
        <f>CHOOSE(CONTROL!$C$42, 31.0457, 31.0457)* CHOOSE(CONTROL!$C$21, $C$9, 100%, $E$9)</f>
        <v>31.0457</v>
      </c>
      <c r="J585" s="17">
        <f>CHOOSE(CONTROL!$C$42, 30.9411, 30.9411)* CHOOSE(CONTROL!$C$21, $C$9, 100%, $E$9)</f>
        <v>30.941099999999999</v>
      </c>
      <c r="K585" s="52">
        <f>CHOOSE(CONTROL!$C$42, 31.0414, 31.0414) * CHOOSE(CONTROL!$C$21, $C$9, 100%, $E$9)</f>
        <v>31.041399999999999</v>
      </c>
      <c r="L585" s="17">
        <f>CHOOSE(CONTROL!$C$42, 31.8151, 31.8151) * CHOOSE(CONTROL!$C$21, $C$9, 100%, $E$9)</f>
        <v>31.815100000000001</v>
      </c>
      <c r="M585" s="17">
        <f>CHOOSE(CONTROL!$C$42, 30.3923, 30.3923) * CHOOSE(CONTROL!$C$21, $C$9, 100%, $E$9)</f>
        <v>30.392299999999999</v>
      </c>
      <c r="N585" s="17">
        <f>CHOOSE(CONTROL!$C$42, 30.4089, 30.4089) * CHOOSE(CONTROL!$C$21, $C$9, 100%, $E$9)</f>
        <v>30.408899999999999</v>
      </c>
      <c r="O585" s="17">
        <f>CHOOSE(CONTROL!$C$42, 30.6741, 30.6741) * CHOOSE(CONTROL!$C$21, $C$9, 100%, $E$9)</f>
        <v>30.674099999999999</v>
      </c>
      <c r="P585" s="17">
        <f>CHOOSE(CONTROL!$C$42, 30.4933, 30.4933) * CHOOSE(CONTROL!$C$21, $C$9, 100%, $E$9)</f>
        <v>30.493300000000001</v>
      </c>
      <c r="Q585" s="17">
        <f>CHOOSE(CONTROL!$C$42, 31.2688, 31.2688) * CHOOSE(CONTROL!$C$21, $C$9, 100%, $E$9)</f>
        <v>31.268799999999999</v>
      </c>
      <c r="R585" s="17">
        <f>CHOOSE(CONTROL!$C$42, 31.934, 31.934) * CHOOSE(CONTROL!$C$21, $C$9, 100%, $E$9)</f>
        <v>31.934000000000001</v>
      </c>
      <c r="S585" s="17">
        <f>CHOOSE(CONTROL!$C$42, 29.709, 29.709) * CHOOSE(CONTROL!$C$21, $C$9, 100%, $E$9)</f>
        <v>29.709</v>
      </c>
      <c r="T58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85" s="56">
        <f>(1000*CHOOSE(CONTROL!$C$42, 695, 695)*CHOOSE(CONTROL!$C$42, 0.5599, 0.5599)*CHOOSE(CONTROL!$C$42, 30, 30))/1000000</f>
        <v>11.673914999999997</v>
      </c>
      <c r="V585" s="56">
        <f>(1000*CHOOSE(CONTROL!$C$42, 500, 500)*CHOOSE(CONTROL!$C$42, 0.275, 0.275)*CHOOSE(CONTROL!$C$42, 30, 30))/1000000</f>
        <v>4.125</v>
      </c>
      <c r="W585" s="56">
        <f>(1000*CHOOSE(CONTROL!$C$42, 0.1146, 0.1146)*CHOOSE(CONTROL!$C$42, 121.5, 121.5)*CHOOSE(CONTROL!$C$42, 30, 30))/1000000</f>
        <v>0.417717</v>
      </c>
      <c r="X585" s="56">
        <f>(30*0.1790888*145000/1000000)+(30*0.2374*100000/1000000)</f>
        <v>1.4912362799999999</v>
      </c>
      <c r="Y585" s="56"/>
      <c r="Z585" s="17"/>
      <c r="AA585" s="55"/>
      <c r="AB585" s="48">
        <f>(B585*194.205+C585*267.466+D585*133.845+E585*153.484+F585*40+G585*85+H585*0+I585*100+J585*300)/(194.205+267.466+133.845+153.484+0+40+85+100+300)</f>
        <v>31.01239391248038</v>
      </c>
      <c r="AC585" s="45">
        <f>(M585*'RAP TEMPLATE-GAS AVAILABILITY'!O584+N585*'RAP TEMPLATE-GAS AVAILABILITY'!P584+O585*'RAP TEMPLATE-GAS AVAILABILITY'!Q584+P585*'RAP TEMPLATE-GAS AVAILABILITY'!R584)/('RAP TEMPLATE-GAS AVAILABILITY'!O584+'RAP TEMPLATE-GAS AVAILABILITY'!P584+'RAP TEMPLATE-GAS AVAILABILITY'!Q584+'RAP TEMPLATE-GAS AVAILABILITY'!R584)</f>
        <v>30.489720143884888</v>
      </c>
    </row>
    <row r="586" spans="1:29" ht="15.75" x14ac:dyDescent="0.25">
      <c r="A586" s="13">
        <v>58745</v>
      </c>
      <c r="B586" s="17">
        <f>CHOOSE(CONTROL!$C$42, 30.2994, 30.2994) * CHOOSE(CONTROL!$C$21, $C$9, 100%, $E$9)</f>
        <v>30.299399999999999</v>
      </c>
      <c r="C586" s="17">
        <f>CHOOSE(CONTROL!$C$42, 30.3048, 30.3048) * CHOOSE(CONTROL!$C$21, $C$9, 100%, $E$9)</f>
        <v>30.3048</v>
      </c>
      <c r="D586" s="17">
        <f>CHOOSE(CONTROL!$C$42, 30.5808, 30.5808) * CHOOSE(CONTROL!$C$21, $C$9, 100%, $E$9)</f>
        <v>30.5808</v>
      </c>
      <c r="E586" s="17">
        <f>CHOOSE(CONTROL!$C$42, 30.6099, 30.6099) * CHOOSE(CONTROL!$C$21, $C$9, 100%, $E$9)</f>
        <v>30.6099</v>
      </c>
      <c r="F586" s="17">
        <f>CHOOSE(CONTROL!$C$42, 30.3208, 30.3208)*CHOOSE(CONTROL!$C$21, $C$9, 100%, $E$9)</f>
        <v>30.320799999999998</v>
      </c>
      <c r="G586" s="17">
        <f>CHOOSE(CONTROL!$C$42, 30.3376, 30.3376)*CHOOSE(CONTROL!$C$21, $C$9, 100%, $E$9)</f>
        <v>30.337599999999998</v>
      </c>
      <c r="H586" s="17">
        <f>CHOOSE(CONTROL!$C$42, 30.6004, 30.6004) * CHOOSE(CONTROL!$C$21, $C$9, 100%, $E$9)</f>
        <v>30.6004</v>
      </c>
      <c r="I586" s="17">
        <f>CHOOSE(CONTROL!$C$42, 30.416, 30.416)* CHOOSE(CONTROL!$C$21, $C$9, 100%, $E$9)</f>
        <v>30.416</v>
      </c>
      <c r="J586" s="17">
        <f>CHOOSE(CONTROL!$C$42, 30.3138, 30.3138)* CHOOSE(CONTROL!$C$21, $C$9, 100%, $E$9)</f>
        <v>30.313800000000001</v>
      </c>
      <c r="K586" s="52">
        <f>CHOOSE(CONTROL!$C$42, 30.4117, 30.4117) * CHOOSE(CONTROL!$C$21, $C$9, 100%, $E$9)</f>
        <v>30.4117</v>
      </c>
      <c r="L586" s="17">
        <f>CHOOSE(CONTROL!$C$42, 31.1874, 31.1874) * CHOOSE(CONTROL!$C$21, $C$9, 100%, $E$9)</f>
        <v>31.1874</v>
      </c>
      <c r="M586" s="17">
        <f>CHOOSE(CONTROL!$C$42, 29.7763, 29.7763) * CHOOSE(CONTROL!$C$21, $C$9, 100%, $E$9)</f>
        <v>29.776299999999999</v>
      </c>
      <c r="N586" s="17">
        <f>CHOOSE(CONTROL!$C$42, 29.7928, 29.7928) * CHOOSE(CONTROL!$C$21, $C$9, 100%, $E$9)</f>
        <v>29.7928</v>
      </c>
      <c r="O586" s="17">
        <f>CHOOSE(CONTROL!$C$42, 30.0577, 30.0577) * CHOOSE(CONTROL!$C$21, $C$9, 100%, $E$9)</f>
        <v>30.057700000000001</v>
      </c>
      <c r="P586" s="17">
        <f>CHOOSE(CONTROL!$C$42, 29.875, 29.875) * CHOOSE(CONTROL!$C$21, $C$9, 100%, $E$9)</f>
        <v>29.875</v>
      </c>
      <c r="Q586" s="17">
        <f>CHOOSE(CONTROL!$C$42, 30.6524, 30.6524) * CHOOSE(CONTROL!$C$21, $C$9, 100%, $E$9)</f>
        <v>30.6524</v>
      </c>
      <c r="R586" s="17">
        <f>CHOOSE(CONTROL!$C$42, 31.316, 31.316) * CHOOSE(CONTROL!$C$21, $C$9, 100%, $E$9)</f>
        <v>31.315999999999999</v>
      </c>
      <c r="S586" s="17">
        <f>CHOOSE(CONTROL!$C$42, 29.1058, 29.1058) * CHOOSE(CONTROL!$C$21, $C$9, 100%, $E$9)</f>
        <v>29.105799999999999</v>
      </c>
      <c r="T58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86" s="56">
        <f>(1000*CHOOSE(CONTROL!$C$42, 695, 695)*CHOOSE(CONTROL!$C$42, 0.5599, 0.5599)*CHOOSE(CONTROL!$C$42, 31, 31))/1000000</f>
        <v>12.063045499999998</v>
      </c>
      <c r="V586" s="56">
        <f>(1000*CHOOSE(CONTROL!$C$42, 500, 500)*CHOOSE(CONTROL!$C$42, 0.275, 0.275)*CHOOSE(CONTROL!$C$42, 31, 31))/1000000</f>
        <v>4.2625000000000002</v>
      </c>
      <c r="W586" s="56">
        <f>(1000*CHOOSE(CONTROL!$C$42, 0.1146, 0.1146)*CHOOSE(CONTROL!$C$42, 121.5, 121.5)*CHOOSE(CONTROL!$C$42, 31, 31))/1000000</f>
        <v>0.43164089999999994</v>
      </c>
      <c r="X586" s="56">
        <f>(31*0.1790888*145000/1000000)+(31*0.2374*100000/1000000)</f>
        <v>1.5409441560000001</v>
      </c>
      <c r="Y586" s="56"/>
      <c r="Z586" s="17"/>
      <c r="AA586" s="55"/>
      <c r="AB586" s="48">
        <f>(B586*131.881+C586*277.167+D586*79.08+E586*225.872+F586*40+G586*85+H586*0+I586*100+J586*300)/(131.881+277.167+79.08+225.872+0+40+85+100+300)</f>
        <v>30.391382300080711</v>
      </c>
      <c r="AC586" s="45">
        <f>(M586*'RAP TEMPLATE-GAS AVAILABILITY'!O585+N586*'RAP TEMPLATE-GAS AVAILABILITY'!P585+O586*'RAP TEMPLATE-GAS AVAILABILITY'!Q585+P586*'RAP TEMPLATE-GAS AVAILABILITY'!R585)/('RAP TEMPLATE-GAS AVAILABILITY'!O585+'RAP TEMPLATE-GAS AVAILABILITY'!P585+'RAP TEMPLATE-GAS AVAILABILITY'!Q585+'RAP TEMPLATE-GAS AVAILABILITY'!R585)</f>
        <v>29.873253956834535</v>
      </c>
    </row>
    <row r="587" spans="1:29" ht="15.75" x14ac:dyDescent="0.25">
      <c r="A587" s="13">
        <v>58775</v>
      </c>
      <c r="B587" s="17">
        <f>CHOOSE(CONTROL!$C$42, 31.097, 31.097) * CHOOSE(CONTROL!$C$21, $C$9, 100%, $E$9)</f>
        <v>31.097000000000001</v>
      </c>
      <c r="C587" s="17">
        <f>CHOOSE(CONTROL!$C$42, 31.102, 31.102) * CHOOSE(CONTROL!$C$21, $C$9, 100%, $E$9)</f>
        <v>31.102</v>
      </c>
      <c r="D587" s="17">
        <f>CHOOSE(CONTROL!$C$42, 31.1971, 31.1971) * CHOOSE(CONTROL!$C$21, $C$9, 100%, $E$9)</f>
        <v>31.197099999999999</v>
      </c>
      <c r="E587" s="17">
        <f>CHOOSE(CONTROL!$C$42, 31.2312, 31.2312) * CHOOSE(CONTROL!$C$21, $C$9, 100%, $E$9)</f>
        <v>31.231200000000001</v>
      </c>
      <c r="F587" s="17">
        <f>CHOOSE(CONTROL!$C$42, 31.1209, 31.1209)*CHOOSE(CONTROL!$C$21, $C$9, 100%, $E$9)</f>
        <v>31.120899999999999</v>
      </c>
      <c r="G587" s="17">
        <f>CHOOSE(CONTROL!$C$42, 31.138, 31.138)*CHOOSE(CONTROL!$C$21, $C$9, 100%, $E$9)</f>
        <v>31.138000000000002</v>
      </c>
      <c r="H587" s="17">
        <f>CHOOSE(CONTROL!$C$42, 31.2204, 31.2204) * CHOOSE(CONTROL!$C$21, $C$9, 100%, $E$9)</f>
        <v>31.220400000000001</v>
      </c>
      <c r="I587" s="17">
        <f>CHOOSE(CONTROL!$C$42, 31.2143, 31.2143)* CHOOSE(CONTROL!$C$21, $C$9, 100%, $E$9)</f>
        <v>31.214300000000001</v>
      </c>
      <c r="J587" s="17">
        <f>CHOOSE(CONTROL!$C$42, 31.1139, 31.1139)* CHOOSE(CONTROL!$C$21, $C$9, 100%, $E$9)</f>
        <v>31.113900000000001</v>
      </c>
      <c r="K587" s="52">
        <f>CHOOSE(CONTROL!$C$42, 31.2101, 31.2101) * CHOOSE(CONTROL!$C$21, $C$9, 100%, $E$9)</f>
        <v>31.210100000000001</v>
      </c>
      <c r="L587" s="17">
        <f>CHOOSE(CONTROL!$C$42, 31.8074, 31.8074) * CHOOSE(CONTROL!$C$21, $C$9, 100%, $E$9)</f>
        <v>31.807400000000001</v>
      </c>
      <c r="M587" s="17">
        <f>CHOOSE(CONTROL!$C$42, 30.5619, 30.5619) * CHOOSE(CONTROL!$C$21, $C$9, 100%, $E$9)</f>
        <v>30.561900000000001</v>
      </c>
      <c r="N587" s="17">
        <f>CHOOSE(CONTROL!$C$42, 30.5787, 30.5787) * CHOOSE(CONTROL!$C$21, $C$9, 100%, $E$9)</f>
        <v>30.578700000000001</v>
      </c>
      <c r="O587" s="17">
        <f>CHOOSE(CONTROL!$C$42, 30.6665, 30.6665) * CHOOSE(CONTROL!$C$21, $C$9, 100%, $E$9)</f>
        <v>30.666499999999999</v>
      </c>
      <c r="P587" s="17">
        <f>CHOOSE(CONTROL!$C$42, 30.6589, 30.6589) * CHOOSE(CONTROL!$C$21, $C$9, 100%, $E$9)</f>
        <v>30.658899999999999</v>
      </c>
      <c r="Q587" s="17">
        <f>CHOOSE(CONTROL!$C$42, 31.2612, 31.2612) * CHOOSE(CONTROL!$C$21, $C$9, 100%, $E$9)</f>
        <v>31.261199999999999</v>
      </c>
      <c r="R587" s="17">
        <f>CHOOSE(CONTROL!$C$42, 31.9264, 31.9264) * CHOOSE(CONTROL!$C$21, $C$9, 100%, $E$9)</f>
        <v>31.926400000000001</v>
      </c>
      <c r="S587" s="17">
        <f>CHOOSE(CONTROL!$C$42, 29.8725, 29.8725) * CHOOSE(CONTROL!$C$21, $C$9, 100%, $E$9)</f>
        <v>29.872499999999999</v>
      </c>
      <c r="T58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87" s="56">
        <f>(1000*CHOOSE(CONTROL!$C$42, 695, 695)*CHOOSE(CONTROL!$C$42, 0.5599, 0.5599)*CHOOSE(CONTROL!$C$42, 30, 30))/1000000</f>
        <v>11.673914999999997</v>
      </c>
      <c r="V587" s="56">
        <f>(1000*CHOOSE(CONTROL!$C$42, 500, 500)*CHOOSE(CONTROL!$C$42, 0.275, 0.275)*CHOOSE(CONTROL!$C$42, 30, 30))/1000000</f>
        <v>4.125</v>
      </c>
      <c r="W587" s="56">
        <f>(1000*CHOOSE(CONTROL!$C$42, 0.1146, 0.1146)*CHOOSE(CONTROL!$C$42, 121.5, 121.5)*CHOOSE(CONTROL!$C$42, 30, 30))/1000000</f>
        <v>0.417717</v>
      </c>
      <c r="X587" s="56">
        <f>(30*0.2374*100000/1000000)</f>
        <v>0.71220000000000006</v>
      </c>
      <c r="Y587" s="56"/>
      <c r="Z587" s="17"/>
      <c r="AA587" s="55"/>
      <c r="AB587" s="48">
        <f>(B587*122.58+C587*297.941+D587*89.177+E587*140.302+F587*40+G587*60+H587*0+I587*100+J587*300)/(122.58+297.941+89.177+140.302+0+40+60+100+300)</f>
        <v>31.140009435739131</v>
      </c>
      <c r="AC587" s="45">
        <f>(M587*'RAP TEMPLATE-GAS AVAILABILITY'!O586+N587*'RAP TEMPLATE-GAS AVAILABILITY'!P586+O587*'RAP TEMPLATE-GAS AVAILABILITY'!Q586+P587*'RAP TEMPLATE-GAS AVAILABILITY'!R586)/('RAP TEMPLATE-GAS AVAILABILITY'!O586+'RAP TEMPLATE-GAS AVAILABILITY'!P586+'RAP TEMPLATE-GAS AVAILABILITY'!Q586+'RAP TEMPLATE-GAS AVAILABILITY'!R586)</f>
        <v>30.624232374100721</v>
      </c>
    </row>
    <row r="588" spans="1:29" ht="15.75" x14ac:dyDescent="0.25">
      <c r="A588" s="13">
        <v>58806</v>
      </c>
      <c r="B588" s="17">
        <f>CHOOSE(CONTROL!$C$42, 33.2165, 33.2165) * CHOOSE(CONTROL!$C$21, $C$9, 100%, $E$9)</f>
        <v>33.216500000000003</v>
      </c>
      <c r="C588" s="17">
        <f>CHOOSE(CONTROL!$C$42, 33.2216, 33.2216) * CHOOSE(CONTROL!$C$21, $C$9, 100%, $E$9)</f>
        <v>33.221600000000002</v>
      </c>
      <c r="D588" s="17">
        <f>CHOOSE(CONTROL!$C$42, 33.3166, 33.3166) * CHOOSE(CONTROL!$C$21, $C$9, 100%, $E$9)</f>
        <v>33.316600000000001</v>
      </c>
      <c r="E588" s="17">
        <f>CHOOSE(CONTROL!$C$42, 33.3507, 33.3507) * CHOOSE(CONTROL!$C$21, $C$9, 100%, $E$9)</f>
        <v>33.350700000000003</v>
      </c>
      <c r="F588" s="17">
        <f>CHOOSE(CONTROL!$C$42, 33.2428, 33.2428)*CHOOSE(CONTROL!$C$21, $C$9, 100%, $E$9)</f>
        <v>33.242800000000003</v>
      </c>
      <c r="G588" s="17">
        <f>CHOOSE(CONTROL!$C$42, 33.2604, 33.2604)*CHOOSE(CONTROL!$C$21, $C$9, 100%, $E$9)</f>
        <v>33.260399999999997</v>
      </c>
      <c r="H588" s="17">
        <f>CHOOSE(CONTROL!$C$42, 33.3399, 33.3399) * CHOOSE(CONTROL!$C$21, $C$9, 100%, $E$9)</f>
        <v>33.3399</v>
      </c>
      <c r="I588" s="17">
        <f>CHOOSE(CONTROL!$C$42, 33.3405, 33.3405)* CHOOSE(CONTROL!$C$21, $C$9, 100%, $E$9)</f>
        <v>33.340499999999999</v>
      </c>
      <c r="J588" s="17">
        <f>CHOOSE(CONTROL!$C$42, 33.2358, 33.2358)* CHOOSE(CONTROL!$C$21, $C$9, 100%, $E$9)</f>
        <v>33.235799999999998</v>
      </c>
      <c r="K588" s="52">
        <f>CHOOSE(CONTROL!$C$42, 33.3363, 33.3363) * CHOOSE(CONTROL!$C$21, $C$9, 100%, $E$9)</f>
        <v>33.336300000000001</v>
      </c>
      <c r="L588" s="17">
        <f>CHOOSE(CONTROL!$C$42, 33.9269, 33.9269) * CHOOSE(CONTROL!$C$21, $C$9, 100%, $E$9)</f>
        <v>33.926900000000003</v>
      </c>
      <c r="M588" s="17">
        <f>CHOOSE(CONTROL!$C$42, 32.6456, 32.6456) * CHOOSE(CONTROL!$C$21, $C$9, 100%, $E$9)</f>
        <v>32.645600000000002</v>
      </c>
      <c r="N588" s="17">
        <f>CHOOSE(CONTROL!$C$42, 32.663, 32.663) * CHOOSE(CONTROL!$C$21, $C$9, 100%, $E$9)</f>
        <v>32.662999999999997</v>
      </c>
      <c r="O588" s="17">
        <f>CHOOSE(CONTROL!$C$42, 32.7479, 32.7479) * CHOOSE(CONTROL!$C$21, $C$9, 100%, $E$9)</f>
        <v>32.747900000000001</v>
      </c>
      <c r="P588" s="17">
        <f>CHOOSE(CONTROL!$C$42, 32.7467, 32.7467) * CHOOSE(CONTROL!$C$21, $C$9, 100%, $E$9)</f>
        <v>32.746699999999997</v>
      </c>
      <c r="Q588" s="17">
        <f>CHOOSE(CONTROL!$C$42, 33.3426, 33.3426) * CHOOSE(CONTROL!$C$21, $C$9, 100%, $E$9)</f>
        <v>33.342599999999997</v>
      </c>
      <c r="R588" s="17">
        <f>CHOOSE(CONTROL!$C$42, 34.013, 34.013) * CHOOSE(CONTROL!$C$21, $C$9, 100%, $E$9)</f>
        <v>34.012999999999998</v>
      </c>
      <c r="S588" s="17">
        <f>CHOOSE(CONTROL!$C$42, 31.9092, 31.9092) * CHOOSE(CONTROL!$C$21, $C$9, 100%, $E$9)</f>
        <v>31.909199999999998</v>
      </c>
      <c r="T58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88" s="56">
        <f>(1000*CHOOSE(CONTROL!$C$42, 695, 695)*CHOOSE(CONTROL!$C$42, 0.5599, 0.5599)*CHOOSE(CONTROL!$C$42, 31, 31))/1000000</f>
        <v>12.063045499999998</v>
      </c>
      <c r="V588" s="56">
        <f>(1000*CHOOSE(CONTROL!$C$42, 500, 500)*CHOOSE(CONTROL!$C$42, 0.275, 0.275)*CHOOSE(CONTROL!$C$42, 31, 31))/1000000</f>
        <v>4.2625000000000002</v>
      </c>
      <c r="W588" s="56">
        <f>(1000*CHOOSE(CONTROL!$C$42, 0.1146, 0.1146)*CHOOSE(CONTROL!$C$42, 121.5, 121.5)*CHOOSE(CONTROL!$C$42, 31, 31))/1000000</f>
        <v>0.43164089999999994</v>
      </c>
      <c r="X588" s="56">
        <f>(31*0.2374*100000/1000000)</f>
        <v>0.73594000000000004</v>
      </c>
      <c r="Y588" s="56"/>
      <c r="Z588" s="17"/>
      <c r="AA588" s="55"/>
      <c r="AB588" s="48">
        <f>(B588*122.58+C588*297.941+D588*89.177+E588*140.302+F588*40+G588*60+H588*0+I588*100+J588*300)/(122.58+297.941+89.177+140.302+0+40+60+100+300)</f>
        <v>33.260978821913042</v>
      </c>
      <c r="AC588" s="45">
        <f>(M588*'RAP TEMPLATE-GAS AVAILABILITY'!O587+N588*'RAP TEMPLATE-GAS AVAILABILITY'!P587+O588*'RAP TEMPLATE-GAS AVAILABILITY'!Q587+P588*'RAP TEMPLATE-GAS AVAILABILITY'!R587)/('RAP TEMPLATE-GAS AVAILABILITY'!O587+'RAP TEMPLATE-GAS AVAILABILITY'!P587+'RAP TEMPLATE-GAS AVAILABILITY'!Q587+'RAP TEMPLATE-GAS AVAILABILITY'!R587)</f>
        <v>32.707514388489201</v>
      </c>
    </row>
    <row r="589" spans="1:29" ht="15.75" x14ac:dyDescent="0.25">
      <c r="A589" s="13">
        <v>58837</v>
      </c>
      <c r="B589" s="17">
        <f>CHOOSE(CONTROL!$C$42, 35.9694, 35.9694) * CHOOSE(CONTROL!$C$21, $C$9, 100%, $E$9)</f>
        <v>35.9694</v>
      </c>
      <c r="C589" s="17">
        <f>CHOOSE(CONTROL!$C$42, 35.9744, 35.9744) * CHOOSE(CONTROL!$C$21, $C$9, 100%, $E$9)</f>
        <v>35.974400000000003</v>
      </c>
      <c r="D589" s="17">
        <f>CHOOSE(CONTROL!$C$42, 36.0929, 36.0929) * CHOOSE(CONTROL!$C$21, $C$9, 100%, $E$9)</f>
        <v>36.0929</v>
      </c>
      <c r="E589" s="17">
        <f>CHOOSE(CONTROL!$C$42, 36.127, 36.127) * CHOOSE(CONTROL!$C$21, $C$9, 100%, $E$9)</f>
        <v>36.127000000000002</v>
      </c>
      <c r="F589" s="17">
        <f>CHOOSE(CONTROL!$C$42, 35.9898, 35.9898)*CHOOSE(CONTROL!$C$21, $C$9, 100%, $E$9)</f>
        <v>35.989800000000002</v>
      </c>
      <c r="G589" s="17">
        <f>CHOOSE(CONTROL!$C$42, 36.0066, 36.0066)*CHOOSE(CONTROL!$C$21, $C$9, 100%, $E$9)</f>
        <v>36.006599999999999</v>
      </c>
      <c r="H589" s="17">
        <f>CHOOSE(CONTROL!$C$42, 36.1162, 36.1162) * CHOOSE(CONTROL!$C$21, $C$9, 100%, $E$9)</f>
        <v>36.116199999999999</v>
      </c>
      <c r="I589" s="17">
        <f>CHOOSE(CONTROL!$C$42, 36.1056, 36.1056)* CHOOSE(CONTROL!$C$21, $C$9, 100%, $E$9)</f>
        <v>36.105600000000003</v>
      </c>
      <c r="J589" s="17">
        <f>CHOOSE(CONTROL!$C$42, 35.9828, 35.9828)* CHOOSE(CONTROL!$C$21, $C$9, 100%, $E$9)</f>
        <v>35.982799999999997</v>
      </c>
      <c r="K589" s="52">
        <f>CHOOSE(CONTROL!$C$42, 36.1014, 36.1014) * CHOOSE(CONTROL!$C$21, $C$9, 100%, $E$9)</f>
        <v>36.101399999999998</v>
      </c>
      <c r="L589" s="17">
        <f>CHOOSE(CONTROL!$C$42, 36.7032, 36.7032) * CHOOSE(CONTROL!$C$21, $C$9, 100%, $E$9)</f>
        <v>36.703200000000002</v>
      </c>
      <c r="M589" s="17">
        <f>CHOOSE(CONTROL!$C$42, 35.3433, 35.3433) * CHOOSE(CONTROL!$C$21, $C$9, 100%, $E$9)</f>
        <v>35.343299999999999</v>
      </c>
      <c r="N589" s="17">
        <f>CHOOSE(CONTROL!$C$42, 35.3598, 35.3598) * CHOOSE(CONTROL!$C$21, $C$9, 100%, $E$9)</f>
        <v>35.3598</v>
      </c>
      <c r="O589" s="17">
        <f>CHOOSE(CONTROL!$C$42, 35.4743, 35.4743) * CHOOSE(CONTROL!$C$21, $C$9, 100%, $E$9)</f>
        <v>35.474299999999999</v>
      </c>
      <c r="P589" s="17">
        <f>CHOOSE(CONTROL!$C$42, 35.462, 35.462) * CHOOSE(CONTROL!$C$21, $C$9, 100%, $E$9)</f>
        <v>35.462000000000003</v>
      </c>
      <c r="Q589" s="17">
        <f>CHOOSE(CONTROL!$C$42, 36.069, 36.069) * CHOOSE(CONTROL!$C$21, $C$9, 100%, $E$9)</f>
        <v>36.069000000000003</v>
      </c>
      <c r="R589" s="17">
        <f>CHOOSE(CONTROL!$C$42, 36.7462, 36.7462) * CHOOSE(CONTROL!$C$21, $C$9, 100%, $E$9)</f>
        <v>36.746200000000002</v>
      </c>
      <c r="S589" s="17">
        <f>CHOOSE(CONTROL!$C$42, 34.5544, 34.5544) * CHOOSE(CONTROL!$C$21, $C$9, 100%, $E$9)</f>
        <v>34.554400000000001</v>
      </c>
      <c r="T58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89" s="56">
        <f>(1000*CHOOSE(CONTROL!$C$42, 695, 695)*CHOOSE(CONTROL!$C$42, 0.5599, 0.5599)*CHOOSE(CONTROL!$C$42, 31, 31))/1000000</f>
        <v>12.063045499999998</v>
      </c>
      <c r="V589" s="56">
        <f>(1000*CHOOSE(CONTROL!$C$42, 500, 500)*CHOOSE(CONTROL!$C$42, 0.275, 0.275)*CHOOSE(CONTROL!$C$42, 31, 31))/1000000</f>
        <v>4.2625000000000002</v>
      </c>
      <c r="W589" s="56">
        <f>(1000*CHOOSE(CONTROL!$C$42, 0.1146, 0.1146)*CHOOSE(CONTROL!$C$42, 121.5, 121.5)*CHOOSE(CONTROL!$C$42, 31, 31))/1000000</f>
        <v>0.43164089999999994</v>
      </c>
      <c r="X589" s="56">
        <f>(31*0.2374*100000/1000000)</f>
        <v>0.73594000000000004</v>
      </c>
      <c r="Y589" s="56"/>
      <c r="Z589" s="17"/>
      <c r="AA589" s="55"/>
      <c r="AB589" s="48">
        <f>(B589*122.58+C589*297.941+D589*89.177+E589*140.302+F589*40+G589*60+H589*0+I589*100+J589*300)/(122.58+297.941+89.177+140.302+0+40+60+100+300)</f>
        <v>36.017489269304342</v>
      </c>
      <c r="AC589" s="45">
        <f>(M589*'RAP TEMPLATE-GAS AVAILABILITY'!O588+N589*'RAP TEMPLATE-GAS AVAILABILITY'!P588+O589*'RAP TEMPLATE-GAS AVAILABILITY'!Q588+P589*'RAP TEMPLATE-GAS AVAILABILITY'!R588)/('RAP TEMPLATE-GAS AVAILABILITY'!O588+'RAP TEMPLATE-GAS AVAILABILITY'!P588+'RAP TEMPLATE-GAS AVAILABILITY'!Q588+'RAP TEMPLATE-GAS AVAILABILITY'!R588)</f>
        <v>35.420702877697842</v>
      </c>
    </row>
    <row r="590" spans="1:29" ht="15.75" x14ac:dyDescent="0.25">
      <c r="A590" s="13">
        <v>58865</v>
      </c>
      <c r="B590" s="17">
        <f>CHOOSE(CONTROL!$C$42, 36.6095, 36.6095) * CHOOSE(CONTROL!$C$21, $C$9, 100%, $E$9)</f>
        <v>36.609499999999997</v>
      </c>
      <c r="C590" s="17">
        <f>CHOOSE(CONTROL!$C$42, 36.6146, 36.6146) * CHOOSE(CONTROL!$C$21, $C$9, 100%, $E$9)</f>
        <v>36.614600000000003</v>
      </c>
      <c r="D590" s="17">
        <f>CHOOSE(CONTROL!$C$42, 36.733, 36.733) * CHOOSE(CONTROL!$C$21, $C$9, 100%, $E$9)</f>
        <v>36.732999999999997</v>
      </c>
      <c r="E590" s="17">
        <f>CHOOSE(CONTROL!$C$42, 36.7671, 36.7671) * CHOOSE(CONTROL!$C$21, $C$9, 100%, $E$9)</f>
        <v>36.767099999999999</v>
      </c>
      <c r="F590" s="17">
        <f>CHOOSE(CONTROL!$C$42, 36.6299, 36.6299)*CHOOSE(CONTROL!$C$21, $C$9, 100%, $E$9)</f>
        <v>36.629899999999999</v>
      </c>
      <c r="G590" s="17">
        <f>CHOOSE(CONTROL!$C$42, 36.6467, 36.6467)*CHOOSE(CONTROL!$C$21, $C$9, 100%, $E$9)</f>
        <v>36.646700000000003</v>
      </c>
      <c r="H590" s="17">
        <f>CHOOSE(CONTROL!$C$42, 36.7563, 36.7563) * CHOOSE(CONTROL!$C$21, $C$9, 100%, $E$9)</f>
        <v>36.756300000000003</v>
      </c>
      <c r="I590" s="17">
        <f>CHOOSE(CONTROL!$C$42, 36.7478, 36.7478)* CHOOSE(CONTROL!$C$21, $C$9, 100%, $E$9)</f>
        <v>36.747799999999998</v>
      </c>
      <c r="J590" s="17">
        <f>CHOOSE(CONTROL!$C$42, 36.6229, 36.6229)* CHOOSE(CONTROL!$C$21, $C$9, 100%, $E$9)</f>
        <v>36.622900000000001</v>
      </c>
      <c r="K590" s="52">
        <f>CHOOSE(CONTROL!$C$42, 36.7436, 36.7436) * CHOOSE(CONTROL!$C$21, $C$9, 100%, $E$9)</f>
        <v>36.743600000000001</v>
      </c>
      <c r="L590" s="17">
        <f>CHOOSE(CONTROL!$C$42, 37.3433, 37.3433) * CHOOSE(CONTROL!$C$21, $C$9, 100%, $E$9)</f>
        <v>37.343299999999999</v>
      </c>
      <c r="M590" s="17">
        <f>CHOOSE(CONTROL!$C$42, 35.9719, 35.9719) * CHOOSE(CONTROL!$C$21, $C$9, 100%, $E$9)</f>
        <v>35.971899999999998</v>
      </c>
      <c r="N590" s="17">
        <f>CHOOSE(CONTROL!$C$42, 35.9884, 35.9884) * CHOOSE(CONTROL!$C$21, $C$9, 100%, $E$9)</f>
        <v>35.988399999999999</v>
      </c>
      <c r="O590" s="17">
        <f>CHOOSE(CONTROL!$C$42, 36.1029, 36.1029) * CHOOSE(CONTROL!$C$21, $C$9, 100%, $E$9)</f>
        <v>36.102899999999998</v>
      </c>
      <c r="P590" s="17">
        <f>CHOOSE(CONTROL!$C$42, 36.0926, 36.0926) * CHOOSE(CONTROL!$C$21, $C$9, 100%, $E$9)</f>
        <v>36.092599999999997</v>
      </c>
      <c r="Q590" s="17">
        <f>CHOOSE(CONTROL!$C$42, 36.6976, 36.6976) * CHOOSE(CONTROL!$C$21, $C$9, 100%, $E$9)</f>
        <v>36.697600000000001</v>
      </c>
      <c r="R590" s="17">
        <f>CHOOSE(CONTROL!$C$42, 37.3763, 37.3763) * CHOOSE(CONTROL!$C$21, $C$9, 100%, $E$9)</f>
        <v>37.376300000000001</v>
      </c>
      <c r="S590" s="17">
        <f>CHOOSE(CONTROL!$C$42, 35.1695, 35.1695) * CHOOSE(CONTROL!$C$21, $C$9, 100%, $E$9)</f>
        <v>35.169499999999999</v>
      </c>
      <c r="T59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90" s="56">
        <f>(1000*CHOOSE(CONTROL!$C$42, 695, 695)*CHOOSE(CONTROL!$C$42, 0.5599, 0.5599)*CHOOSE(CONTROL!$C$42, 28, 28))/1000000</f>
        <v>10.895653999999999</v>
      </c>
      <c r="V590" s="56">
        <f>(1000*CHOOSE(CONTROL!$C$42, 500, 500)*CHOOSE(CONTROL!$C$42, 0.275, 0.275)*CHOOSE(CONTROL!$C$42, 28, 28))/1000000</f>
        <v>3.85</v>
      </c>
      <c r="W590" s="56">
        <f>(1000*CHOOSE(CONTROL!$C$42, 0.1146, 0.1146)*CHOOSE(CONTROL!$C$42, 121.5, 121.5)*CHOOSE(CONTROL!$C$42, 28, 28))/1000000</f>
        <v>0.38986920000000003</v>
      </c>
      <c r="X590" s="56">
        <f>(28*0.2374*100000/1000000)</f>
        <v>0.66471999999999998</v>
      </c>
      <c r="Y590" s="56"/>
      <c r="Z590" s="17"/>
      <c r="AA590" s="55"/>
      <c r="AB590" s="48">
        <f>(B590*122.58+C590*297.941+D590*89.177+E590*140.302+F590*40+G590*60+H590*0+I590*100+J590*300)/(122.58+297.941+89.177+140.302+0+40+60+100+300)</f>
        <v>36.65779778591304</v>
      </c>
      <c r="AC590" s="45">
        <f>(M590*'RAP TEMPLATE-GAS AVAILABILITY'!O589+N590*'RAP TEMPLATE-GAS AVAILABILITY'!P589+O590*'RAP TEMPLATE-GAS AVAILABILITY'!Q589+P590*'RAP TEMPLATE-GAS AVAILABILITY'!R589)/('RAP TEMPLATE-GAS AVAILABILITY'!O589+'RAP TEMPLATE-GAS AVAILABILITY'!P589+'RAP TEMPLATE-GAS AVAILABILITY'!Q589+'RAP TEMPLATE-GAS AVAILABILITY'!R589)</f>
        <v>36.049590647482006</v>
      </c>
    </row>
    <row r="591" spans="1:29" ht="15.75" x14ac:dyDescent="0.25">
      <c r="A591" s="13">
        <v>58893</v>
      </c>
      <c r="B591" s="17">
        <f>CHOOSE(CONTROL!$C$42, 35.5704, 35.5704) * CHOOSE(CONTROL!$C$21, $C$9, 100%, $E$9)</f>
        <v>35.570399999999999</v>
      </c>
      <c r="C591" s="17">
        <f>CHOOSE(CONTROL!$C$42, 35.5755, 35.5755) * CHOOSE(CONTROL!$C$21, $C$9, 100%, $E$9)</f>
        <v>35.575499999999998</v>
      </c>
      <c r="D591" s="17">
        <f>CHOOSE(CONTROL!$C$42, 35.6939, 35.6939) * CHOOSE(CONTROL!$C$21, $C$9, 100%, $E$9)</f>
        <v>35.693899999999999</v>
      </c>
      <c r="E591" s="17">
        <f>CHOOSE(CONTROL!$C$42, 35.728, 35.728) * CHOOSE(CONTROL!$C$21, $C$9, 100%, $E$9)</f>
        <v>35.728000000000002</v>
      </c>
      <c r="F591" s="17">
        <f>CHOOSE(CONTROL!$C$42, 35.5901, 35.5901)*CHOOSE(CONTROL!$C$21, $C$9, 100%, $E$9)</f>
        <v>35.5901</v>
      </c>
      <c r="G591" s="17">
        <f>CHOOSE(CONTROL!$C$42, 35.6068, 35.6068)*CHOOSE(CONTROL!$C$21, $C$9, 100%, $E$9)</f>
        <v>35.6068</v>
      </c>
      <c r="H591" s="17">
        <f>CHOOSE(CONTROL!$C$42, 35.7172, 35.7172) * CHOOSE(CONTROL!$C$21, $C$9, 100%, $E$9)</f>
        <v>35.717199999999998</v>
      </c>
      <c r="I591" s="17">
        <f>CHOOSE(CONTROL!$C$42, 35.7054, 35.7054)* CHOOSE(CONTROL!$C$21, $C$9, 100%, $E$9)</f>
        <v>35.705399999999997</v>
      </c>
      <c r="J591" s="17">
        <f>CHOOSE(CONTROL!$C$42, 35.5831, 35.5831)* CHOOSE(CONTROL!$C$21, $C$9, 100%, $E$9)</f>
        <v>35.583100000000002</v>
      </c>
      <c r="K591" s="52">
        <f>CHOOSE(CONTROL!$C$42, 35.7012, 35.7012) * CHOOSE(CONTROL!$C$21, $C$9, 100%, $E$9)</f>
        <v>35.7012</v>
      </c>
      <c r="L591" s="17">
        <f>CHOOSE(CONTROL!$C$42, 36.3042, 36.3042) * CHOOSE(CONTROL!$C$21, $C$9, 100%, $E$9)</f>
        <v>36.304200000000002</v>
      </c>
      <c r="M591" s="17">
        <f>CHOOSE(CONTROL!$C$42, 34.9508, 34.9508) * CHOOSE(CONTROL!$C$21, $C$9, 100%, $E$9)</f>
        <v>34.950800000000001</v>
      </c>
      <c r="N591" s="17">
        <f>CHOOSE(CONTROL!$C$42, 34.9671, 34.9671) * CHOOSE(CONTROL!$C$21, $C$9, 100%, $E$9)</f>
        <v>34.967100000000002</v>
      </c>
      <c r="O591" s="17">
        <f>CHOOSE(CONTROL!$C$42, 35.0825, 35.0825) * CHOOSE(CONTROL!$C$21, $C$9, 100%, $E$9)</f>
        <v>35.082500000000003</v>
      </c>
      <c r="P591" s="17">
        <f>CHOOSE(CONTROL!$C$42, 35.069, 35.069) * CHOOSE(CONTROL!$C$21, $C$9, 100%, $E$9)</f>
        <v>35.069000000000003</v>
      </c>
      <c r="Q591" s="17">
        <f>CHOOSE(CONTROL!$C$42, 35.6772, 35.6772) * CHOOSE(CONTROL!$C$21, $C$9, 100%, $E$9)</f>
        <v>35.677199999999999</v>
      </c>
      <c r="R591" s="17">
        <f>CHOOSE(CONTROL!$C$42, 36.3534, 36.3534) * CHOOSE(CONTROL!$C$21, $C$9, 100%, $E$9)</f>
        <v>36.353400000000001</v>
      </c>
      <c r="S591" s="17">
        <f>CHOOSE(CONTROL!$C$42, 34.1711, 34.1711) * CHOOSE(CONTROL!$C$21, $C$9, 100%, $E$9)</f>
        <v>34.171100000000003</v>
      </c>
      <c r="T59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91" s="56">
        <f>(1000*CHOOSE(CONTROL!$C$42, 695, 695)*CHOOSE(CONTROL!$C$42, 0.5599, 0.5599)*CHOOSE(CONTROL!$C$42, 31, 31))/1000000</f>
        <v>12.063045499999998</v>
      </c>
      <c r="V591" s="56">
        <f>(1000*CHOOSE(CONTROL!$C$42, 500, 500)*CHOOSE(CONTROL!$C$42, 0.275, 0.275)*CHOOSE(CONTROL!$C$42, 31, 31))/1000000</f>
        <v>4.2625000000000002</v>
      </c>
      <c r="W591" s="56">
        <f>(1000*CHOOSE(CONTROL!$C$42, 0.1146, 0.1146)*CHOOSE(CONTROL!$C$42, 121.5, 121.5)*CHOOSE(CONTROL!$C$42, 31, 31))/1000000</f>
        <v>0.43164089999999994</v>
      </c>
      <c r="X591" s="56">
        <f>(31*0.2374*100000/1000000)</f>
        <v>0.73594000000000004</v>
      </c>
      <c r="Y591" s="56"/>
      <c r="Z591" s="17"/>
      <c r="AA591" s="55"/>
      <c r="AB591" s="48">
        <f>(B591*122.58+C591*297.941+D591*89.177+E591*140.302+F591*40+G591*60+H591*0+I591*100+J591*300)/(122.58+297.941+89.177+140.302+0+40+60+100+300)</f>
        <v>35.618162133739133</v>
      </c>
      <c r="AC591" s="45">
        <f>(M591*'RAP TEMPLATE-GAS AVAILABILITY'!O590+N591*'RAP TEMPLATE-GAS AVAILABILITY'!P590+O591*'RAP TEMPLATE-GAS AVAILABILITY'!Q590+P591*'RAP TEMPLATE-GAS AVAILABILITY'!R590)/('RAP TEMPLATE-GAS AVAILABILITY'!O590+'RAP TEMPLATE-GAS AVAILABILITY'!P590+'RAP TEMPLATE-GAS AVAILABILITY'!Q590+'RAP TEMPLATE-GAS AVAILABILITY'!R590)</f>
        <v>35.028436690647482</v>
      </c>
    </row>
    <row r="592" spans="1:29" ht="15.75" x14ac:dyDescent="0.25">
      <c r="A592" s="13">
        <v>58926</v>
      </c>
      <c r="B592" s="17">
        <f>CHOOSE(CONTROL!$C$42, 35.465, 35.465) * CHOOSE(CONTROL!$C$21, $C$9, 100%, $E$9)</f>
        <v>35.465000000000003</v>
      </c>
      <c r="C592" s="17">
        <f>CHOOSE(CONTROL!$C$42, 35.4694, 35.4694) * CHOOSE(CONTROL!$C$21, $C$9, 100%, $E$9)</f>
        <v>35.4694</v>
      </c>
      <c r="D592" s="17">
        <f>CHOOSE(CONTROL!$C$42, 35.7436, 35.7436) * CHOOSE(CONTROL!$C$21, $C$9, 100%, $E$9)</f>
        <v>35.743600000000001</v>
      </c>
      <c r="E592" s="17">
        <f>CHOOSE(CONTROL!$C$42, 35.7757, 35.7757) * CHOOSE(CONTROL!$C$21, $C$9, 100%, $E$9)</f>
        <v>35.775700000000001</v>
      </c>
      <c r="F592" s="17">
        <f>CHOOSE(CONTROL!$C$42, 35.4843, 35.4843)*CHOOSE(CONTROL!$C$21, $C$9, 100%, $E$9)</f>
        <v>35.484299999999998</v>
      </c>
      <c r="G592" s="17">
        <f>CHOOSE(CONTROL!$C$42, 35.5006, 35.5006)*CHOOSE(CONTROL!$C$21, $C$9, 100%, $E$9)</f>
        <v>35.500599999999999</v>
      </c>
      <c r="H592" s="17">
        <f>CHOOSE(CONTROL!$C$42, 35.7655, 35.7655) * CHOOSE(CONTROL!$C$21, $C$9, 100%, $E$9)</f>
        <v>35.765500000000003</v>
      </c>
      <c r="I592" s="17">
        <f>CHOOSE(CONTROL!$C$42, 35.5973, 35.5973)* CHOOSE(CONTROL!$C$21, $C$9, 100%, $E$9)</f>
        <v>35.597299999999997</v>
      </c>
      <c r="J592" s="17">
        <f>CHOOSE(CONTROL!$C$42, 35.4773, 35.4773)* CHOOSE(CONTROL!$C$21, $C$9, 100%, $E$9)</f>
        <v>35.4773</v>
      </c>
      <c r="K592" s="52">
        <f>CHOOSE(CONTROL!$C$42, 35.5931, 35.5931) * CHOOSE(CONTROL!$C$21, $C$9, 100%, $E$9)</f>
        <v>35.5931</v>
      </c>
      <c r="L592" s="17">
        <f>CHOOSE(CONTROL!$C$42, 36.3525, 36.3525) * CHOOSE(CONTROL!$C$21, $C$9, 100%, $E$9)</f>
        <v>36.352499999999999</v>
      </c>
      <c r="M592" s="17">
        <f>CHOOSE(CONTROL!$C$42, 34.8468, 34.8468) * CHOOSE(CONTROL!$C$21, $C$9, 100%, $E$9)</f>
        <v>34.846800000000002</v>
      </c>
      <c r="N592" s="17">
        <f>CHOOSE(CONTROL!$C$42, 34.8629, 34.8629) * CHOOSE(CONTROL!$C$21, $C$9, 100%, $E$9)</f>
        <v>34.862900000000003</v>
      </c>
      <c r="O592" s="17">
        <f>CHOOSE(CONTROL!$C$42, 35.1299, 35.1299) * CHOOSE(CONTROL!$C$21, $C$9, 100%, $E$9)</f>
        <v>35.129899999999999</v>
      </c>
      <c r="P592" s="17">
        <f>CHOOSE(CONTROL!$C$42, 34.9628, 34.9628) * CHOOSE(CONTROL!$C$21, $C$9, 100%, $E$9)</f>
        <v>34.962800000000001</v>
      </c>
      <c r="Q592" s="17">
        <f>CHOOSE(CONTROL!$C$42, 35.7246, 35.7246) * CHOOSE(CONTROL!$C$21, $C$9, 100%, $E$9)</f>
        <v>35.724600000000002</v>
      </c>
      <c r="R592" s="17">
        <f>CHOOSE(CONTROL!$C$42, 36.4009, 36.4009) * CHOOSE(CONTROL!$C$21, $C$9, 100%, $E$9)</f>
        <v>36.4009</v>
      </c>
      <c r="S592" s="17">
        <f>CHOOSE(CONTROL!$C$42, 34.069, 34.069) * CHOOSE(CONTROL!$C$21, $C$9, 100%, $E$9)</f>
        <v>34.069000000000003</v>
      </c>
      <c r="T59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92" s="56">
        <f>(1000*CHOOSE(CONTROL!$C$42, 695, 695)*CHOOSE(CONTROL!$C$42, 0.5599, 0.5599)*CHOOSE(CONTROL!$C$42, 30, 30))/1000000</f>
        <v>11.673914999999997</v>
      </c>
      <c r="V592" s="56">
        <f>(1000*CHOOSE(CONTROL!$C$42, 500, 500)*CHOOSE(CONTROL!$C$42, 0.275, 0.275)*CHOOSE(CONTROL!$C$42, 30, 30))/1000000</f>
        <v>4.125</v>
      </c>
      <c r="W592" s="56">
        <f>(1000*CHOOSE(CONTROL!$C$42, 0.1146, 0.1146)*CHOOSE(CONTROL!$C$42, 121.5, 121.5)*CHOOSE(CONTROL!$C$42, 30, 30))/1000000</f>
        <v>0.417717</v>
      </c>
      <c r="X592" s="56">
        <f>(30*0.1790888*145000/1000000)+(30*0.2374*100000/1000000)</f>
        <v>1.4912362799999999</v>
      </c>
      <c r="Y592" s="56"/>
      <c r="Z592" s="17"/>
      <c r="AA592" s="55"/>
      <c r="AB592" s="48">
        <f>(B592*141.293+C592*267.993+D592*115.016+E592*189.698+F592*40+G592*85+H592*0+I592*100+J592*300)/(141.293+267.993+115.016+189.698+0+40+85+100+300)</f>
        <v>35.556105565294594</v>
      </c>
      <c r="AC592" s="45">
        <f>(M592*'RAP TEMPLATE-GAS AVAILABILITY'!O591+N592*'RAP TEMPLATE-GAS AVAILABILITY'!P591+O592*'RAP TEMPLATE-GAS AVAILABILITY'!Q591+P592*'RAP TEMPLATE-GAS AVAILABILITY'!R591)/('RAP TEMPLATE-GAS AVAILABILITY'!O591+'RAP TEMPLATE-GAS AVAILABILITY'!P591+'RAP TEMPLATE-GAS AVAILABILITY'!Q591+'RAP TEMPLATE-GAS AVAILABILITY'!R591)</f>
        <v>34.946628057553951</v>
      </c>
    </row>
    <row r="593" spans="1:29" ht="15.75" x14ac:dyDescent="0.25">
      <c r="A593" s="13">
        <v>58957</v>
      </c>
      <c r="B593" s="17">
        <f>CHOOSE(CONTROL!$C$42, 35.7793, 35.7793) * CHOOSE(CONTROL!$C$21, $C$9, 100%, $E$9)</f>
        <v>35.779299999999999</v>
      </c>
      <c r="C593" s="17">
        <f>CHOOSE(CONTROL!$C$42, 35.7873, 35.7873) * CHOOSE(CONTROL!$C$21, $C$9, 100%, $E$9)</f>
        <v>35.787300000000002</v>
      </c>
      <c r="D593" s="17">
        <f>CHOOSE(CONTROL!$C$42, 36.0584, 36.0584) * CHOOSE(CONTROL!$C$21, $C$9, 100%, $E$9)</f>
        <v>36.058399999999999</v>
      </c>
      <c r="E593" s="17">
        <f>CHOOSE(CONTROL!$C$42, 36.0898, 36.0898) * CHOOSE(CONTROL!$C$21, $C$9, 100%, $E$9)</f>
        <v>36.089799999999997</v>
      </c>
      <c r="F593" s="17">
        <f>CHOOSE(CONTROL!$C$42, 35.7974, 35.7974)*CHOOSE(CONTROL!$C$21, $C$9, 100%, $E$9)</f>
        <v>35.797400000000003</v>
      </c>
      <c r="G593" s="17">
        <f>CHOOSE(CONTROL!$C$42, 35.8141, 35.8141)*CHOOSE(CONTROL!$C$21, $C$9, 100%, $E$9)</f>
        <v>35.814100000000003</v>
      </c>
      <c r="H593" s="17">
        <f>CHOOSE(CONTROL!$C$42, 36.0785, 36.0785) * CHOOSE(CONTROL!$C$21, $C$9, 100%, $E$9)</f>
        <v>36.078499999999998</v>
      </c>
      <c r="I593" s="17">
        <f>CHOOSE(CONTROL!$C$42, 35.9112, 35.9112)* CHOOSE(CONTROL!$C$21, $C$9, 100%, $E$9)</f>
        <v>35.911200000000001</v>
      </c>
      <c r="J593" s="17">
        <f>CHOOSE(CONTROL!$C$42, 35.7904, 35.7904)* CHOOSE(CONTROL!$C$21, $C$9, 100%, $E$9)</f>
        <v>35.790399999999998</v>
      </c>
      <c r="K593" s="52">
        <f>CHOOSE(CONTROL!$C$42, 35.907, 35.907) * CHOOSE(CONTROL!$C$21, $C$9, 100%, $E$9)</f>
        <v>35.906999999999996</v>
      </c>
      <c r="L593" s="17">
        <f>CHOOSE(CONTROL!$C$42, 36.6655, 36.6655) * CHOOSE(CONTROL!$C$21, $C$9, 100%, $E$9)</f>
        <v>36.665500000000002</v>
      </c>
      <c r="M593" s="17">
        <f>CHOOSE(CONTROL!$C$42, 35.1544, 35.1544) * CHOOSE(CONTROL!$C$21, $C$9, 100%, $E$9)</f>
        <v>35.154400000000003</v>
      </c>
      <c r="N593" s="17">
        <f>CHOOSE(CONTROL!$C$42, 35.1707, 35.1707) * CHOOSE(CONTROL!$C$21, $C$9, 100%, $E$9)</f>
        <v>35.170699999999997</v>
      </c>
      <c r="O593" s="17">
        <f>CHOOSE(CONTROL!$C$42, 35.4372, 35.4372) * CHOOSE(CONTROL!$C$21, $C$9, 100%, $E$9)</f>
        <v>35.437199999999997</v>
      </c>
      <c r="P593" s="17">
        <f>CHOOSE(CONTROL!$C$42, 35.2711, 35.2711) * CHOOSE(CONTROL!$C$21, $C$9, 100%, $E$9)</f>
        <v>35.271099999999997</v>
      </c>
      <c r="Q593" s="17">
        <f>CHOOSE(CONTROL!$C$42, 36.0319, 36.0319) * CHOOSE(CONTROL!$C$21, $C$9, 100%, $E$9)</f>
        <v>36.0319</v>
      </c>
      <c r="R593" s="17">
        <f>CHOOSE(CONTROL!$C$42, 36.709, 36.709) * CHOOSE(CONTROL!$C$21, $C$9, 100%, $E$9)</f>
        <v>36.709000000000003</v>
      </c>
      <c r="S593" s="17">
        <f>CHOOSE(CONTROL!$C$42, 34.3697, 34.3697) * CHOOSE(CONTROL!$C$21, $C$9, 100%, $E$9)</f>
        <v>34.369700000000002</v>
      </c>
      <c r="T59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93" s="56">
        <f>(1000*CHOOSE(CONTROL!$C$42, 695, 695)*CHOOSE(CONTROL!$C$42, 0.5599, 0.5599)*CHOOSE(CONTROL!$C$42, 31, 31))/1000000</f>
        <v>12.063045499999998</v>
      </c>
      <c r="V593" s="56">
        <f>(1000*CHOOSE(CONTROL!$C$42, 500, 500)*CHOOSE(CONTROL!$C$42, 0.275, 0.275)*CHOOSE(CONTROL!$C$42, 31, 31))/1000000</f>
        <v>4.2625000000000002</v>
      </c>
      <c r="W593" s="56">
        <f>(1000*CHOOSE(CONTROL!$C$42, 0.1146, 0.1146)*CHOOSE(CONTROL!$C$42, 121.5, 121.5)*CHOOSE(CONTROL!$C$42, 31, 31))/1000000</f>
        <v>0.43164089999999994</v>
      </c>
      <c r="X593" s="56">
        <f>(31*0.1790888*145000/1000000)+(31*0.2374*100000/1000000)</f>
        <v>1.5409441560000001</v>
      </c>
      <c r="Y593" s="56"/>
      <c r="Z593" s="17"/>
      <c r="AA593" s="55"/>
      <c r="AB593" s="48">
        <f>(B593*194.205+C593*267.466+D593*133.845+E593*153.484+F593*40+G593*85+H593*0+I593*100+J593*300)/(194.205+267.466+133.845+153.484+0+40+85+100+300)</f>
        <v>35.863565815934074</v>
      </c>
      <c r="AC593" s="45">
        <f>(M593*'RAP TEMPLATE-GAS AVAILABILITY'!O592+N593*'RAP TEMPLATE-GAS AVAILABILITY'!P592+O593*'RAP TEMPLATE-GAS AVAILABILITY'!Q592+P593*'RAP TEMPLATE-GAS AVAILABILITY'!R592)/('RAP TEMPLATE-GAS AVAILABILITY'!O592+'RAP TEMPLATE-GAS AVAILABILITY'!P592+'RAP TEMPLATE-GAS AVAILABILITY'!Q592+'RAP TEMPLATE-GAS AVAILABILITY'!R592)</f>
        <v>35.254290647482016</v>
      </c>
    </row>
    <row r="594" spans="1:29" ht="15.75" x14ac:dyDescent="0.25">
      <c r="A594" s="13">
        <v>58987</v>
      </c>
      <c r="B594" s="17">
        <f>CHOOSE(CONTROL!$C$42, 36.7939, 36.7939) * CHOOSE(CONTROL!$C$21, $C$9, 100%, $E$9)</f>
        <v>36.793900000000001</v>
      </c>
      <c r="C594" s="17">
        <f>CHOOSE(CONTROL!$C$42, 36.8019, 36.8019) * CHOOSE(CONTROL!$C$21, $C$9, 100%, $E$9)</f>
        <v>36.801900000000003</v>
      </c>
      <c r="D594" s="17">
        <f>CHOOSE(CONTROL!$C$42, 37.073, 37.073) * CHOOSE(CONTROL!$C$21, $C$9, 100%, $E$9)</f>
        <v>37.073</v>
      </c>
      <c r="E594" s="17">
        <f>CHOOSE(CONTROL!$C$42, 37.1044, 37.1044) * CHOOSE(CONTROL!$C$21, $C$9, 100%, $E$9)</f>
        <v>37.104399999999998</v>
      </c>
      <c r="F594" s="17">
        <f>CHOOSE(CONTROL!$C$42, 36.8123, 36.8123)*CHOOSE(CONTROL!$C$21, $C$9, 100%, $E$9)</f>
        <v>36.8123</v>
      </c>
      <c r="G594" s="17">
        <f>CHOOSE(CONTROL!$C$42, 36.829, 36.829)*CHOOSE(CONTROL!$C$21, $C$9, 100%, $E$9)</f>
        <v>36.829000000000001</v>
      </c>
      <c r="H594" s="17">
        <f>CHOOSE(CONTROL!$C$42, 37.093, 37.093) * CHOOSE(CONTROL!$C$21, $C$9, 100%, $E$9)</f>
        <v>37.093000000000004</v>
      </c>
      <c r="I594" s="17">
        <f>CHOOSE(CONTROL!$C$42, 36.929, 36.929)* CHOOSE(CONTROL!$C$21, $C$9, 100%, $E$9)</f>
        <v>36.929000000000002</v>
      </c>
      <c r="J594" s="17">
        <f>CHOOSE(CONTROL!$C$42, 36.8053, 36.8053)* CHOOSE(CONTROL!$C$21, $C$9, 100%, $E$9)</f>
        <v>36.805300000000003</v>
      </c>
      <c r="K594" s="52">
        <f>CHOOSE(CONTROL!$C$42, 36.9247, 36.9247) * CHOOSE(CONTROL!$C$21, $C$9, 100%, $E$9)</f>
        <v>36.924700000000001</v>
      </c>
      <c r="L594" s="17">
        <f>CHOOSE(CONTROL!$C$42, 37.68, 37.68) * CHOOSE(CONTROL!$C$21, $C$9, 100%, $E$9)</f>
        <v>37.68</v>
      </c>
      <c r="M594" s="17">
        <f>CHOOSE(CONTROL!$C$42, 36.151, 36.151) * CHOOSE(CONTROL!$C$21, $C$9, 100%, $E$9)</f>
        <v>36.151000000000003</v>
      </c>
      <c r="N594" s="17">
        <f>CHOOSE(CONTROL!$C$42, 36.1674, 36.1674) * CHOOSE(CONTROL!$C$21, $C$9, 100%, $E$9)</f>
        <v>36.167400000000001</v>
      </c>
      <c r="O594" s="17">
        <f>CHOOSE(CONTROL!$C$42, 36.4336, 36.4336) * CHOOSE(CONTROL!$C$21, $C$9, 100%, $E$9)</f>
        <v>36.433599999999998</v>
      </c>
      <c r="P594" s="17">
        <f>CHOOSE(CONTROL!$C$42, 36.2705, 36.2705) * CHOOSE(CONTROL!$C$21, $C$9, 100%, $E$9)</f>
        <v>36.270499999999998</v>
      </c>
      <c r="Q594" s="17">
        <f>CHOOSE(CONTROL!$C$42, 37.0283, 37.0283) * CHOOSE(CONTROL!$C$21, $C$9, 100%, $E$9)</f>
        <v>37.028300000000002</v>
      </c>
      <c r="R594" s="17">
        <f>CHOOSE(CONTROL!$C$42, 37.7078, 37.7078) * CHOOSE(CONTROL!$C$21, $C$9, 100%, $E$9)</f>
        <v>37.707799999999999</v>
      </c>
      <c r="S594" s="17">
        <f>CHOOSE(CONTROL!$C$42, 35.3446, 35.3446) * CHOOSE(CONTROL!$C$21, $C$9, 100%, $E$9)</f>
        <v>35.3446</v>
      </c>
      <c r="T59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94" s="56">
        <f>(1000*CHOOSE(CONTROL!$C$42, 695, 695)*CHOOSE(CONTROL!$C$42, 0.5599, 0.5599)*CHOOSE(CONTROL!$C$42, 30, 30))/1000000</f>
        <v>11.673914999999997</v>
      </c>
      <c r="V594" s="56">
        <f>(1000*CHOOSE(CONTROL!$C$42, 500, 500)*CHOOSE(CONTROL!$C$42, 0.275, 0.275)*CHOOSE(CONTROL!$C$42, 30, 30))/1000000</f>
        <v>4.125</v>
      </c>
      <c r="W594" s="56">
        <f>(1000*CHOOSE(CONTROL!$C$42, 0.1146, 0.1146)*CHOOSE(CONTROL!$C$42, 121.5, 121.5)*CHOOSE(CONTROL!$C$42, 30, 30))/1000000</f>
        <v>0.417717</v>
      </c>
      <c r="X594" s="56">
        <f>(30*0.1790888*145000/1000000)+(30*0.2374*100000/1000000)</f>
        <v>1.4912362799999999</v>
      </c>
      <c r="Y594" s="56"/>
      <c r="Z594" s="17"/>
      <c r="AA594" s="55"/>
      <c r="AB594" s="48">
        <f>(B594*194.205+C594*267.466+D594*133.845+E594*153.484+F594*40+G594*85+H594*0+I594*100+J594*300)/(194.205+267.466+133.845+153.484+0+40+85+100+300)</f>
        <v>36.878517071821037</v>
      </c>
      <c r="AC594" s="45">
        <f>(M594*'RAP TEMPLATE-GAS AVAILABILITY'!O593+N594*'RAP TEMPLATE-GAS AVAILABILITY'!P593+O594*'RAP TEMPLATE-GAS AVAILABILITY'!Q593+P594*'RAP TEMPLATE-GAS AVAILABILITY'!R593)/('RAP TEMPLATE-GAS AVAILABILITY'!O593+'RAP TEMPLATE-GAS AVAILABILITY'!P593+'RAP TEMPLATE-GAS AVAILABILITY'!Q593+'RAP TEMPLATE-GAS AVAILABILITY'!R593)</f>
        <v>36.251260431654678</v>
      </c>
    </row>
    <row r="595" spans="1:29" ht="15.75" x14ac:dyDescent="0.25">
      <c r="A595" s="13">
        <v>59018</v>
      </c>
      <c r="B595" s="17">
        <f>CHOOSE(CONTROL!$C$42, 36.0882, 36.0882) * CHOOSE(CONTROL!$C$21, $C$9, 100%, $E$9)</f>
        <v>36.088200000000001</v>
      </c>
      <c r="C595" s="17">
        <f>CHOOSE(CONTROL!$C$42, 36.0962, 36.0962) * CHOOSE(CONTROL!$C$21, $C$9, 100%, $E$9)</f>
        <v>36.096200000000003</v>
      </c>
      <c r="D595" s="17">
        <f>CHOOSE(CONTROL!$C$42, 36.3673, 36.3673) * CHOOSE(CONTROL!$C$21, $C$9, 100%, $E$9)</f>
        <v>36.3673</v>
      </c>
      <c r="E595" s="17">
        <f>CHOOSE(CONTROL!$C$42, 36.3988, 36.3988) * CHOOSE(CONTROL!$C$21, $C$9, 100%, $E$9)</f>
        <v>36.398800000000001</v>
      </c>
      <c r="F595" s="17">
        <f>CHOOSE(CONTROL!$C$42, 36.1071, 36.1071)*CHOOSE(CONTROL!$C$21, $C$9, 100%, $E$9)</f>
        <v>36.107100000000003</v>
      </c>
      <c r="G595" s="17">
        <f>CHOOSE(CONTROL!$C$42, 36.1239, 36.1239)*CHOOSE(CONTROL!$C$21, $C$9, 100%, $E$9)</f>
        <v>36.123899999999999</v>
      </c>
      <c r="H595" s="17">
        <f>CHOOSE(CONTROL!$C$42, 36.3874, 36.3874) * CHOOSE(CONTROL!$C$21, $C$9, 100%, $E$9)</f>
        <v>36.3874</v>
      </c>
      <c r="I595" s="17">
        <f>CHOOSE(CONTROL!$C$42, 36.2211, 36.2211)* CHOOSE(CONTROL!$C$21, $C$9, 100%, $E$9)</f>
        <v>36.2211</v>
      </c>
      <c r="J595" s="17">
        <f>CHOOSE(CONTROL!$C$42, 36.1001, 36.1001)* CHOOSE(CONTROL!$C$21, $C$9, 100%, $E$9)</f>
        <v>36.100099999999998</v>
      </c>
      <c r="K595" s="52">
        <f>CHOOSE(CONTROL!$C$42, 36.2169, 36.2169) * CHOOSE(CONTROL!$C$21, $C$9, 100%, $E$9)</f>
        <v>36.216900000000003</v>
      </c>
      <c r="L595" s="17">
        <f>CHOOSE(CONTROL!$C$42, 36.9744, 36.9744) * CHOOSE(CONTROL!$C$21, $C$9, 100%, $E$9)</f>
        <v>36.974400000000003</v>
      </c>
      <c r="M595" s="17">
        <f>CHOOSE(CONTROL!$C$42, 35.4585, 35.4585) * CHOOSE(CONTROL!$C$21, $C$9, 100%, $E$9)</f>
        <v>35.458500000000001</v>
      </c>
      <c r="N595" s="17">
        <f>CHOOSE(CONTROL!$C$42, 35.475, 35.475) * CHOOSE(CONTROL!$C$21, $C$9, 100%, $E$9)</f>
        <v>35.475000000000001</v>
      </c>
      <c r="O595" s="17">
        <f>CHOOSE(CONTROL!$C$42, 35.7406, 35.7406) * CHOOSE(CONTROL!$C$21, $C$9, 100%, $E$9)</f>
        <v>35.740600000000001</v>
      </c>
      <c r="P595" s="17">
        <f>CHOOSE(CONTROL!$C$42, 35.5754, 35.5754) * CHOOSE(CONTROL!$C$21, $C$9, 100%, $E$9)</f>
        <v>35.575400000000002</v>
      </c>
      <c r="Q595" s="17">
        <f>CHOOSE(CONTROL!$C$42, 36.3353, 36.3353) * CHOOSE(CONTROL!$C$21, $C$9, 100%, $E$9)</f>
        <v>36.335299999999997</v>
      </c>
      <c r="R595" s="17">
        <f>CHOOSE(CONTROL!$C$42, 37.0131, 37.0131) * CHOOSE(CONTROL!$C$21, $C$9, 100%, $E$9)</f>
        <v>37.013100000000001</v>
      </c>
      <c r="S595" s="17">
        <f>CHOOSE(CONTROL!$C$42, 34.6665, 34.6665) * CHOOSE(CONTROL!$C$21, $C$9, 100%, $E$9)</f>
        <v>34.666499999999999</v>
      </c>
      <c r="T59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95" s="56">
        <f>(1000*CHOOSE(CONTROL!$C$42, 695, 695)*CHOOSE(CONTROL!$C$42, 0.5599, 0.5599)*CHOOSE(CONTROL!$C$42, 31, 31))/1000000</f>
        <v>12.063045499999998</v>
      </c>
      <c r="V595" s="56">
        <f>(1000*CHOOSE(CONTROL!$C$42, 500, 500)*CHOOSE(CONTROL!$C$42, 0.275, 0.275)*CHOOSE(CONTROL!$C$42, 31, 31))/1000000</f>
        <v>4.2625000000000002</v>
      </c>
      <c r="W595" s="56">
        <f>(1000*CHOOSE(CONTROL!$C$42, 0.1146, 0.1146)*CHOOSE(CONTROL!$C$42, 121.5, 121.5)*CHOOSE(CONTROL!$C$42, 31, 31))/1000000</f>
        <v>0.43164089999999994</v>
      </c>
      <c r="X595" s="56">
        <f>(31*0.1790888*145000/1000000)+(31*0.2374*100000/1000000)</f>
        <v>1.5409441560000001</v>
      </c>
      <c r="Y595" s="56"/>
      <c r="Z595" s="17"/>
      <c r="AA595" s="55"/>
      <c r="AB595" s="48">
        <f>(B595*194.205+C595*267.466+D595*133.845+E595*153.484+F595*40+G595*85+H595*0+I595*100+J595*300)/(194.205+267.466+133.845+153.484+0+40+85+100+300)</f>
        <v>36.172829904160125</v>
      </c>
      <c r="AC595" s="45">
        <f>(M595*'RAP TEMPLATE-GAS AVAILABILITY'!O594+N595*'RAP TEMPLATE-GAS AVAILABILITY'!P594+O595*'RAP TEMPLATE-GAS AVAILABILITY'!Q594+P595*'RAP TEMPLATE-GAS AVAILABILITY'!R594)/('RAP TEMPLATE-GAS AVAILABILITY'!O594+'RAP TEMPLATE-GAS AVAILABILITY'!P594+'RAP TEMPLATE-GAS AVAILABILITY'!Q594+'RAP TEMPLATE-GAS AVAILABILITY'!R594)</f>
        <v>35.558269064748202</v>
      </c>
    </row>
    <row r="596" spans="1:29" ht="15.75" x14ac:dyDescent="0.25">
      <c r="A596" s="13">
        <v>59049</v>
      </c>
      <c r="B596" s="17">
        <f>CHOOSE(CONTROL!$C$42, 34.3062, 34.3062) * CHOOSE(CONTROL!$C$21, $C$9, 100%, $E$9)</f>
        <v>34.306199999999997</v>
      </c>
      <c r="C596" s="17">
        <f>CHOOSE(CONTROL!$C$42, 34.3142, 34.3142) * CHOOSE(CONTROL!$C$21, $C$9, 100%, $E$9)</f>
        <v>34.3142</v>
      </c>
      <c r="D596" s="17">
        <f>CHOOSE(CONTROL!$C$42, 34.5853, 34.5853) * CHOOSE(CONTROL!$C$21, $C$9, 100%, $E$9)</f>
        <v>34.585299999999997</v>
      </c>
      <c r="E596" s="17">
        <f>CHOOSE(CONTROL!$C$42, 34.6168, 34.6168) * CHOOSE(CONTROL!$C$21, $C$9, 100%, $E$9)</f>
        <v>34.616799999999998</v>
      </c>
      <c r="F596" s="17">
        <f>CHOOSE(CONTROL!$C$42, 34.3253, 34.3253)*CHOOSE(CONTROL!$C$21, $C$9, 100%, $E$9)</f>
        <v>34.325299999999999</v>
      </c>
      <c r="G596" s="17">
        <f>CHOOSE(CONTROL!$C$42, 34.3422, 34.3422)*CHOOSE(CONTROL!$C$21, $C$9, 100%, $E$9)</f>
        <v>34.342199999999998</v>
      </c>
      <c r="H596" s="17">
        <f>CHOOSE(CONTROL!$C$42, 34.6054, 34.6054) * CHOOSE(CONTROL!$C$21, $C$9, 100%, $E$9)</f>
        <v>34.605400000000003</v>
      </c>
      <c r="I596" s="17">
        <f>CHOOSE(CONTROL!$C$42, 34.4335, 34.4335)* CHOOSE(CONTROL!$C$21, $C$9, 100%, $E$9)</f>
        <v>34.433500000000002</v>
      </c>
      <c r="J596" s="17">
        <f>CHOOSE(CONTROL!$C$42, 34.3183, 34.3183)* CHOOSE(CONTROL!$C$21, $C$9, 100%, $E$9)</f>
        <v>34.318300000000001</v>
      </c>
      <c r="K596" s="52">
        <f>CHOOSE(CONTROL!$C$42, 34.4293, 34.4293) * CHOOSE(CONTROL!$C$21, $C$9, 100%, $E$9)</f>
        <v>34.429299999999998</v>
      </c>
      <c r="L596" s="17">
        <f>CHOOSE(CONTROL!$C$42, 35.1924, 35.1924) * CHOOSE(CONTROL!$C$21, $C$9, 100%, $E$9)</f>
        <v>35.192399999999999</v>
      </c>
      <c r="M596" s="17">
        <f>CHOOSE(CONTROL!$C$42, 33.7088, 33.7088) * CHOOSE(CONTROL!$C$21, $C$9, 100%, $E$9)</f>
        <v>33.708799999999997</v>
      </c>
      <c r="N596" s="17">
        <f>CHOOSE(CONTROL!$C$42, 33.7253, 33.7253) * CHOOSE(CONTROL!$C$21, $C$9, 100%, $E$9)</f>
        <v>33.725299999999997</v>
      </c>
      <c r="O596" s="17">
        <f>CHOOSE(CONTROL!$C$42, 33.9907, 33.9907) * CHOOSE(CONTROL!$C$21, $C$9, 100%, $E$9)</f>
        <v>33.990699999999997</v>
      </c>
      <c r="P596" s="17">
        <f>CHOOSE(CONTROL!$C$42, 33.82, 33.82) * CHOOSE(CONTROL!$C$21, $C$9, 100%, $E$9)</f>
        <v>33.82</v>
      </c>
      <c r="Q596" s="17">
        <f>CHOOSE(CONTROL!$C$42, 34.5854, 34.5854) * CHOOSE(CONTROL!$C$21, $C$9, 100%, $E$9)</f>
        <v>34.5854</v>
      </c>
      <c r="R596" s="17">
        <f>CHOOSE(CONTROL!$C$42, 35.2588, 35.2588) * CHOOSE(CONTROL!$C$21, $C$9, 100%, $E$9)</f>
        <v>35.258800000000001</v>
      </c>
      <c r="S596" s="17">
        <f>CHOOSE(CONTROL!$C$42, 32.9542, 32.9542) * CHOOSE(CONTROL!$C$21, $C$9, 100%, $E$9)</f>
        <v>32.9542</v>
      </c>
      <c r="T59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96" s="56">
        <f>(1000*CHOOSE(CONTROL!$C$42, 695, 695)*CHOOSE(CONTROL!$C$42, 0.5599, 0.5599)*CHOOSE(CONTROL!$C$42, 31, 31))/1000000</f>
        <v>12.063045499999998</v>
      </c>
      <c r="V596" s="56">
        <f>(1000*CHOOSE(CONTROL!$C$42, 500, 500)*CHOOSE(CONTROL!$C$42, 0.275, 0.275)*CHOOSE(CONTROL!$C$42, 31, 31))/1000000</f>
        <v>4.2625000000000002</v>
      </c>
      <c r="W596" s="56">
        <f>(1000*CHOOSE(CONTROL!$C$42, 0.1146, 0.1146)*CHOOSE(CONTROL!$C$42, 121.5, 121.5)*CHOOSE(CONTROL!$C$42, 31, 31))/1000000</f>
        <v>0.43164089999999994</v>
      </c>
      <c r="X596" s="56">
        <f>(31*0.1790888*145000/1000000)+(31*0.2374*100000/1000000)</f>
        <v>1.5409441560000001</v>
      </c>
      <c r="Y596" s="56"/>
      <c r="Z596" s="17"/>
      <c r="AA596" s="55"/>
      <c r="AB596" s="48">
        <f>(B596*194.205+C596*267.466+D596*133.845+E596*153.484+F596*40+G596*85+H596*0+I596*100+J596*300)/(194.205+267.466+133.845+153.484+0+40+85+100+300)</f>
        <v>34.390463734615381</v>
      </c>
      <c r="AC596" s="45">
        <f>(M596*'RAP TEMPLATE-GAS AVAILABILITY'!O595+N596*'RAP TEMPLATE-GAS AVAILABILITY'!P595+O596*'RAP TEMPLATE-GAS AVAILABILITY'!Q595+P596*'RAP TEMPLATE-GAS AVAILABILITY'!R595)/('RAP TEMPLATE-GAS AVAILABILITY'!O595+'RAP TEMPLATE-GAS AVAILABILITY'!P595+'RAP TEMPLATE-GAS AVAILABILITY'!Q595+'RAP TEMPLATE-GAS AVAILABILITY'!R595)</f>
        <v>33.807692805755394</v>
      </c>
    </row>
    <row r="597" spans="1:29" ht="15.75" x14ac:dyDescent="0.25">
      <c r="A597" s="13">
        <v>59079</v>
      </c>
      <c r="B597" s="17">
        <f>CHOOSE(CONTROL!$C$42, 32.1287, 32.1287) * CHOOSE(CONTROL!$C$21, $C$9, 100%, $E$9)</f>
        <v>32.128700000000002</v>
      </c>
      <c r="C597" s="17">
        <f>CHOOSE(CONTROL!$C$42, 32.1367, 32.1367) * CHOOSE(CONTROL!$C$21, $C$9, 100%, $E$9)</f>
        <v>32.136699999999998</v>
      </c>
      <c r="D597" s="17">
        <f>CHOOSE(CONTROL!$C$42, 32.4078, 32.4078) * CHOOSE(CONTROL!$C$21, $C$9, 100%, $E$9)</f>
        <v>32.407800000000002</v>
      </c>
      <c r="E597" s="17">
        <f>CHOOSE(CONTROL!$C$42, 32.4393, 32.4393) * CHOOSE(CONTROL!$C$21, $C$9, 100%, $E$9)</f>
        <v>32.439300000000003</v>
      </c>
      <c r="F597" s="17">
        <f>CHOOSE(CONTROL!$C$42, 32.1479, 32.1479)*CHOOSE(CONTROL!$C$21, $C$9, 100%, $E$9)</f>
        <v>32.1479</v>
      </c>
      <c r="G597" s="17">
        <f>CHOOSE(CONTROL!$C$42, 32.1648, 32.1648)*CHOOSE(CONTROL!$C$21, $C$9, 100%, $E$9)</f>
        <v>32.1648</v>
      </c>
      <c r="H597" s="17">
        <f>CHOOSE(CONTROL!$C$42, 32.4279, 32.4279) * CHOOSE(CONTROL!$C$21, $C$9, 100%, $E$9)</f>
        <v>32.427900000000001</v>
      </c>
      <c r="I597" s="17">
        <f>CHOOSE(CONTROL!$C$42, 32.2492, 32.2492)* CHOOSE(CONTROL!$C$21, $C$9, 100%, $E$9)</f>
        <v>32.249200000000002</v>
      </c>
      <c r="J597" s="17">
        <f>CHOOSE(CONTROL!$C$42, 32.1409, 32.1409)* CHOOSE(CONTROL!$C$21, $C$9, 100%, $E$9)</f>
        <v>32.140900000000002</v>
      </c>
      <c r="K597" s="52">
        <f>CHOOSE(CONTROL!$C$42, 32.245, 32.245) * CHOOSE(CONTROL!$C$21, $C$9, 100%, $E$9)</f>
        <v>32.244999999999997</v>
      </c>
      <c r="L597" s="17">
        <f>CHOOSE(CONTROL!$C$42, 33.0149, 33.0149) * CHOOSE(CONTROL!$C$21, $C$9, 100%, $E$9)</f>
        <v>33.014899999999997</v>
      </c>
      <c r="M597" s="17">
        <f>CHOOSE(CONTROL!$C$42, 31.5705, 31.5705) * CHOOSE(CONTROL!$C$21, $C$9, 100%, $E$9)</f>
        <v>31.570499999999999</v>
      </c>
      <c r="N597" s="17">
        <f>CHOOSE(CONTROL!$C$42, 31.5871, 31.5871) * CHOOSE(CONTROL!$C$21, $C$9, 100%, $E$9)</f>
        <v>31.5871</v>
      </c>
      <c r="O597" s="17">
        <f>CHOOSE(CONTROL!$C$42, 31.8523, 31.8523) * CHOOSE(CONTROL!$C$21, $C$9, 100%, $E$9)</f>
        <v>31.8523</v>
      </c>
      <c r="P597" s="17">
        <f>CHOOSE(CONTROL!$C$42, 31.6751, 31.6751) * CHOOSE(CONTROL!$C$21, $C$9, 100%, $E$9)</f>
        <v>31.6751</v>
      </c>
      <c r="Q597" s="17">
        <f>CHOOSE(CONTROL!$C$42, 32.447, 32.447) * CHOOSE(CONTROL!$C$21, $C$9, 100%, $E$9)</f>
        <v>32.447000000000003</v>
      </c>
      <c r="R597" s="17">
        <f>CHOOSE(CONTROL!$C$42, 33.1151, 33.1151) * CHOOSE(CONTROL!$C$21, $C$9, 100%, $E$9)</f>
        <v>33.115099999999998</v>
      </c>
      <c r="S597" s="17">
        <f>CHOOSE(CONTROL!$C$42, 30.8619, 30.8619) * CHOOSE(CONTROL!$C$21, $C$9, 100%, $E$9)</f>
        <v>30.861899999999999</v>
      </c>
      <c r="T59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97" s="56">
        <f>(1000*CHOOSE(CONTROL!$C$42, 695, 695)*CHOOSE(CONTROL!$C$42, 0.5599, 0.5599)*CHOOSE(CONTROL!$C$42, 30, 30))/1000000</f>
        <v>11.673914999999997</v>
      </c>
      <c r="V597" s="56">
        <f>(1000*CHOOSE(CONTROL!$C$42, 500, 500)*CHOOSE(CONTROL!$C$42, 0.275, 0.275)*CHOOSE(CONTROL!$C$42, 30, 30))/1000000</f>
        <v>4.125</v>
      </c>
      <c r="W597" s="56">
        <f>(1000*CHOOSE(CONTROL!$C$42, 0.1146, 0.1146)*CHOOSE(CONTROL!$C$42, 121.5, 121.5)*CHOOSE(CONTROL!$C$42, 30, 30))/1000000</f>
        <v>0.417717</v>
      </c>
      <c r="X597" s="56">
        <f>(30*0.1790888*145000/1000000)+(30*0.2374*100000/1000000)</f>
        <v>1.4912362799999999</v>
      </c>
      <c r="Y597" s="56"/>
      <c r="Z597" s="17"/>
      <c r="AA597" s="55"/>
      <c r="AB597" s="48">
        <f>(B597*194.205+C597*267.466+D597*133.845+E597*153.484+F597*40+G597*85+H597*0+I597*100+J597*300)/(194.205+267.466+133.845+153.484+0+40+85+100+300)</f>
        <v>32.212463342150706</v>
      </c>
      <c r="AC597" s="45">
        <f>(M597*'RAP TEMPLATE-GAS AVAILABILITY'!O596+N597*'RAP TEMPLATE-GAS AVAILABILITY'!P596+O597*'RAP TEMPLATE-GAS AVAILABILITY'!Q596+P597*'RAP TEMPLATE-GAS AVAILABILITY'!R596)/('RAP TEMPLATE-GAS AVAILABILITY'!O596+'RAP TEMPLATE-GAS AVAILABILITY'!P596+'RAP TEMPLATE-GAS AVAILABILITY'!Q596+'RAP TEMPLATE-GAS AVAILABILITY'!R596)</f>
        <v>31.668438129496405</v>
      </c>
    </row>
    <row r="598" spans="1:29" ht="15.75" x14ac:dyDescent="0.25">
      <c r="A598" s="13">
        <v>59110</v>
      </c>
      <c r="B598" s="17">
        <f>CHOOSE(CONTROL!$C$42, 31.4749, 31.4749) * CHOOSE(CONTROL!$C$21, $C$9, 100%, $E$9)</f>
        <v>31.474900000000002</v>
      </c>
      <c r="C598" s="17">
        <f>CHOOSE(CONTROL!$C$42, 31.4802, 31.4802) * CHOOSE(CONTROL!$C$21, $C$9, 100%, $E$9)</f>
        <v>31.4802</v>
      </c>
      <c r="D598" s="17">
        <f>CHOOSE(CONTROL!$C$42, 31.7562, 31.7562) * CHOOSE(CONTROL!$C$21, $C$9, 100%, $E$9)</f>
        <v>31.7562</v>
      </c>
      <c r="E598" s="17">
        <f>CHOOSE(CONTROL!$C$42, 31.7853, 31.7853) * CHOOSE(CONTROL!$C$21, $C$9, 100%, $E$9)</f>
        <v>31.785299999999999</v>
      </c>
      <c r="F598" s="17">
        <f>CHOOSE(CONTROL!$C$42, 31.4963, 31.4963)*CHOOSE(CONTROL!$C$21, $C$9, 100%, $E$9)</f>
        <v>31.496300000000002</v>
      </c>
      <c r="G598" s="17">
        <f>CHOOSE(CONTROL!$C$42, 31.513, 31.513)*CHOOSE(CONTROL!$C$21, $C$9, 100%, $E$9)</f>
        <v>31.513000000000002</v>
      </c>
      <c r="H598" s="17">
        <f>CHOOSE(CONTROL!$C$42, 31.7758, 31.7758) * CHOOSE(CONTROL!$C$21, $C$9, 100%, $E$9)</f>
        <v>31.7758</v>
      </c>
      <c r="I598" s="17">
        <f>CHOOSE(CONTROL!$C$42, 31.5951, 31.5951)* CHOOSE(CONTROL!$C$21, $C$9, 100%, $E$9)</f>
        <v>31.595099999999999</v>
      </c>
      <c r="J598" s="17">
        <f>CHOOSE(CONTROL!$C$42, 31.4893, 31.4893)* CHOOSE(CONTROL!$C$21, $C$9, 100%, $E$9)</f>
        <v>31.4893</v>
      </c>
      <c r="K598" s="52">
        <f>CHOOSE(CONTROL!$C$42, 31.5908, 31.5908) * CHOOSE(CONTROL!$C$21, $C$9, 100%, $E$9)</f>
        <v>31.590800000000002</v>
      </c>
      <c r="L598" s="17">
        <f>CHOOSE(CONTROL!$C$42, 32.3628, 32.3628) * CHOOSE(CONTROL!$C$21, $C$9, 100%, $E$9)</f>
        <v>32.3628</v>
      </c>
      <c r="M598" s="17">
        <f>CHOOSE(CONTROL!$C$42, 30.9306, 30.9306) * CHOOSE(CONTROL!$C$21, $C$9, 100%, $E$9)</f>
        <v>30.930599999999998</v>
      </c>
      <c r="N598" s="17">
        <f>CHOOSE(CONTROL!$C$42, 30.9471, 30.9471) * CHOOSE(CONTROL!$C$21, $C$9, 100%, $E$9)</f>
        <v>30.947099999999999</v>
      </c>
      <c r="O598" s="17">
        <f>CHOOSE(CONTROL!$C$42, 31.2119, 31.2119) * CHOOSE(CONTROL!$C$21, $C$9, 100%, $E$9)</f>
        <v>31.2119</v>
      </c>
      <c r="P598" s="17">
        <f>CHOOSE(CONTROL!$C$42, 31.0328, 31.0328) * CHOOSE(CONTROL!$C$21, $C$9, 100%, $E$9)</f>
        <v>31.032800000000002</v>
      </c>
      <c r="Q598" s="17">
        <f>CHOOSE(CONTROL!$C$42, 31.8066, 31.8066) * CHOOSE(CONTROL!$C$21, $C$9, 100%, $E$9)</f>
        <v>31.8066</v>
      </c>
      <c r="R598" s="17">
        <f>CHOOSE(CONTROL!$C$42, 32.4732, 32.4732) * CHOOSE(CONTROL!$C$21, $C$9, 100%, $E$9)</f>
        <v>32.473199999999999</v>
      </c>
      <c r="S598" s="17">
        <f>CHOOSE(CONTROL!$C$42, 30.2352, 30.2352) * CHOOSE(CONTROL!$C$21, $C$9, 100%, $E$9)</f>
        <v>30.235199999999999</v>
      </c>
      <c r="T59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98" s="56">
        <f>(1000*CHOOSE(CONTROL!$C$42, 695, 695)*CHOOSE(CONTROL!$C$42, 0.5599, 0.5599)*CHOOSE(CONTROL!$C$42, 31, 31))/1000000</f>
        <v>12.063045499999998</v>
      </c>
      <c r="V598" s="56">
        <f>(1000*CHOOSE(CONTROL!$C$42, 500, 500)*CHOOSE(CONTROL!$C$42, 0.275, 0.275)*CHOOSE(CONTROL!$C$42, 31, 31))/1000000</f>
        <v>4.2625000000000002</v>
      </c>
      <c r="W598" s="56">
        <f>(1000*CHOOSE(CONTROL!$C$42, 0.1146, 0.1146)*CHOOSE(CONTROL!$C$42, 121.5, 121.5)*CHOOSE(CONTROL!$C$42, 31, 31))/1000000</f>
        <v>0.43164089999999994</v>
      </c>
      <c r="X598" s="56">
        <f>(31*0.1790888*145000/1000000)+(31*0.2374*100000/1000000)</f>
        <v>1.5409441560000001</v>
      </c>
      <c r="Y598" s="56"/>
      <c r="Z598" s="17"/>
      <c r="AA598" s="55"/>
      <c r="AB598" s="48">
        <f>(B598*131.881+C598*277.167+D598*79.08+E598*225.872+F598*40+G598*85+H598*0+I598*100+J598*300)/(131.881+277.167+79.08+225.872+0+40+85+100+300)</f>
        <v>31.567119013640031</v>
      </c>
      <c r="AC598" s="45">
        <f>(M598*'RAP TEMPLATE-GAS AVAILABILITY'!O597+N598*'RAP TEMPLATE-GAS AVAILABILITY'!P597+O598*'RAP TEMPLATE-GAS AVAILABILITY'!Q597+P598*'RAP TEMPLATE-GAS AVAILABILITY'!R597)/('RAP TEMPLATE-GAS AVAILABILITY'!O597+'RAP TEMPLATE-GAS AVAILABILITY'!P597+'RAP TEMPLATE-GAS AVAILABILITY'!Q597+'RAP TEMPLATE-GAS AVAILABILITY'!R597)</f>
        <v>31.028029496402876</v>
      </c>
    </row>
    <row r="599" spans="1:29" ht="15.75" x14ac:dyDescent="0.25">
      <c r="A599" s="13">
        <v>59140</v>
      </c>
      <c r="B599" s="17">
        <f>CHOOSE(CONTROL!$C$42, 32.3034, 32.3034) * CHOOSE(CONTROL!$C$21, $C$9, 100%, $E$9)</f>
        <v>32.303400000000003</v>
      </c>
      <c r="C599" s="17">
        <f>CHOOSE(CONTROL!$C$42, 32.3084, 32.3084) * CHOOSE(CONTROL!$C$21, $C$9, 100%, $E$9)</f>
        <v>32.308399999999999</v>
      </c>
      <c r="D599" s="17">
        <f>CHOOSE(CONTROL!$C$42, 32.4035, 32.4035) * CHOOSE(CONTROL!$C$21, $C$9, 100%, $E$9)</f>
        <v>32.403500000000001</v>
      </c>
      <c r="E599" s="17">
        <f>CHOOSE(CONTROL!$C$42, 32.4376, 32.4376) * CHOOSE(CONTROL!$C$21, $C$9, 100%, $E$9)</f>
        <v>32.437600000000003</v>
      </c>
      <c r="F599" s="17">
        <f>CHOOSE(CONTROL!$C$42, 32.3273, 32.3273)*CHOOSE(CONTROL!$C$21, $C$9, 100%, $E$9)</f>
        <v>32.327300000000001</v>
      </c>
      <c r="G599" s="17">
        <f>CHOOSE(CONTROL!$C$42, 32.3443, 32.3443)*CHOOSE(CONTROL!$C$21, $C$9, 100%, $E$9)</f>
        <v>32.344299999999997</v>
      </c>
      <c r="H599" s="17">
        <f>CHOOSE(CONTROL!$C$42, 32.4268, 32.4268) * CHOOSE(CONTROL!$C$21, $C$9, 100%, $E$9)</f>
        <v>32.4268</v>
      </c>
      <c r="I599" s="17">
        <f>CHOOSE(CONTROL!$C$42, 32.4245, 32.4245)* CHOOSE(CONTROL!$C$21, $C$9, 100%, $E$9)</f>
        <v>32.424500000000002</v>
      </c>
      <c r="J599" s="17">
        <f>CHOOSE(CONTROL!$C$42, 32.3203, 32.3203)* CHOOSE(CONTROL!$C$21, $C$9, 100%, $E$9)</f>
        <v>32.320300000000003</v>
      </c>
      <c r="K599" s="52">
        <f>CHOOSE(CONTROL!$C$42, 32.4203, 32.4203) * CHOOSE(CONTROL!$C$21, $C$9, 100%, $E$9)</f>
        <v>32.420299999999997</v>
      </c>
      <c r="L599" s="17">
        <f>CHOOSE(CONTROL!$C$42, 33.0138, 33.0138) * CHOOSE(CONTROL!$C$21, $C$9, 100%, $E$9)</f>
        <v>33.013800000000003</v>
      </c>
      <c r="M599" s="17">
        <f>CHOOSE(CONTROL!$C$42, 31.7466, 31.7466) * CHOOSE(CONTROL!$C$21, $C$9, 100%, $E$9)</f>
        <v>31.746600000000001</v>
      </c>
      <c r="N599" s="17">
        <f>CHOOSE(CONTROL!$C$42, 31.7634, 31.7634) * CHOOSE(CONTROL!$C$21, $C$9, 100%, $E$9)</f>
        <v>31.763400000000001</v>
      </c>
      <c r="O599" s="17">
        <f>CHOOSE(CONTROL!$C$42, 31.8512, 31.8512) * CHOOSE(CONTROL!$C$21, $C$9, 100%, $E$9)</f>
        <v>31.851199999999999</v>
      </c>
      <c r="P599" s="17">
        <f>CHOOSE(CONTROL!$C$42, 31.8473, 31.8473) * CHOOSE(CONTROL!$C$21, $C$9, 100%, $E$9)</f>
        <v>31.847300000000001</v>
      </c>
      <c r="Q599" s="17">
        <f>CHOOSE(CONTROL!$C$42, 32.4459, 32.4459) * CHOOSE(CONTROL!$C$21, $C$9, 100%, $E$9)</f>
        <v>32.445900000000002</v>
      </c>
      <c r="R599" s="17">
        <f>CHOOSE(CONTROL!$C$42, 33.114, 33.114) * CHOOSE(CONTROL!$C$21, $C$9, 100%, $E$9)</f>
        <v>33.113999999999997</v>
      </c>
      <c r="S599" s="17">
        <f>CHOOSE(CONTROL!$C$42, 31.0318, 31.0318) * CHOOSE(CONTROL!$C$21, $C$9, 100%, $E$9)</f>
        <v>31.0318</v>
      </c>
      <c r="T59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99" s="56">
        <f>(1000*CHOOSE(CONTROL!$C$42, 695, 695)*CHOOSE(CONTROL!$C$42, 0.5599, 0.5599)*CHOOSE(CONTROL!$C$42, 30, 30))/1000000</f>
        <v>11.673914999999997</v>
      </c>
      <c r="V599" s="56">
        <f>(1000*CHOOSE(CONTROL!$C$42, 500, 500)*CHOOSE(CONTROL!$C$42, 0.275, 0.275)*CHOOSE(CONTROL!$C$42, 30, 30))/1000000</f>
        <v>4.125</v>
      </c>
      <c r="W599" s="56">
        <f>(1000*CHOOSE(CONTROL!$C$42, 0.1146, 0.1146)*CHOOSE(CONTROL!$C$42, 121.5, 121.5)*CHOOSE(CONTROL!$C$42, 30, 30))/1000000</f>
        <v>0.417717</v>
      </c>
      <c r="X599" s="56">
        <f>(30*0.2374*100000/1000000)</f>
        <v>0.71220000000000006</v>
      </c>
      <c r="Y599" s="56"/>
      <c r="Z599" s="17"/>
      <c r="AA599" s="55"/>
      <c r="AB599" s="48">
        <f>(B599*122.58+C599*297.941+D599*89.177+E599*140.302+F599*40+G599*60+H599*0+I599*100+J599*300)/(122.58+297.941+89.177+140.302+0+40+60+100+300)</f>
        <v>32.346734653130433</v>
      </c>
      <c r="AC599" s="45">
        <f>(M599*'RAP TEMPLATE-GAS AVAILABILITY'!O598+N599*'RAP TEMPLATE-GAS AVAILABILITY'!P598+O599*'RAP TEMPLATE-GAS AVAILABILITY'!Q598+P599*'RAP TEMPLATE-GAS AVAILABILITY'!R598)/('RAP TEMPLATE-GAS AVAILABILITY'!O598+'RAP TEMPLATE-GAS AVAILABILITY'!P598+'RAP TEMPLATE-GAS AVAILABILITY'!Q598+'RAP TEMPLATE-GAS AVAILABILITY'!R598)</f>
        <v>31.809464748201435</v>
      </c>
    </row>
    <row r="600" spans="1:29" ht="15.75" x14ac:dyDescent="0.25">
      <c r="A600" s="13">
        <v>59171</v>
      </c>
      <c r="B600" s="17">
        <f>CHOOSE(CONTROL!$C$42, 34.5044, 34.5044) * CHOOSE(CONTROL!$C$21, $C$9, 100%, $E$9)</f>
        <v>34.504399999999997</v>
      </c>
      <c r="C600" s="17">
        <f>CHOOSE(CONTROL!$C$42, 34.5095, 34.5095) * CHOOSE(CONTROL!$C$21, $C$9, 100%, $E$9)</f>
        <v>34.509500000000003</v>
      </c>
      <c r="D600" s="17">
        <f>CHOOSE(CONTROL!$C$42, 34.6045, 34.6045) * CHOOSE(CONTROL!$C$21, $C$9, 100%, $E$9)</f>
        <v>34.604500000000002</v>
      </c>
      <c r="E600" s="17">
        <f>CHOOSE(CONTROL!$C$42, 34.6386, 34.6386) * CHOOSE(CONTROL!$C$21, $C$9, 100%, $E$9)</f>
        <v>34.638599999999997</v>
      </c>
      <c r="F600" s="17">
        <f>CHOOSE(CONTROL!$C$42, 34.5307, 34.5307)*CHOOSE(CONTROL!$C$21, $C$9, 100%, $E$9)</f>
        <v>34.530700000000003</v>
      </c>
      <c r="G600" s="17">
        <f>CHOOSE(CONTROL!$C$42, 34.5483, 34.5483)*CHOOSE(CONTROL!$C$21, $C$9, 100%, $E$9)</f>
        <v>34.548299999999998</v>
      </c>
      <c r="H600" s="17">
        <f>CHOOSE(CONTROL!$C$42, 34.6278, 34.6278) * CHOOSE(CONTROL!$C$21, $C$9, 100%, $E$9)</f>
        <v>34.627800000000001</v>
      </c>
      <c r="I600" s="17">
        <f>CHOOSE(CONTROL!$C$42, 34.6324, 34.6324)* CHOOSE(CONTROL!$C$21, $C$9, 100%, $E$9)</f>
        <v>34.632399999999997</v>
      </c>
      <c r="J600" s="17">
        <f>CHOOSE(CONTROL!$C$42, 34.5237, 34.5237)* CHOOSE(CONTROL!$C$21, $C$9, 100%, $E$9)</f>
        <v>34.523699999999998</v>
      </c>
      <c r="K600" s="52">
        <f>CHOOSE(CONTROL!$C$42, 34.6282, 34.6282) * CHOOSE(CONTROL!$C$21, $C$9, 100%, $E$9)</f>
        <v>34.6282</v>
      </c>
      <c r="L600" s="17">
        <f>CHOOSE(CONTROL!$C$42, 35.2148, 35.2148) * CHOOSE(CONTROL!$C$21, $C$9, 100%, $E$9)</f>
        <v>35.214799999999997</v>
      </c>
      <c r="M600" s="17">
        <f>CHOOSE(CONTROL!$C$42, 33.9104, 33.9104) * CHOOSE(CONTROL!$C$21, $C$9, 100%, $E$9)</f>
        <v>33.910400000000003</v>
      </c>
      <c r="N600" s="17">
        <f>CHOOSE(CONTROL!$C$42, 33.9278, 33.9278) * CHOOSE(CONTROL!$C$21, $C$9, 100%, $E$9)</f>
        <v>33.927799999999998</v>
      </c>
      <c r="O600" s="17">
        <f>CHOOSE(CONTROL!$C$42, 34.0127, 34.0127) * CHOOSE(CONTROL!$C$21, $C$9, 100%, $E$9)</f>
        <v>34.012700000000002</v>
      </c>
      <c r="P600" s="17">
        <f>CHOOSE(CONTROL!$C$42, 34.0154, 34.0154) * CHOOSE(CONTROL!$C$21, $C$9, 100%, $E$9)</f>
        <v>34.0154</v>
      </c>
      <c r="Q600" s="17">
        <f>CHOOSE(CONTROL!$C$42, 34.6074, 34.6074) * CHOOSE(CONTROL!$C$21, $C$9, 100%, $E$9)</f>
        <v>34.607399999999998</v>
      </c>
      <c r="R600" s="17">
        <f>CHOOSE(CONTROL!$C$42, 35.2809, 35.2809) * CHOOSE(CONTROL!$C$21, $C$9, 100%, $E$9)</f>
        <v>35.280900000000003</v>
      </c>
      <c r="S600" s="17">
        <f>CHOOSE(CONTROL!$C$42, 33.1467, 33.1467) * CHOOSE(CONTROL!$C$21, $C$9, 100%, $E$9)</f>
        <v>33.146700000000003</v>
      </c>
      <c r="T60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00" s="56">
        <f>(1000*CHOOSE(CONTROL!$C$42, 695, 695)*CHOOSE(CONTROL!$C$42, 0.5599, 0.5599)*CHOOSE(CONTROL!$C$42, 31, 31))/1000000</f>
        <v>12.063045499999998</v>
      </c>
      <c r="V600" s="56">
        <f>(1000*CHOOSE(CONTROL!$C$42, 500, 500)*CHOOSE(CONTROL!$C$42, 0.275, 0.275)*CHOOSE(CONTROL!$C$42, 31, 31))/1000000</f>
        <v>4.2625000000000002</v>
      </c>
      <c r="W600" s="56">
        <f>(1000*CHOOSE(CONTROL!$C$42, 0.1146, 0.1146)*CHOOSE(CONTROL!$C$42, 121.5, 121.5)*CHOOSE(CONTROL!$C$42, 31, 31))/1000000</f>
        <v>0.43164089999999994</v>
      </c>
      <c r="X600" s="56">
        <f>(31*0.2374*100000/1000000)</f>
        <v>0.73594000000000004</v>
      </c>
      <c r="Y600" s="56"/>
      <c r="Z600" s="17"/>
      <c r="AA600" s="55"/>
      <c r="AB600" s="48">
        <f>(B600*122.58+C600*297.941+D600*89.177+E600*140.302+F600*40+G600*60+H600*0+I600*100+J600*300)/(122.58+297.941+89.177+140.302+0+40+60+100+300)</f>
        <v>34.549226648000001</v>
      </c>
      <c r="AC600" s="45">
        <f>(M600*'RAP TEMPLATE-GAS AVAILABILITY'!O599+N600*'RAP TEMPLATE-GAS AVAILABILITY'!P599+O600*'RAP TEMPLATE-GAS AVAILABILITY'!Q599+P600*'RAP TEMPLATE-GAS AVAILABILITY'!R599)/('RAP TEMPLATE-GAS AVAILABILITY'!O599+'RAP TEMPLATE-GAS AVAILABILITY'!P599+'RAP TEMPLATE-GAS AVAILABILITY'!Q599+'RAP TEMPLATE-GAS AVAILABILITY'!R599)</f>
        <v>33.972875539568349</v>
      </c>
    </row>
    <row r="601" spans="1:29" ht="15" x14ac:dyDescent="0.2">
      <c r="A601" s="12"/>
    </row>
    <row r="602" spans="1:29" ht="15.75" x14ac:dyDescent="0.25">
      <c r="A602" s="11">
        <v>2013</v>
      </c>
      <c r="B602" s="17">
        <f t="shared" ref="B602:J602" si="4">AVERAGE(B13:B24)</f>
        <v>3.7674375345901381</v>
      </c>
      <c r="C602" s="17">
        <f t="shared" si="4"/>
        <v>3.7737169298654685</v>
      </c>
      <c r="D602" s="17">
        <f t="shared" si="4"/>
        <v>3.976386067028697</v>
      </c>
      <c r="E602" s="17">
        <f t="shared" si="4"/>
        <v>4.0087176774982742</v>
      </c>
      <c r="F602" s="17">
        <f t="shared" si="4"/>
        <v>3.7779836803546751</v>
      </c>
      <c r="G602" s="17">
        <f t="shared" si="4"/>
        <v>3.7931443213387408</v>
      </c>
      <c r="H602" s="17">
        <f t="shared" si="4"/>
        <v>3.9977621790005493</v>
      </c>
      <c r="I602" s="17">
        <f t="shared" si="4"/>
        <v>3.7966526519535528</v>
      </c>
      <c r="J602" s="17">
        <f t="shared" si="4"/>
        <v>3.7708836803546757</v>
      </c>
      <c r="K602" s="52"/>
      <c r="L602" s="17">
        <f t="shared" ref="L602:S602" si="5">AVERAGE(L13:L24)</f>
        <v>4.5847621790005499</v>
      </c>
      <c r="M602" s="17">
        <f t="shared" si="5"/>
        <v>3.7183565387565269</v>
      </c>
      <c r="N602" s="17">
        <f t="shared" si="5"/>
        <v>3.7332604574030079</v>
      </c>
      <c r="O602" s="17">
        <f t="shared" si="5"/>
        <v>3.9414005910170338</v>
      </c>
      <c r="P602" s="17">
        <f t="shared" si="5"/>
        <v>3.7435770630208438</v>
      </c>
      <c r="Q602" s="17">
        <f t="shared" si="5"/>
        <v>4.5361005910170329</v>
      </c>
      <c r="R602" s="17">
        <f t="shared" si="5"/>
        <v>5.1344384883279091</v>
      </c>
      <c r="S602" s="17">
        <f t="shared" si="5"/>
        <v>3.6179554241434997</v>
      </c>
      <c r="T602" s="51">
        <f t="shared" ref="T602:Y602" si="6">SUM(T13:T24)</f>
        <v>360.2458785</v>
      </c>
      <c r="U602" s="51">
        <f t="shared" si="6"/>
        <v>142.03438749999998</v>
      </c>
      <c r="V602" s="51">
        <f t="shared" si="6"/>
        <v>58.217499999999994</v>
      </c>
      <c r="W602" s="51">
        <f t="shared" si="6"/>
        <v>8.0943319999999996</v>
      </c>
      <c r="X602" s="51">
        <f t="shared" si="6"/>
        <v>5.5571254639999994</v>
      </c>
      <c r="Y602" s="51">
        <f t="shared" si="6"/>
        <v>4.7699999999999996</v>
      </c>
      <c r="Z602" s="17">
        <f>AVERAGE(Z13:Z24)</f>
        <v>3.7285535729889117</v>
      </c>
      <c r="AA602" s="51">
        <f>SUM(AA13:AA24)</f>
        <v>9.4679999999999982</v>
      </c>
      <c r="AB602" s="48">
        <f>AVERAGE(AB13:AB24)</f>
        <v>3.8375787961454968</v>
      </c>
      <c r="AC602" s="45">
        <f>AVERAGE(AC13:AC24)</f>
        <v>3.8081690437621547</v>
      </c>
    </row>
    <row r="603" spans="1:29" ht="15.75" x14ac:dyDescent="0.25">
      <c r="A603" s="11">
        <v>2014</v>
      </c>
      <c r="B603" s="17">
        <f t="shared" ref="B603:J603" si="7">AVERAGE(B25:B36)</f>
        <v>4.2719166666666668</v>
      </c>
      <c r="C603" s="17">
        <f t="shared" si="7"/>
        <v>4.2782083333333327</v>
      </c>
      <c r="D603" s="17">
        <f t="shared" si="7"/>
        <v>4.4824333333333328</v>
      </c>
      <c r="E603" s="17">
        <f t="shared" si="7"/>
        <v>4.5148583333333336</v>
      </c>
      <c r="F603" s="17">
        <f t="shared" si="7"/>
        <v>4.2923499999999999</v>
      </c>
      <c r="G603" s="17">
        <f t="shared" si="7"/>
        <v>4.3091999999999997</v>
      </c>
      <c r="H603" s="17">
        <f t="shared" si="7"/>
        <v>4.5039749999999996</v>
      </c>
      <c r="I603" s="17">
        <f t="shared" si="7"/>
        <v>4.3063833333333337</v>
      </c>
      <c r="J603" s="17">
        <f t="shared" si="7"/>
        <v>4.2853500000000002</v>
      </c>
      <c r="K603" s="52"/>
      <c r="L603" s="17">
        <f t="shared" ref="L603:S603" si="8">AVERAGE(L25:L36)</f>
        <v>5.0909749999999994</v>
      </c>
      <c r="M603" s="17">
        <f t="shared" si="8"/>
        <v>4.2159500000000003</v>
      </c>
      <c r="N603" s="17">
        <f t="shared" si="8"/>
        <v>4.2324916666666672</v>
      </c>
      <c r="O603" s="17">
        <f t="shared" si="8"/>
        <v>4.4306666666666663</v>
      </c>
      <c r="P603" s="17">
        <f t="shared" si="8"/>
        <v>4.2364416666666669</v>
      </c>
      <c r="Q603" s="17">
        <f t="shared" si="8"/>
        <v>5.0253666666666676</v>
      </c>
      <c r="R603" s="17">
        <f t="shared" si="8"/>
        <v>5.6249333333333338</v>
      </c>
      <c r="S603" s="17">
        <f t="shared" si="8"/>
        <v>4.095366666666667</v>
      </c>
      <c r="T603" s="51">
        <f t="shared" ref="T603:Y603" si="9">SUM(T25:T36)</f>
        <v>364.83318099999997</v>
      </c>
      <c r="U603" s="51">
        <f t="shared" si="9"/>
        <v>142.03263249999998</v>
      </c>
      <c r="V603" s="51">
        <f t="shared" si="9"/>
        <v>58.217499999999994</v>
      </c>
      <c r="W603" s="51">
        <f t="shared" si="9"/>
        <v>8.3657999999999983</v>
      </c>
      <c r="X603" s="51">
        <f t="shared" si="9"/>
        <v>5.5571254639999994</v>
      </c>
      <c r="Y603" s="51">
        <f t="shared" si="9"/>
        <v>1.2000000000000002</v>
      </c>
      <c r="Z603" s="17">
        <f>AVERAGE(Z25:Z36)</f>
        <v>4.2130500000000008</v>
      </c>
      <c r="AA603" s="51">
        <f>SUM(AA25:AA36)</f>
        <v>9.4679999999999982</v>
      </c>
      <c r="AB603" s="48">
        <f>AVERAGE(AB25:AB36)</f>
        <v>4.3471076189053557</v>
      </c>
      <c r="AC603" s="45">
        <f>AVERAGE(AC25:AC36)</f>
        <v>4.3017983213429254</v>
      </c>
    </row>
    <row r="604" spans="1:29" ht="15.75" x14ac:dyDescent="0.25">
      <c r="A604" s="11">
        <v>2015</v>
      </c>
      <c r="B604" s="17">
        <f t="shared" ref="B604:J604" si="10">AVERAGE(B37:B48)</f>
        <v>4.4754750000000003</v>
      </c>
      <c r="C604" s="17">
        <f t="shared" si="10"/>
        <v>4.4817333333333336</v>
      </c>
      <c r="D604" s="17">
        <f t="shared" si="10"/>
        <v>4.6859916666666672</v>
      </c>
      <c r="E604" s="17">
        <f t="shared" si="10"/>
        <v>4.7184166666666663</v>
      </c>
      <c r="F604" s="17">
        <f t="shared" si="10"/>
        <v>4.4958833333333335</v>
      </c>
      <c r="G604" s="17">
        <f t="shared" si="10"/>
        <v>4.5127333333333324</v>
      </c>
      <c r="H604" s="17">
        <f t="shared" si="10"/>
        <v>4.7075333333333331</v>
      </c>
      <c r="I604" s="17">
        <f t="shared" si="10"/>
        <v>4.510558333333333</v>
      </c>
      <c r="J604" s="17">
        <f t="shared" si="10"/>
        <v>4.4888833333333338</v>
      </c>
      <c r="K604" s="52"/>
      <c r="L604" s="17">
        <f t="shared" ref="L604:S604" si="11">AVERAGE(L37:L48)</f>
        <v>5.2945333333333338</v>
      </c>
      <c r="M604" s="17">
        <f t="shared" si="11"/>
        <v>4.4158499999999998</v>
      </c>
      <c r="N604" s="17">
        <f t="shared" si="11"/>
        <v>4.4323833333333331</v>
      </c>
      <c r="O604" s="17">
        <f t="shared" si="11"/>
        <v>4.6305499999999995</v>
      </c>
      <c r="P604" s="17">
        <f t="shared" si="11"/>
        <v>4.436958333333334</v>
      </c>
      <c r="Q604" s="17">
        <f t="shared" si="11"/>
        <v>5.22525</v>
      </c>
      <c r="R604" s="17">
        <f t="shared" si="11"/>
        <v>5.8252999999999995</v>
      </c>
      <c r="S604" s="17">
        <f t="shared" si="11"/>
        <v>4.2909499999999996</v>
      </c>
      <c r="T604" s="51">
        <f>SUM(T37:T48)</f>
        <v>364.83318099999997</v>
      </c>
      <c r="U604" s="51">
        <f>SUM(U37:U48)</f>
        <v>142.03263249999998</v>
      </c>
      <c r="V604" s="51">
        <f>SUM(V37:V48)</f>
        <v>58.217499999999994</v>
      </c>
      <c r="W604" s="51">
        <f>SUM(W37:W48)</f>
        <v>8.3657999999999983</v>
      </c>
      <c r="X604" s="51">
        <f>SUM(X37:X48)</f>
        <v>12.085625463999998</v>
      </c>
      <c r="Y604" s="51"/>
      <c r="Z604" s="17">
        <f>AVERAGE(Z37:Z48)</f>
        <v>4.4132166666666661</v>
      </c>
      <c r="AA604" s="51">
        <f>SUM(AA37:AA48)</f>
        <v>9.4679999999999982</v>
      </c>
      <c r="AB604" s="48">
        <f>AVERAGE(AB37:AB48)</f>
        <v>4.5425024501225577</v>
      </c>
      <c r="AC604" s="45">
        <f>AVERAGE(AC37:AC48)</f>
        <v>4.4920250599520379</v>
      </c>
    </row>
    <row r="605" spans="1:29" ht="15.75" x14ac:dyDescent="0.25">
      <c r="A605" s="11">
        <v>2016</v>
      </c>
      <c r="B605" s="17">
        <f t="shared" ref="B605:J605" si="12">AVERAGE(B49:B60)</f>
        <v>4.7019333333333337</v>
      </c>
      <c r="C605" s="17">
        <f t="shared" si="12"/>
        <v>4.7082083333333342</v>
      </c>
      <c r="D605" s="17">
        <f t="shared" si="12"/>
        <v>4.9124583333333343</v>
      </c>
      <c r="E605" s="17">
        <f t="shared" si="12"/>
        <v>4.9448833333333342</v>
      </c>
      <c r="F605" s="17">
        <f t="shared" si="12"/>
        <v>4.7223666666666668</v>
      </c>
      <c r="G605" s="17">
        <f t="shared" si="12"/>
        <v>4.7392166666666666</v>
      </c>
      <c r="H605" s="17">
        <f t="shared" si="12"/>
        <v>4.9340000000000002</v>
      </c>
      <c r="I605" s="17">
        <f t="shared" si="12"/>
        <v>4.7377416666666665</v>
      </c>
      <c r="J605" s="17">
        <f t="shared" si="12"/>
        <v>4.7153666666666672</v>
      </c>
      <c r="K605" s="52"/>
      <c r="L605" s="17">
        <f t="shared" ref="L605:S605" si="13">AVERAGE(L49:L60)</f>
        <v>5.5210000000000008</v>
      </c>
      <c r="M605" s="17">
        <f t="shared" si="13"/>
        <v>4.6382500000000002</v>
      </c>
      <c r="N605" s="17">
        <f t="shared" si="13"/>
        <v>4.6547916666666671</v>
      </c>
      <c r="O605" s="17">
        <f t="shared" si="13"/>
        <v>4.8529500000000008</v>
      </c>
      <c r="P605" s="17">
        <f t="shared" si="13"/>
        <v>4.6600333333333337</v>
      </c>
      <c r="Q605" s="17">
        <f t="shared" si="13"/>
        <v>5.4476500000000003</v>
      </c>
      <c r="R605" s="17">
        <f t="shared" si="13"/>
        <v>6.0482750000000003</v>
      </c>
      <c r="S605" s="17">
        <f t="shared" si="13"/>
        <v>4.5085750000000004</v>
      </c>
      <c r="T605" s="51">
        <f>SUM(T49:T60)</f>
        <v>358.26753550000001</v>
      </c>
      <c r="U605" s="51">
        <f>SUM(U49:U60)</f>
        <v>142.42176299999997</v>
      </c>
      <c r="V605" s="51">
        <f>SUM(V49:V60)</f>
        <v>58.377000000000002</v>
      </c>
      <c r="W605" s="51">
        <f>SUM(W49:W60)</f>
        <v>6.1846754999999982</v>
      </c>
      <c r="X605" s="51">
        <f>SUM(X49:X60)</f>
        <v>14.245965463999999</v>
      </c>
      <c r="Y605" s="51"/>
      <c r="Z605" s="17"/>
      <c r="AA605" s="51"/>
      <c r="AB605" s="48">
        <f>AVERAGE(AB49:AB60)</f>
        <v>4.7639593595848853</v>
      </c>
      <c r="AC605" s="45">
        <f>AVERAGE(AC49:AC60)</f>
        <v>4.7128737410071944</v>
      </c>
    </row>
    <row r="606" spans="1:29" ht="15.75" x14ac:dyDescent="0.25">
      <c r="A606" s="11">
        <v>2017</v>
      </c>
      <c r="B606" s="17">
        <f t="shared" ref="B606:S606" si="14">AVERAGE(B61:B72)</f>
        <v>5.0687916666666668</v>
      </c>
      <c r="C606" s="17">
        <f t="shared" si="14"/>
        <v>5.0750750000000009</v>
      </c>
      <c r="D606" s="17">
        <f t="shared" si="14"/>
        <v>5.2793166666666673</v>
      </c>
      <c r="E606" s="17">
        <f t="shared" si="14"/>
        <v>5.3117416666666664</v>
      </c>
      <c r="F606" s="17">
        <f t="shared" si="14"/>
        <v>5.0892249999999999</v>
      </c>
      <c r="G606" s="17">
        <f t="shared" si="14"/>
        <v>5.1060749999999997</v>
      </c>
      <c r="H606" s="17">
        <f t="shared" si="14"/>
        <v>5.3008666666666668</v>
      </c>
      <c r="I606" s="17">
        <f t="shared" si="14"/>
        <v>5.1057583333333332</v>
      </c>
      <c r="J606" s="17">
        <f t="shared" si="14"/>
        <v>5.0822250000000002</v>
      </c>
      <c r="K606" s="52">
        <f t="shared" si="14"/>
        <v>5.0375750000000004</v>
      </c>
      <c r="L606" s="17">
        <f t="shared" si="14"/>
        <v>5.8878666666666666</v>
      </c>
      <c r="M606" s="17">
        <f t="shared" si="14"/>
        <v>4.9985166666666672</v>
      </c>
      <c r="N606" s="17">
        <f t="shared" si="14"/>
        <v>5.0150416666666668</v>
      </c>
      <c r="O606" s="17">
        <f t="shared" si="14"/>
        <v>5.2132000000000005</v>
      </c>
      <c r="P606" s="17">
        <f t="shared" si="14"/>
        <v>5.0214083333333335</v>
      </c>
      <c r="Q606" s="17">
        <f t="shared" si="14"/>
        <v>5.8078999999999992</v>
      </c>
      <c r="R606" s="17">
        <f t="shared" si="14"/>
        <v>6.4094333333333324</v>
      </c>
      <c r="S606" s="17">
        <f t="shared" si="14"/>
        <v>4.8610999999999995</v>
      </c>
      <c r="T606" s="51">
        <f>SUM(T61:T72)</f>
        <v>357.33618100000001</v>
      </c>
      <c r="U606" s="51">
        <f>SUM(U61:U72)</f>
        <v>142.03263249999998</v>
      </c>
      <c r="V606" s="51">
        <f>SUM(V61:V72)</f>
        <v>58.217499999999994</v>
      </c>
      <c r="W606" s="51">
        <f>SUM(W61:W72)</f>
        <v>5.0822234999999996</v>
      </c>
      <c r="X606" s="51">
        <f>SUM(X61:X72)</f>
        <v>14.222225463999999</v>
      </c>
      <c r="Y606" s="51"/>
      <c r="Z606" s="17"/>
      <c r="AA606" s="17"/>
      <c r="AB606" s="48">
        <f>AVERAGE(AB61:AB72)</f>
        <v>5.1309149356980859</v>
      </c>
      <c r="AC606" s="45">
        <f>AVERAGE(AC61:AC72)</f>
        <v>5.0732884892086334</v>
      </c>
    </row>
    <row r="607" spans="1:29" ht="15.75" x14ac:dyDescent="0.25">
      <c r="A607" s="11">
        <v>2018</v>
      </c>
      <c r="B607" s="17">
        <f t="shared" ref="B607:S607" si="15">AVERAGE(B73:B84)</f>
        <v>5.8629083333333334</v>
      </c>
      <c r="C607" s="17">
        <f t="shared" si="15"/>
        <v>5.869183333333333</v>
      </c>
      <c r="D607" s="17">
        <f t="shared" si="15"/>
        <v>6.0734416666666666</v>
      </c>
      <c r="E607" s="17">
        <f t="shared" si="15"/>
        <v>6.1058583333333338</v>
      </c>
      <c r="F607" s="17">
        <f t="shared" si="15"/>
        <v>5.8833416666666665</v>
      </c>
      <c r="G607" s="17">
        <f t="shared" si="15"/>
        <v>5.9001916666666672</v>
      </c>
      <c r="H607" s="17">
        <f t="shared" si="15"/>
        <v>6.0949833333333325</v>
      </c>
      <c r="I607" s="17">
        <f t="shared" si="15"/>
        <v>5.9023500000000011</v>
      </c>
      <c r="J607" s="17">
        <f t="shared" si="15"/>
        <v>5.8763416666666677</v>
      </c>
      <c r="K607" s="52">
        <f t="shared" si="15"/>
        <v>5.8981333333333339</v>
      </c>
      <c r="L607" s="17">
        <f t="shared" si="15"/>
        <v>6.6819833333333323</v>
      </c>
      <c r="M607" s="17">
        <f t="shared" si="15"/>
        <v>5.7783500000000005</v>
      </c>
      <c r="N607" s="17">
        <f t="shared" si="15"/>
        <v>5.7948666666666666</v>
      </c>
      <c r="O607" s="17">
        <f t="shared" si="15"/>
        <v>5.9930249999999994</v>
      </c>
      <c r="P607" s="17">
        <f t="shared" si="15"/>
        <v>5.8036416666666666</v>
      </c>
      <c r="Q607" s="17">
        <f t="shared" si="15"/>
        <v>6.5877249999999998</v>
      </c>
      <c r="R607" s="17">
        <f t="shared" si="15"/>
        <v>7.1911916666666675</v>
      </c>
      <c r="S607" s="17">
        <f t="shared" si="15"/>
        <v>5.6241750000000001</v>
      </c>
      <c r="T607" s="51">
        <f>SUM(T73:T84)</f>
        <v>357.33618100000001</v>
      </c>
      <c r="U607" s="51">
        <f>SUM(U73:U84)</f>
        <v>142.03263249999998</v>
      </c>
      <c r="V607" s="51">
        <f>SUM(V73:V84)</f>
        <v>50.187500000000007</v>
      </c>
      <c r="W607" s="51">
        <f>SUM(W73:W84)</f>
        <v>5.0822234999999996</v>
      </c>
      <c r="X607" s="51">
        <f>SUM(X73:X84)</f>
        <v>14.222225463999999</v>
      </c>
      <c r="Y607" s="51"/>
      <c r="Z607" s="17"/>
      <c r="AA607" s="17"/>
      <c r="AB607" s="48">
        <f>AVERAGE(AB73:AB84)</f>
        <v>5.9252341845830365</v>
      </c>
      <c r="AC607" s="45">
        <f>AVERAGE(AC73:AC84)</f>
        <v>5.8534643285371706</v>
      </c>
    </row>
    <row r="608" spans="1:29" ht="15.75" x14ac:dyDescent="0.25">
      <c r="A608" s="11">
        <v>2019</v>
      </c>
      <c r="B608" s="17">
        <f t="shared" ref="B608:S608" si="16">AVERAGE(B85:B96)</f>
        <v>6.4108583333333344</v>
      </c>
      <c r="C608" s="17">
        <f t="shared" si="16"/>
        <v>6.4171166666666659</v>
      </c>
      <c r="D608" s="17">
        <f t="shared" si="16"/>
        <v>6.6213666666666668</v>
      </c>
      <c r="E608" s="17">
        <f t="shared" si="16"/>
        <v>6.6537750000000004</v>
      </c>
      <c r="F608" s="17">
        <f t="shared" si="16"/>
        <v>6.4312666666666685</v>
      </c>
      <c r="G608" s="17">
        <f t="shared" si="16"/>
        <v>6.4481083333333329</v>
      </c>
      <c r="H608" s="17">
        <f t="shared" si="16"/>
        <v>6.6428999999999983</v>
      </c>
      <c r="I608" s="17">
        <f t="shared" si="16"/>
        <v>6.4519833333333336</v>
      </c>
      <c r="J608" s="17">
        <f t="shared" si="16"/>
        <v>6.424266666666667</v>
      </c>
      <c r="K608" s="52">
        <f t="shared" si="16"/>
        <v>6.4477833333333336</v>
      </c>
      <c r="L608" s="17">
        <f t="shared" si="16"/>
        <v>7.2299000000000007</v>
      </c>
      <c r="M608" s="17">
        <f t="shared" si="16"/>
        <v>6.3164166666666661</v>
      </c>
      <c r="N608" s="17">
        <f t="shared" si="16"/>
        <v>6.3329416666666667</v>
      </c>
      <c r="O608" s="17">
        <f t="shared" si="16"/>
        <v>6.5311083333333331</v>
      </c>
      <c r="P608" s="17">
        <f t="shared" si="16"/>
        <v>6.3433583333333319</v>
      </c>
      <c r="Q608" s="17">
        <f t="shared" si="16"/>
        <v>7.1258083333333326</v>
      </c>
      <c r="R608" s="17">
        <f t="shared" si="16"/>
        <v>7.7306166666666671</v>
      </c>
      <c r="S608" s="17">
        <f t="shared" si="16"/>
        <v>6.1506666666666669</v>
      </c>
      <c r="T608" s="51">
        <f>SUM(T85:T96)</f>
        <v>357.33618100000001</v>
      </c>
      <c r="U608" s="51">
        <f>SUM(U85:U96)</f>
        <v>142.03263249999998</v>
      </c>
      <c r="V608" s="51">
        <f>SUM(V85:V96)</f>
        <v>50.187500000000007</v>
      </c>
      <c r="W608" s="51">
        <f>SUM(W85:W96)</f>
        <v>5.0822234999999996</v>
      </c>
      <c r="X608" s="51">
        <f>SUM(X85:X96)</f>
        <v>14.222225463999999</v>
      </c>
      <c r="Y608" s="51"/>
      <c r="Z608" s="17"/>
      <c r="AA608" s="17"/>
      <c r="AB608" s="48">
        <f>AVERAGE(AB85:AB96)</f>
        <v>6.4733037788570948</v>
      </c>
      <c r="AC608" s="45">
        <f>AVERAGE(AC85:AC96)</f>
        <v>6.391775</v>
      </c>
    </row>
    <row r="609" spans="1:29" ht="15.75" x14ac:dyDescent="0.25">
      <c r="A609" s="11">
        <v>2020</v>
      </c>
      <c r="B609" s="17">
        <f t="shared" ref="B609:S609" si="17">AVERAGE(B97:B108)</f>
        <v>6.955958333333335</v>
      </c>
      <c r="C609" s="17">
        <f t="shared" si="17"/>
        <v>6.9622250000000001</v>
      </c>
      <c r="D609" s="17">
        <f t="shared" si="17"/>
        <v>7.1664833333333346</v>
      </c>
      <c r="E609" s="17">
        <f t="shared" si="17"/>
        <v>7.1988833333333337</v>
      </c>
      <c r="F609" s="17">
        <f t="shared" si="17"/>
        <v>6.9763750000000009</v>
      </c>
      <c r="G609" s="17">
        <f t="shared" si="17"/>
        <v>6.9932500000000006</v>
      </c>
      <c r="H609" s="17">
        <f t="shared" si="17"/>
        <v>7.1880166666666669</v>
      </c>
      <c r="I609" s="17">
        <f t="shared" si="17"/>
        <v>6.9988250000000001</v>
      </c>
      <c r="J609" s="17">
        <f t="shared" si="17"/>
        <v>6.9693750000000003</v>
      </c>
      <c r="K609" s="52">
        <f t="shared" si="17"/>
        <v>6.9946083333333346</v>
      </c>
      <c r="L609" s="17">
        <f t="shared" si="17"/>
        <v>7.7750166666666667</v>
      </c>
      <c r="M609" s="17">
        <f t="shared" si="17"/>
        <v>6.8517000000000001</v>
      </c>
      <c r="N609" s="17">
        <f t="shared" si="17"/>
        <v>6.8682583333333334</v>
      </c>
      <c r="O609" s="17">
        <f t="shared" si="17"/>
        <v>7.0664000000000007</v>
      </c>
      <c r="P609" s="17">
        <f t="shared" si="17"/>
        <v>6.880325</v>
      </c>
      <c r="Q609" s="17">
        <f t="shared" si="17"/>
        <v>7.6610999999999985</v>
      </c>
      <c r="R609" s="17">
        <f t="shared" si="17"/>
        <v>8.2672750000000015</v>
      </c>
      <c r="S609" s="17">
        <f t="shared" si="17"/>
        <v>6.674475000000001</v>
      </c>
      <c r="T609" s="51">
        <f>SUM(T97:T108)</f>
        <v>358.26753550000001</v>
      </c>
      <c r="U609" s="51">
        <f>SUM(U97:U108)</f>
        <v>142.42176299999997</v>
      </c>
      <c r="V609" s="51">
        <f>SUM(V97:V108)</f>
        <v>50.325000000000003</v>
      </c>
      <c r="W609" s="51">
        <f>SUM(W97:W108)</f>
        <v>5.0961473999999995</v>
      </c>
      <c r="X609" s="51">
        <f>SUM(X97:X108)</f>
        <v>14.245965463999999</v>
      </c>
      <c r="Y609" s="51"/>
      <c r="Z609" s="17"/>
      <c r="AA609" s="17"/>
      <c r="AB609" s="48">
        <f>AVERAGE(AB97:AB108)</f>
        <v>7.0185570797780263</v>
      </c>
      <c r="AC609" s="45">
        <f>AVERAGE(AC97:AC108)</f>
        <v>6.9273105515587536</v>
      </c>
    </row>
    <row r="610" spans="1:29" ht="15.75" x14ac:dyDescent="0.25">
      <c r="A610" s="11">
        <v>2021</v>
      </c>
      <c r="B610" s="17">
        <f t="shared" ref="B610:S610" si="18">AVERAGE(B109:B120)</f>
        <v>7.3609999999999998</v>
      </c>
      <c r="C610" s="17">
        <f t="shared" si="18"/>
        <v>7.3672500000000012</v>
      </c>
      <c r="D610" s="17">
        <f t="shared" si="18"/>
        <v>7.5714833333333331</v>
      </c>
      <c r="E610" s="17">
        <f t="shared" si="18"/>
        <v>7.603908333333333</v>
      </c>
      <c r="F610" s="17">
        <f t="shared" si="18"/>
        <v>7.3814333333333337</v>
      </c>
      <c r="G610" s="17">
        <f t="shared" si="18"/>
        <v>7.3982666666666672</v>
      </c>
      <c r="H610" s="17">
        <f t="shared" si="18"/>
        <v>7.5930249999999999</v>
      </c>
      <c r="I610" s="17">
        <f t="shared" si="18"/>
        <v>7.4051249999999991</v>
      </c>
      <c r="J610" s="17">
        <f t="shared" si="18"/>
        <v>7.3744333333333323</v>
      </c>
      <c r="K610" s="52">
        <f t="shared" si="18"/>
        <v>7.4008916666666673</v>
      </c>
      <c r="L610" s="17">
        <f t="shared" si="18"/>
        <v>8.1800249999999988</v>
      </c>
      <c r="M610" s="17">
        <f t="shared" si="18"/>
        <v>7.2494750000000003</v>
      </c>
      <c r="N610" s="17">
        <f t="shared" si="18"/>
        <v>7.2659999999999991</v>
      </c>
      <c r="O610" s="17">
        <f t="shared" si="18"/>
        <v>7.464175</v>
      </c>
      <c r="P610" s="17">
        <f t="shared" si="18"/>
        <v>7.2792749999999993</v>
      </c>
      <c r="Q610" s="17">
        <f t="shared" si="18"/>
        <v>8.0588749999999987</v>
      </c>
      <c r="R610" s="17">
        <f t="shared" si="18"/>
        <v>8.6660166666666658</v>
      </c>
      <c r="S610" s="17">
        <f t="shared" si="18"/>
        <v>7.0636583333333336</v>
      </c>
      <c r="T610" s="51">
        <f>SUM(T109:T120)</f>
        <v>357.33618100000001</v>
      </c>
      <c r="U610" s="51">
        <f>SUM(U109:U120)</f>
        <v>142.03263249999998</v>
      </c>
      <c r="V610" s="51">
        <f>SUM(V109:V120)</f>
        <v>50.187500000000007</v>
      </c>
      <c r="W610" s="51">
        <f>SUM(W109:W120)</f>
        <v>5.0822234999999996</v>
      </c>
      <c r="X610" s="51">
        <f>SUM(X109:X120)</f>
        <v>14.222225463999999</v>
      </c>
      <c r="Y610" s="51"/>
      <c r="Z610" s="17"/>
      <c r="AA610" s="17"/>
      <c r="AB610" s="48">
        <f>AVERAGE(AB109:AB120)</f>
        <v>7.4236952100532401</v>
      </c>
      <c r="AC610" s="45">
        <f>AVERAGE(AC109:AC120)</f>
        <v>7.3252498201438847</v>
      </c>
    </row>
    <row r="611" spans="1:29" ht="15.75" x14ac:dyDescent="0.25">
      <c r="A611" s="11">
        <v>2022</v>
      </c>
      <c r="B611" s="17">
        <f t="shared" ref="B611:S611" si="19">AVERAGE(B121:B132)</f>
        <v>7.6703000000000001</v>
      </c>
      <c r="C611" s="17">
        <f t="shared" si="19"/>
        <v>7.6765916666666678</v>
      </c>
      <c r="D611" s="17">
        <f t="shared" si="19"/>
        <v>7.8808166666666679</v>
      </c>
      <c r="E611" s="17">
        <f t="shared" si="19"/>
        <v>7.9132500000000006</v>
      </c>
      <c r="F611" s="17">
        <f t="shared" si="19"/>
        <v>7.6907249999999996</v>
      </c>
      <c r="G611" s="17">
        <f t="shared" si="19"/>
        <v>7.707583333333333</v>
      </c>
      <c r="H611" s="17">
        <f t="shared" si="19"/>
        <v>7.902358333333332</v>
      </c>
      <c r="I611" s="17">
        <f t="shared" si="19"/>
        <v>7.7154083333333325</v>
      </c>
      <c r="J611" s="17">
        <f t="shared" si="19"/>
        <v>7.683724999999999</v>
      </c>
      <c r="K611" s="52">
        <f t="shared" si="19"/>
        <v>7.7111833333333335</v>
      </c>
      <c r="L611" s="17">
        <f t="shared" si="19"/>
        <v>8.4893583333333336</v>
      </c>
      <c r="M611" s="17">
        <f t="shared" si="19"/>
        <v>7.5532416666666675</v>
      </c>
      <c r="N611" s="17">
        <f t="shared" si="19"/>
        <v>7.5697500000000018</v>
      </c>
      <c r="O611" s="17">
        <f t="shared" si="19"/>
        <v>7.7679416666666663</v>
      </c>
      <c r="P611" s="17">
        <f t="shared" si="19"/>
        <v>7.5839833333333333</v>
      </c>
      <c r="Q611" s="17">
        <f t="shared" si="19"/>
        <v>8.3626416666666685</v>
      </c>
      <c r="R611" s="17">
        <f t="shared" si="19"/>
        <v>8.9705250000000003</v>
      </c>
      <c r="S611" s="17">
        <f t="shared" si="19"/>
        <v>7.3608749999999992</v>
      </c>
      <c r="T611" s="51">
        <f>SUM(T121:T132)</f>
        <v>357.33618100000001</v>
      </c>
      <c r="U611" s="51">
        <f>SUM(U121:U132)</f>
        <v>142.03263249999998</v>
      </c>
      <c r="V611" s="51">
        <f>SUM(V121:V132)</f>
        <v>50.187500000000007</v>
      </c>
      <c r="W611" s="51">
        <f>SUM(W121:W132)</f>
        <v>5.0822234999999996</v>
      </c>
      <c r="X611" s="51">
        <f>SUM(X121:X132)</f>
        <v>14.222225463999999</v>
      </c>
      <c r="Y611" s="51"/>
      <c r="Z611" s="17"/>
      <c r="AA611" s="17"/>
      <c r="AB611" s="48">
        <f>AVERAGE(AB121:AB132)</f>
        <v>7.7330926445005508</v>
      </c>
      <c r="AC611" s="45">
        <f>AVERAGE(AC121:AC132)</f>
        <v>7.6291467026378896</v>
      </c>
    </row>
    <row r="612" spans="1:29" ht="15.75" x14ac:dyDescent="0.25">
      <c r="A612" s="11">
        <v>2023</v>
      </c>
      <c r="B612" s="17">
        <f t="shared" ref="B612:S612" si="20">AVERAGE(B133:B144)</f>
        <v>8.3051083333333331</v>
      </c>
      <c r="C612" s="17">
        <f t="shared" si="20"/>
        <v>8.3113916666666672</v>
      </c>
      <c r="D612" s="17">
        <f t="shared" si="20"/>
        <v>8.515641666666669</v>
      </c>
      <c r="E612" s="17">
        <f t="shared" si="20"/>
        <v>8.5480583333333353</v>
      </c>
      <c r="F612" s="17">
        <f t="shared" si="20"/>
        <v>8.3255333333333343</v>
      </c>
      <c r="G612" s="17">
        <f t="shared" si="20"/>
        <v>8.342391666666666</v>
      </c>
      <c r="H612" s="17">
        <f t="shared" si="20"/>
        <v>8.5371666666666659</v>
      </c>
      <c r="I612" s="17">
        <f t="shared" si="20"/>
        <v>8.3522083333333335</v>
      </c>
      <c r="J612" s="17">
        <f t="shared" si="20"/>
        <v>8.3185333333333329</v>
      </c>
      <c r="K612" s="52">
        <f t="shared" si="20"/>
        <v>8.3479833333333335</v>
      </c>
      <c r="L612" s="17">
        <f t="shared" si="20"/>
        <v>9.1241666666666656</v>
      </c>
      <c r="M612" s="17">
        <f t="shared" si="20"/>
        <v>8.176616666666666</v>
      </c>
      <c r="N612" s="17">
        <f t="shared" si="20"/>
        <v>8.1931666666666683</v>
      </c>
      <c r="O612" s="17">
        <f t="shared" si="20"/>
        <v>8.3913250000000001</v>
      </c>
      <c r="P612" s="17">
        <f t="shared" si="20"/>
        <v>8.2092916666666671</v>
      </c>
      <c r="Q612" s="17">
        <f t="shared" si="20"/>
        <v>8.9860249999999997</v>
      </c>
      <c r="R612" s="17">
        <f t="shared" si="20"/>
        <v>9.5954916666666659</v>
      </c>
      <c r="S612" s="17">
        <f t="shared" si="20"/>
        <v>7.9708666666666668</v>
      </c>
      <c r="T612" s="51">
        <f>SUM(T133:T144)</f>
        <v>357.33618100000001</v>
      </c>
      <c r="U612" s="51">
        <f>SUM(U133:U144)</f>
        <v>142.03263249999998</v>
      </c>
      <c r="V612" s="51">
        <f>SUM(V133:V144)</f>
        <v>50.187500000000007</v>
      </c>
      <c r="W612" s="51">
        <f>SUM(W133:W144)</f>
        <v>5.0822234999999996</v>
      </c>
      <c r="X612" s="51">
        <f>SUM(X133:X144)</f>
        <v>14.222225463999999</v>
      </c>
      <c r="Y612" s="51"/>
      <c r="Z612" s="17"/>
      <c r="AA612" s="17"/>
      <c r="AB612" s="48">
        <f>AVERAGE(AB133:AB144)</f>
        <v>8.3680653703418866</v>
      </c>
      <c r="AC612" s="45">
        <f>AVERAGE(AC133:AC144)</f>
        <v>8.2528103717026386</v>
      </c>
    </row>
    <row r="613" spans="1:29" ht="15.75" x14ac:dyDescent="0.25">
      <c r="A613" s="11">
        <v>2024</v>
      </c>
      <c r="B613" s="17">
        <f t="shared" ref="B613:S613" si="21">AVERAGE(B145:B156)</f>
        <v>8.6737166666666674</v>
      </c>
      <c r="C613" s="17">
        <f t="shared" si="21"/>
        <v>8.6799916666666661</v>
      </c>
      <c r="D613" s="17">
        <f t="shared" si="21"/>
        <v>8.8842416666666661</v>
      </c>
      <c r="E613" s="17">
        <f t="shared" si="21"/>
        <v>8.9166666666666661</v>
      </c>
      <c r="F613" s="17">
        <f t="shared" si="21"/>
        <v>8.6941583333333341</v>
      </c>
      <c r="G613" s="17">
        <f t="shared" si="21"/>
        <v>8.7109916666666667</v>
      </c>
      <c r="H613" s="17">
        <f t="shared" si="21"/>
        <v>8.9057750000000002</v>
      </c>
      <c r="I613" s="17">
        <f t="shared" si="21"/>
        <v>8.7219750000000005</v>
      </c>
      <c r="J613" s="17">
        <f t="shared" si="21"/>
        <v>8.6871583333333309</v>
      </c>
      <c r="K613" s="52">
        <f t="shared" si="21"/>
        <v>8.7177416666666687</v>
      </c>
      <c r="L613" s="17">
        <f t="shared" si="21"/>
        <v>9.492775</v>
      </c>
      <c r="M613" s="17">
        <f t="shared" si="21"/>
        <v>8.5385833333333334</v>
      </c>
      <c r="N613" s="17">
        <f t="shared" si="21"/>
        <v>8.5551333333333321</v>
      </c>
      <c r="O613" s="17">
        <f t="shared" si="21"/>
        <v>8.7532750000000004</v>
      </c>
      <c r="P613" s="17">
        <f t="shared" si="21"/>
        <v>8.5723749999999992</v>
      </c>
      <c r="Q613" s="17">
        <f t="shared" si="21"/>
        <v>9.3479749999999999</v>
      </c>
      <c r="R613" s="17">
        <f t="shared" si="21"/>
        <v>9.9583499999999976</v>
      </c>
      <c r="S613" s="17">
        <f t="shared" si="21"/>
        <v>8.3250666666666664</v>
      </c>
      <c r="T613" s="51">
        <f>SUM(T145:T156)</f>
        <v>358.26753550000001</v>
      </c>
      <c r="U613" s="51">
        <f>SUM(U145:U156)</f>
        <v>142.42176299999997</v>
      </c>
      <c r="V613" s="51">
        <f>SUM(V145:V156)</f>
        <v>50.325000000000003</v>
      </c>
      <c r="W613" s="51">
        <f>SUM(W145:W156)</f>
        <v>5.0961473999999995</v>
      </c>
      <c r="X613" s="51">
        <f>SUM(X145:X156)</f>
        <v>14.245965463999999</v>
      </c>
      <c r="Y613" s="51"/>
      <c r="Z613" s="17"/>
      <c r="AA613" s="17"/>
      <c r="AB613" s="48">
        <f>AVERAGE(AB145:AB156)</f>
        <v>8.7367703874991598</v>
      </c>
      <c r="AC613" s="45">
        <f>AVERAGE(AC145:AC156)</f>
        <v>8.6149301558753013</v>
      </c>
    </row>
    <row r="614" spans="1:29" ht="15.75" x14ac:dyDescent="0.25">
      <c r="A614" s="11">
        <v>2025</v>
      </c>
      <c r="B614" s="17">
        <f t="shared" ref="B614:S614" si="22">AVERAGE(B157:B168)</f>
        <v>9.0405250000000006</v>
      </c>
      <c r="C614" s="17">
        <f t="shared" si="22"/>
        <v>9.0468166666666683</v>
      </c>
      <c r="D614" s="17">
        <f t="shared" si="22"/>
        <v>9.2510499999999993</v>
      </c>
      <c r="E614" s="17">
        <f t="shared" si="22"/>
        <v>9.2835000000000019</v>
      </c>
      <c r="F614" s="17">
        <f t="shared" si="22"/>
        <v>9.0609666666666673</v>
      </c>
      <c r="G614" s="17">
        <f t="shared" si="22"/>
        <v>9.0778000000000016</v>
      </c>
      <c r="H614" s="17">
        <f t="shared" si="22"/>
        <v>9.2725999999999988</v>
      </c>
      <c r="I614" s="17">
        <f t="shared" si="22"/>
        <v>9.0899333333333328</v>
      </c>
      <c r="J614" s="17">
        <f t="shared" si="22"/>
        <v>9.0539666666666658</v>
      </c>
      <c r="K614" s="52">
        <f t="shared" si="22"/>
        <v>9.0857083333333346</v>
      </c>
      <c r="L614" s="17">
        <f t="shared" si="22"/>
        <v>9.8595999999999986</v>
      </c>
      <c r="M614" s="17">
        <f t="shared" si="22"/>
        <v>8.8988083333333332</v>
      </c>
      <c r="N614" s="17">
        <f t="shared" si="22"/>
        <v>8.9153333333333329</v>
      </c>
      <c r="O614" s="17">
        <f t="shared" si="22"/>
        <v>9.1134833333333347</v>
      </c>
      <c r="P614" s="17">
        <f t="shared" si="22"/>
        <v>8.9337</v>
      </c>
      <c r="Q614" s="17">
        <f t="shared" si="22"/>
        <v>9.7081833333333325</v>
      </c>
      <c r="R614" s="17">
        <f t="shared" si="22"/>
        <v>10.319475000000002</v>
      </c>
      <c r="S614" s="17">
        <f t="shared" si="22"/>
        <v>8.6775416666666683</v>
      </c>
      <c r="T614" s="51">
        <f>SUM(T157:T168)</f>
        <v>357.33618100000001</v>
      </c>
      <c r="U614" s="51">
        <f>SUM(U157:U168)</f>
        <v>142.03263249999998</v>
      </c>
      <c r="V614" s="51">
        <f>SUM(V157:V168)</f>
        <v>50.187500000000007</v>
      </c>
      <c r="W614" s="51">
        <f>SUM(W157:W168)</f>
        <v>5.0822234999999996</v>
      </c>
      <c r="X614" s="51">
        <f>SUM(X157:X168)</f>
        <v>14.222225463999999</v>
      </c>
      <c r="Y614" s="51"/>
      <c r="Z614" s="17"/>
      <c r="AA614" s="17"/>
      <c r="AB614" s="48">
        <f>AVERAGE(AB157:AB168)</f>
        <v>9.1036802855963508</v>
      </c>
      <c r="AC614" s="45">
        <f>AVERAGE(AC157:AC168)</f>
        <v>8.9753058752997603</v>
      </c>
    </row>
    <row r="615" spans="1:29" ht="15.75" x14ac:dyDescent="0.25">
      <c r="A615" s="11">
        <v>2026</v>
      </c>
      <c r="B615" s="17">
        <f t="shared" ref="B615:S615" si="23">AVERAGE(B169:B180)</f>
        <v>9.3663916666666669</v>
      </c>
      <c r="C615" s="17">
        <f t="shared" si="23"/>
        <v>9.3726499999999984</v>
      </c>
      <c r="D615" s="17">
        <f t="shared" si="23"/>
        <v>9.5769000000000002</v>
      </c>
      <c r="E615" s="17">
        <f t="shared" si="23"/>
        <v>9.6093250000000001</v>
      </c>
      <c r="F615" s="17">
        <f t="shared" si="23"/>
        <v>9.3868166666666664</v>
      </c>
      <c r="G615" s="17">
        <f t="shared" si="23"/>
        <v>9.4036500000000007</v>
      </c>
      <c r="H615" s="17">
        <f t="shared" si="23"/>
        <v>9.5984416666666661</v>
      </c>
      <c r="I615" s="17">
        <f t="shared" si="23"/>
        <v>9.4167916666666667</v>
      </c>
      <c r="J615" s="17">
        <f t="shared" si="23"/>
        <v>9.3798166666666649</v>
      </c>
      <c r="K615" s="52">
        <f t="shared" si="23"/>
        <v>9.4125749999999986</v>
      </c>
      <c r="L615" s="17">
        <f t="shared" si="23"/>
        <v>10.185441666666668</v>
      </c>
      <c r="M615" s="17">
        <f t="shared" si="23"/>
        <v>9.2187833333333344</v>
      </c>
      <c r="N615" s="17">
        <f t="shared" si="23"/>
        <v>9.2353333333333332</v>
      </c>
      <c r="O615" s="17">
        <f t="shared" si="23"/>
        <v>9.4335000000000004</v>
      </c>
      <c r="P615" s="17">
        <f t="shared" si="23"/>
        <v>9.2546750000000007</v>
      </c>
      <c r="Q615" s="17">
        <f t="shared" si="23"/>
        <v>10.028199999999998</v>
      </c>
      <c r="R615" s="17">
        <f t="shared" si="23"/>
        <v>10.64025</v>
      </c>
      <c r="S615" s="17">
        <f t="shared" si="23"/>
        <v>8.9906583333333323</v>
      </c>
      <c r="T615" s="51">
        <f>SUM(T169:T180)</f>
        <v>357.33618100000001</v>
      </c>
      <c r="U615" s="51">
        <f>SUM(U169:U180)</f>
        <v>142.03263249999998</v>
      </c>
      <c r="V615" s="51">
        <f>SUM(V169:V180)</f>
        <v>50.187500000000007</v>
      </c>
      <c r="W615" s="51">
        <f>SUM(W169:W180)</f>
        <v>5.0822234999999996</v>
      </c>
      <c r="X615" s="51">
        <f>SUM(X169:X180)</f>
        <v>14.222225463999999</v>
      </c>
      <c r="Y615" s="51"/>
      <c r="Z615" s="17"/>
      <c r="AA615" s="17"/>
      <c r="AB615" s="48">
        <f>AVERAGE(AB169:AB180)</f>
        <v>9.4296081676942674</v>
      </c>
      <c r="AC615" s="45">
        <f>AVERAGE(AC169:AC180)</f>
        <v>9.2954422062350126</v>
      </c>
    </row>
    <row r="616" spans="1:29" ht="15.75" x14ac:dyDescent="0.25">
      <c r="A616" s="11">
        <v>2027</v>
      </c>
      <c r="B616" s="17">
        <f t="shared" ref="B616:S616" si="24">AVERAGE(B181:B192)</f>
        <v>9.6871000000000009</v>
      </c>
      <c r="C616" s="17">
        <f t="shared" si="24"/>
        <v>9.693366666666666</v>
      </c>
      <c r="D616" s="17">
        <f t="shared" si="24"/>
        <v>9.8976000000000006</v>
      </c>
      <c r="E616" s="17">
        <f t="shared" si="24"/>
        <v>9.930041666666666</v>
      </c>
      <c r="F616" s="17">
        <f t="shared" si="24"/>
        <v>9.7075333333333322</v>
      </c>
      <c r="G616" s="17">
        <f t="shared" si="24"/>
        <v>9.724358333333333</v>
      </c>
      <c r="H616" s="17">
        <f t="shared" si="24"/>
        <v>9.9191416666666665</v>
      </c>
      <c r="I616" s="17">
        <f t="shared" si="24"/>
        <v>9.7385166666666674</v>
      </c>
      <c r="J616" s="17">
        <f t="shared" si="24"/>
        <v>9.7005333333333308</v>
      </c>
      <c r="K616" s="52">
        <f t="shared" si="24"/>
        <v>9.7342916666666657</v>
      </c>
      <c r="L616" s="17">
        <f t="shared" si="24"/>
        <v>10.506141666666666</v>
      </c>
      <c r="M616" s="17">
        <f t="shared" si="24"/>
        <v>9.5337333333333323</v>
      </c>
      <c r="N616" s="17">
        <f t="shared" si="24"/>
        <v>9.5502749999999992</v>
      </c>
      <c r="O616" s="17">
        <f t="shared" si="24"/>
        <v>9.748425000000001</v>
      </c>
      <c r="P616" s="17">
        <f t="shared" si="24"/>
        <v>9.5705833333333334</v>
      </c>
      <c r="Q616" s="17">
        <f t="shared" si="24"/>
        <v>10.343125000000002</v>
      </c>
      <c r="R616" s="17">
        <f t="shared" si="24"/>
        <v>10.955991666666664</v>
      </c>
      <c r="S616" s="17">
        <f t="shared" si="24"/>
        <v>9.2988333333333326</v>
      </c>
      <c r="T616" s="51">
        <f>SUM(T181:T192)</f>
        <v>357.33618100000001</v>
      </c>
      <c r="U616" s="51">
        <f>SUM(U181:U192)</f>
        <v>142.03263249999998</v>
      </c>
      <c r="V616" s="51">
        <f>SUM(V181:V192)</f>
        <v>50.187500000000007</v>
      </c>
      <c r="W616" s="51">
        <f>SUM(W181:W192)</f>
        <v>5.0822234999999996</v>
      </c>
      <c r="X616" s="51">
        <f>SUM(X181:X192)</f>
        <v>14.222225463999999</v>
      </c>
      <c r="Y616" s="51"/>
      <c r="Z616" s="17"/>
      <c r="AA616" s="17"/>
      <c r="AB616" s="48">
        <f>AVERAGE(AB181:AB192)</f>
        <v>9.7504052013302687</v>
      </c>
      <c r="AC616" s="45">
        <f>AVERAGE(AC181:AC192)</f>
        <v>9.610521163069544</v>
      </c>
    </row>
    <row r="617" spans="1:29" ht="15.75" x14ac:dyDescent="0.25">
      <c r="A617" s="11">
        <v>2028</v>
      </c>
      <c r="B617" s="17">
        <f t="shared" ref="B617:S617" si="25">AVERAGE(B193:B204)</f>
        <v>10.009924999999999</v>
      </c>
      <c r="C617" s="17">
        <f t="shared" si="25"/>
        <v>10.016174999999999</v>
      </c>
      <c r="D617" s="17">
        <f t="shared" si="25"/>
        <v>10.220441666666668</v>
      </c>
      <c r="E617" s="17">
        <f t="shared" si="25"/>
        <v>10.25285</v>
      </c>
      <c r="F617" s="17">
        <f t="shared" si="25"/>
        <v>10.030341666666665</v>
      </c>
      <c r="G617" s="17">
        <f t="shared" si="25"/>
        <v>10.047183333333333</v>
      </c>
      <c r="H617" s="17">
        <f t="shared" si="25"/>
        <v>10.241983333333334</v>
      </c>
      <c r="I617" s="17">
        <f t="shared" si="25"/>
        <v>10.062341666666667</v>
      </c>
      <c r="J617" s="17">
        <f t="shared" si="25"/>
        <v>10.023341666666667</v>
      </c>
      <c r="K617" s="52">
        <f t="shared" si="25"/>
        <v>10.058133333333332</v>
      </c>
      <c r="L617" s="17">
        <f t="shared" si="25"/>
        <v>10.828983333333333</v>
      </c>
      <c r="M617" s="17">
        <f t="shared" si="25"/>
        <v>9.850716666666667</v>
      </c>
      <c r="N617" s="17">
        <f t="shared" si="25"/>
        <v>9.8672749999999976</v>
      </c>
      <c r="O617" s="17">
        <f t="shared" si="25"/>
        <v>10.065441666666665</v>
      </c>
      <c r="P617" s="17">
        <f t="shared" si="25"/>
        <v>9.8885500000000004</v>
      </c>
      <c r="Q617" s="17">
        <f t="shared" si="25"/>
        <v>10.660141666666666</v>
      </c>
      <c r="R617" s="17">
        <f t="shared" si="25"/>
        <v>11.273791666666666</v>
      </c>
      <c r="S617" s="17">
        <f t="shared" si="25"/>
        <v>9.6090083333333336</v>
      </c>
      <c r="T617" s="51">
        <f>SUM(T193:T204)</f>
        <v>358.26753550000001</v>
      </c>
      <c r="U617" s="51">
        <f>SUM(U193:U204)</f>
        <v>142.42176299999997</v>
      </c>
      <c r="V617" s="51">
        <f>SUM(V193:V204)</f>
        <v>50.325000000000003</v>
      </c>
      <c r="W617" s="51">
        <f>SUM(W193:W204)</f>
        <v>5.0961473999999995</v>
      </c>
      <c r="X617" s="51">
        <f>SUM(X193:X204)</f>
        <v>14.245965463999999</v>
      </c>
      <c r="Y617" s="51"/>
      <c r="Z617" s="17"/>
      <c r="AA617" s="17"/>
      <c r="AB617" s="48">
        <f>AVERAGE(AB193:AB204)</f>
        <v>10.073302914218026</v>
      </c>
      <c r="AC617" s="45">
        <f>AVERAGE(AC193:AC204)</f>
        <v>9.9276577338129517</v>
      </c>
    </row>
    <row r="618" spans="1:29" ht="15.75" x14ac:dyDescent="0.25">
      <c r="A618" s="11">
        <v>2029</v>
      </c>
      <c r="B618" s="17">
        <f t="shared" ref="B618:S618" si="26">AVERAGE(B205:B216)</f>
        <v>10.342808333333332</v>
      </c>
      <c r="C618" s="17">
        <f t="shared" si="26"/>
        <v>10.349066666666667</v>
      </c>
      <c r="D618" s="17">
        <f t="shared" si="26"/>
        <v>10.553333333333333</v>
      </c>
      <c r="E618" s="17">
        <f t="shared" si="26"/>
        <v>10.585758333333333</v>
      </c>
      <c r="F618" s="17">
        <f t="shared" si="26"/>
        <v>10.363225</v>
      </c>
      <c r="G618" s="17">
        <f t="shared" si="26"/>
        <v>10.380058333333334</v>
      </c>
      <c r="H618" s="17">
        <f t="shared" si="26"/>
        <v>10.574875</v>
      </c>
      <c r="I618" s="17">
        <f t="shared" si="26"/>
        <v>10.396283333333335</v>
      </c>
      <c r="J618" s="17">
        <f t="shared" si="26"/>
        <v>10.356225</v>
      </c>
      <c r="K618" s="52">
        <f t="shared" si="26"/>
        <v>10.392058333333335</v>
      </c>
      <c r="L618" s="17">
        <f t="shared" si="26"/>
        <v>11.161875</v>
      </c>
      <c r="M618" s="17">
        <f t="shared" si="26"/>
        <v>10.177633333333334</v>
      </c>
      <c r="N618" s="17">
        <f t="shared" si="26"/>
        <v>10.194199999999999</v>
      </c>
      <c r="O618" s="17">
        <f t="shared" si="26"/>
        <v>10.392333333333335</v>
      </c>
      <c r="P618" s="17">
        <f t="shared" si="26"/>
        <v>10.216483333333334</v>
      </c>
      <c r="Q618" s="17">
        <f t="shared" si="26"/>
        <v>10.987033333333335</v>
      </c>
      <c r="R618" s="17">
        <f t="shared" si="26"/>
        <v>11.601525000000002</v>
      </c>
      <c r="S618" s="17">
        <f t="shared" si="26"/>
        <v>9.928899999999997</v>
      </c>
      <c r="T618" s="51">
        <f>SUM(T205:T216)</f>
        <v>357.33618100000001</v>
      </c>
      <c r="U618" s="51">
        <f>SUM(U205:U216)</f>
        <v>142.03263249999998</v>
      </c>
      <c r="V618" s="51">
        <f>SUM(V205:V216)</f>
        <v>50.187500000000007</v>
      </c>
      <c r="W618" s="51">
        <f>SUM(W205:W216)</f>
        <v>5.0822234999999996</v>
      </c>
      <c r="X618" s="51">
        <f>SUM(X205:X216)</f>
        <v>14.222225463999999</v>
      </c>
      <c r="Y618" s="51"/>
      <c r="Z618" s="17"/>
      <c r="AA618" s="17"/>
      <c r="AB618" s="48">
        <f>AVERAGE(AB205:AB216)</f>
        <v>10.406279315771188</v>
      </c>
      <c r="AC618" s="45">
        <f>AVERAGE(AC205:AC216)</f>
        <v>10.254715587529974</v>
      </c>
    </row>
    <row r="619" spans="1:29" ht="15.75" x14ac:dyDescent="0.25">
      <c r="A619" s="11">
        <v>2030</v>
      </c>
      <c r="B619" s="17">
        <f t="shared" ref="B619:S619" si="27">AVERAGE(B217:B228)</f>
        <v>10.642949999999999</v>
      </c>
      <c r="C619" s="17">
        <f t="shared" si="27"/>
        <v>10.649216666666668</v>
      </c>
      <c r="D619" s="17">
        <f t="shared" si="27"/>
        <v>10.853483333333331</v>
      </c>
      <c r="E619" s="17">
        <f t="shared" si="27"/>
        <v>10.885908333333333</v>
      </c>
      <c r="F619" s="17">
        <f t="shared" si="27"/>
        <v>10.663383333333334</v>
      </c>
      <c r="G619" s="17">
        <f t="shared" si="27"/>
        <v>10.680216666666666</v>
      </c>
      <c r="H619" s="17">
        <f t="shared" si="27"/>
        <v>10.875025000000001</v>
      </c>
      <c r="I619" s="17">
        <f t="shared" si="27"/>
        <v>10.697358333333334</v>
      </c>
      <c r="J619" s="17">
        <f t="shared" si="27"/>
        <v>10.656383333333332</v>
      </c>
      <c r="K619" s="52">
        <f t="shared" si="27"/>
        <v>10.693141666666667</v>
      </c>
      <c r="L619" s="17">
        <f t="shared" si="27"/>
        <v>11.462024999999999</v>
      </c>
      <c r="M619" s="17">
        <f t="shared" si="27"/>
        <v>10.472391666666667</v>
      </c>
      <c r="N619" s="17">
        <f t="shared" si="27"/>
        <v>10.488933333333334</v>
      </c>
      <c r="O619" s="17">
        <f t="shared" si="27"/>
        <v>10.687108333333333</v>
      </c>
      <c r="P619" s="17">
        <f t="shared" si="27"/>
        <v>10.512124999999999</v>
      </c>
      <c r="Q619" s="17">
        <f t="shared" si="27"/>
        <v>11.281808333333336</v>
      </c>
      <c r="R619" s="17">
        <f t="shared" si="27"/>
        <v>11.897</v>
      </c>
      <c r="S619" s="17">
        <f t="shared" si="27"/>
        <v>10.217308333333333</v>
      </c>
      <c r="T619" s="51">
        <f>SUM(T217:T228)</f>
        <v>357.33618100000001</v>
      </c>
      <c r="U619" s="51">
        <f>SUM(U217:U228)</f>
        <v>142.03263249999998</v>
      </c>
      <c r="V619" s="51">
        <f>SUM(V217:V228)</f>
        <v>50.187500000000007</v>
      </c>
      <c r="W619" s="51">
        <f>SUM(W217:W228)</f>
        <v>5.0822234999999996</v>
      </c>
      <c r="X619" s="51">
        <f>SUM(X217:X228)</f>
        <v>14.222225463999999</v>
      </c>
      <c r="Y619" s="51"/>
      <c r="Z619" s="17"/>
      <c r="AA619" s="17"/>
      <c r="AB619" s="48">
        <f>AVERAGE(AB217:AB228)</f>
        <v>10.706506796766945</v>
      </c>
      <c r="AC619" s="45">
        <f>AVERAGE(AC217:AC228)</f>
        <v>10.549602817745802</v>
      </c>
    </row>
    <row r="620" spans="1:29" ht="15.75" x14ac:dyDescent="0.25">
      <c r="A620" s="11">
        <v>2031</v>
      </c>
      <c r="B620" s="17">
        <f t="shared" ref="B620:S620" si="28">AVERAGE(B229:B240)</f>
        <v>11.096716666666666</v>
      </c>
      <c r="C620" s="17">
        <f t="shared" si="28"/>
        <v>11.103</v>
      </c>
      <c r="D620" s="17">
        <f t="shared" si="28"/>
        <v>11.307250000000002</v>
      </c>
      <c r="E620" s="17">
        <f t="shared" si="28"/>
        <v>11.339675</v>
      </c>
      <c r="F620" s="17">
        <f t="shared" si="28"/>
        <v>11.117158333333334</v>
      </c>
      <c r="G620" s="17">
        <f t="shared" si="28"/>
        <v>11.133983333333333</v>
      </c>
      <c r="H620" s="17">
        <f t="shared" si="28"/>
        <v>11.328791666666666</v>
      </c>
      <c r="I620" s="17">
        <f t="shared" si="28"/>
        <v>11.15255</v>
      </c>
      <c r="J620" s="17">
        <f t="shared" si="28"/>
        <v>11.110158333333333</v>
      </c>
      <c r="K620" s="52">
        <f t="shared" si="28"/>
        <v>11.148341666666665</v>
      </c>
      <c r="L620" s="17">
        <f t="shared" si="28"/>
        <v>11.915791666666665</v>
      </c>
      <c r="M620" s="17">
        <f t="shared" si="28"/>
        <v>10.918008333333333</v>
      </c>
      <c r="N620" s="17">
        <f t="shared" si="28"/>
        <v>10.934558333333333</v>
      </c>
      <c r="O620" s="17">
        <f t="shared" si="28"/>
        <v>11.132708333333332</v>
      </c>
      <c r="P620" s="17">
        <f t="shared" si="28"/>
        <v>10.959099999999999</v>
      </c>
      <c r="Q620" s="17">
        <f t="shared" si="28"/>
        <v>11.727408333333331</v>
      </c>
      <c r="R620" s="17">
        <f t="shared" si="28"/>
        <v>12.343724999999999</v>
      </c>
      <c r="S620" s="17">
        <f t="shared" si="28"/>
        <v>10.653333333333331</v>
      </c>
      <c r="T620" s="51">
        <f>SUM(T229:T240)</f>
        <v>357.33618100000001</v>
      </c>
      <c r="U620" s="51">
        <f>SUM(U229:U240)</f>
        <v>142.03263249999998</v>
      </c>
      <c r="V620" s="51">
        <f>SUM(V229:V240)</f>
        <v>50.187500000000007</v>
      </c>
      <c r="W620" s="51">
        <f>SUM(W229:W240)</f>
        <v>5.0822234999999996</v>
      </c>
      <c r="X620" s="51">
        <f>SUM(X229:X240)</f>
        <v>14.222225463999999</v>
      </c>
      <c r="Y620" s="51"/>
      <c r="Z620" s="17"/>
      <c r="AA620" s="17"/>
      <c r="AB620" s="48">
        <f>AVERAGE(AB229:AB240)</f>
        <v>11.16039707129358</v>
      </c>
      <c r="AC620" s="45">
        <f>AVERAGE(AC229:AC240)</f>
        <v>10.99541073141487</v>
      </c>
    </row>
    <row r="621" spans="1:29" ht="15.75" x14ac:dyDescent="0.25">
      <c r="A621" s="11">
        <v>2032</v>
      </c>
      <c r="B621" s="17">
        <f t="shared" ref="B621:S621" si="29">AVERAGE(B241:B252)</f>
        <v>11.526933333333332</v>
      </c>
      <c r="C621" s="17">
        <f t="shared" si="29"/>
        <v>11.533208333333334</v>
      </c>
      <c r="D621" s="17">
        <f t="shared" si="29"/>
        <v>11.737441666666667</v>
      </c>
      <c r="E621" s="17">
        <f t="shared" si="29"/>
        <v>11.769866666666665</v>
      </c>
      <c r="F621" s="17">
        <f t="shared" si="29"/>
        <v>11.547358333333333</v>
      </c>
      <c r="G621" s="17">
        <f t="shared" si="29"/>
        <v>11.564208333333333</v>
      </c>
      <c r="H621" s="17">
        <f t="shared" si="29"/>
        <v>11.758983333333333</v>
      </c>
      <c r="I621" s="17">
        <f t="shared" si="29"/>
        <v>11.584116666666667</v>
      </c>
      <c r="J621" s="17">
        <f t="shared" si="29"/>
        <v>11.540358333333335</v>
      </c>
      <c r="K621" s="52">
        <f t="shared" si="29"/>
        <v>11.579891666666667</v>
      </c>
      <c r="L621" s="17">
        <f t="shared" si="29"/>
        <v>12.345983333333331</v>
      </c>
      <c r="M621" s="17">
        <f t="shared" si="29"/>
        <v>11.340458333333332</v>
      </c>
      <c r="N621" s="17">
        <f t="shared" si="29"/>
        <v>11.357008333333333</v>
      </c>
      <c r="O621" s="17">
        <f t="shared" si="29"/>
        <v>11.555174999999998</v>
      </c>
      <c r="P621" s="17">
        <f t="shared" si="29"/>
        <v>11.382875</v>
      </c>
      <c r="Q621" s="17">
        <f t="shared" si="29"/>
        <v>12.149875</v>
      </c>
      <c r="R621" s="17">
        <f t="shared" si="29"/>
        <v>12.767233333333335</v>
      </c>
      <c r="S621" s="17">
        <f t="shared" si="29"/>
        <v>11.066725</v>
      </c>
      <c r="T621" s="51">
        <f>SUM(T241:T252)</f>
        <v>358.26753550000001</v>
      </c>
      <c r="U621" s="51">
        <f>SUM(U241:U252)</f>
        <v>142.42176299999997</v>
      </c>
      <c r="V621" s="51">
        <f>SUM(V241:V252)</f>
        <v>50.325000000000003</v>
      </c>
      <c r="W621" s="51">
        <f>SUM(W241:W252)</f>
        <v>5.0961473999999995</v>
      </c>
      <c r="X621" s="51">
        <f>SUM(X241:X252)</f>
        <v>14.245965463999999</v>
      </c>
      <c r="Y621" s="51"/>
      <c r="Z621" s="17"/>
      <c r="AA621" s="17"/>
      <c r="AB621" s="48">
        <f>AVERAGE(AB241:AB252)</f>
        <v>11.59071435311229</v>
      </c>
      <c r="AC621" s="45">
        <f>AVERAGE(AC241:AC252)</f>
        <v>11.418057494004797</v>
      </c>
    </row>
    <row r="622" spans="1:29" ht="15.75" x14ac:dyDescent="0.25">
      <c r="A622" s="11">
        <v>2033</v>
      </c>
      <c r="B622" s="17">
        <f t="shared" ref="B622:S622" si="30">AVERAGE(B253:B264)</f>
        <v>11.973833333333333</v>
      </c>
      <c r="C622" s="17">
        <f t="shared" si="30"/>
        <v>11.980091666666667</v>
      </c>
      <c r="D622" s="17">
        <f t="shared" si="30"/>
        <v>12.184341666666668</v>
      </c>
      <c r="E622" s="17">
        <f t="shared" si="30"/>
        <v>12.216791666666667</v>
      </c>
      <c r="F622" s="17">
        <f t="shared" si="30"/>
        <v>11.994266666666666</v>
      </c>
      <c r="G622" s="17">
        <f t="shared" si="30"/>
        <v>12.011099999999999</v>
      </c>
      <c r="H622" s="17">
        <f t="shared" si="30"/>
        <v>12.205883333333333</v>
      </c>
      <c r="I622" s="17">
        <f t="shared" si="30"/>
        <v>12.032416666666668</v>
      </c>
      <c r="J622" s="17">
        <f t="shared" si="30"/>
        <v>11.987266666666665</v>
      </c>
      <c r="K622" s="52">
        <f t="shared" si="30"/>
        <v>12.028191666666666</v>
      </c>
      <c r="L622" s="17">
        <f t="shared" si="30"/>
        <v>12.792883333333336</v>
      </c>
      <c r="M622" s="17">
        <f t="shared" si="30"/>
        <v>11.779324999999998</v>
      </c>
      <c r="N622" s="17">
        <f t="shared" si="30"/>
        <v>11.795883333333334</v>
      </c>
      <c r="O622" s="17">
        <f t="shared" si="30"/>
        <v>11.994033333333334</v>
      </c>
      <c r="P622" s="17">
        <f t="shared" si="30"/>
        <v>11.823099999999998</v>
      </c>
      <c r="Q622" s="17">
        <f t="shared" si="30"/>
        <v>12.588733333333332</v>
      </c>
      <c r="R622" s="17">
        <f t="shared" si="30"/>
        <v>13.207224999999999</v>
      </c>
      <c r="S622" s="17">
        <f t="shared" si="30"/>
        <v>11.496158333333334</v>
      </c>
      <c r="T622" s="51">
        <f>SUM(T253:T264)</f>
        <v>357.33618100000001</v>
      </c>
      <c r="U622" s="51">
        <f>SUM(U253:U264)</f>
        <v>142.03263249999998</v>
      </c>
      <c r="V622" s="51">
        <f>SUM(V253:V264)</f>
        <v>50.187500000000007</v>
      </c>
      <c r="W622" s="51">
        <f>SUM(W253:W264)</f>
        <v>5.0822234999999996</v>
      </c>
      <c r="X622" s="51">
        <f>SUM(X253:X264)</f>
        <v>14.222225463999999</v>
      </c>
      <c r="Y622" s="51"/>
      <c r="Z622" s="17"/>
      <c r="AA622" s="17"/>
      <c r="AB622" s="48">
        <f>AVERAGE(AB253:AB264)</f>
        <v>12.037730820416229</v>
      </c>
      <c r="AC622" s="45">
        <f>AVERAGE(AC253:AC264)</f>
        <v>11.857116306954438</v>
      </c>
    </row>
    <row r="623" spans="1:29" ht="15.75" x14ac:dyDescent="0.25">
      <c r="A623" s="11">
        <v>2034</v>
      </c>
      <c r="B623" s="17">
        <f t="shared" ref="B623:S623" si="31">AVERAGE(B265:B276)</f>
        <v>12.438083333333331</v>
      </c>
      <c r="C623" s="17">
        <f t="shared" si="31"/>
        <v>12.44435</v>
      </c>
      <c r="D623" s="17">
        <f t="shared" si="31"/>
        <v>12.648599999999997</v>
      </c>
      <c r="E623" s="17">
        <f t="shared" si="31"/>
        <v>12.681041666666667</v>
      </c>
      <c r="F623" s="17">
        <f t="shared" si="31"/>
        <v>12.458516666666666</v>
      </c>
      <c r="G623" s="17">
        <f t="shared" si="31"/>
        <v>12.475350000000001</v>
      </c>
      <c r="H623" s="17">
        <f t="shared" si="31"/>
        <v>12.670133333333332</v>
      </c>
      <c r="I623" s="17">
        <f t="shared" si="31"/>
        <v>12.498116666666668</v>
      </c>
      <c r="J623" s="17">
        <f t="shared" si="31"/>
        <v>12.451516666666665</v>
      </c>
      <c r="K623" s="52">
        <f t="shared" si="31"/>
        <v>12.493908333333332</v>
      </c>
      <c r="L623" s="17">
        <f t="shared" si="31"/>
        <v>13.25713333333333</v>
      </c>
      <c r="M623" s="17">
        <f t="shared" si="31"/>
        <v>12.235233333333333</v>
      </c>
      <c r="N623" s="17">
        <f t="shared" si="31"/>
        <v>12.251775</v>
      </c>
      <c r="O623" s="17">
        <f t="shared" si="31"/>
        <v>12.449933333333332</v>
      </c>
      <c r="P623" s="17">
        <f t="shared" si="31"/>
        <v>12.280391666666667</v>
      </c>
      <c r="Q623" s="17">
        <f t="shared" si="31"/>
        <v>13.044633333333332</v>
      </c>
      <c r="R623" s="17">
        <f t="shared" si="31"/>
        <v>13.66423333333333</v>
      </c>
      <c r="S623" s="17">
        <f t="shared" si="31"/>
        <v>11.942233333333332</v>
      </c>
      <c r="T623" s="51">
        <f>SUM(T265:T276)</f>
        <v>357.33618100000001</v>
      </c>
      <c r="U623" s="51">
        <f>SUM(U265:U276)</f>
        <v>142.03263249999998</v>
      </c>
      <c r="V623" s="51">
        <f>SUM(V265:V276)</f>
        <v>50.187500000000007</v>
      </c>
      <c r="W623" s="51">
        <f>SUM(W265:W276)</f>
        <v>5.0822234999999996</v>
      </c>
      <c r="X623" s="51">
        <f>SUM(X265:X276)</f>
        <v>14.222225463999999</v>
      </c>
      <c r="Y623" s="51"/>
      <c r="Z623" s="17"/>
      <c r="AA623" s="17"/>
      <c r="AB623" s="48">
        <f>AVERAGE(AB265:AB276)</f>
        <v>12.502102369856237</v>
      </c>
      <c r="AC623" s="45">
        <f>AVERAGE(AC265:AC276)</f>
        <v>12.313218944844124</v>
      </c>
    </row>
    <row r="624" spans="1:29" ht="15.75" x14ac:dyDescent="0.25">
      <c r="A624" s="11">
        <v>2035</v>
      </c>
      <c r="B624" s="17">
        <f t="shared" ref="B624:S624" si="32">AVERAGE(B277:B288)</f>
        <v>12.920341666666667</v>
      </c>
      <c r="C624" s="17">
        <f t="shared" si="32"/>
        <v>12.926608333333334</v>
      </c>
      <c r="D624" s="17">
        <f t="shared" si="32"/>
        <v>13.130841666666667</v>
      </c>
      <c r="E624" s="17">
        <f t="shared" si="32"/>
        <v>13.163274999999999</v>
      </c>
      <c r="F624" s="17">
        <f t="shared" si="32"/>
        <v>12.940766666666667</v>
      </c>
      <c r="G624" s="17">
        <f t="shared" si="32"/>
        <v>12.957616666666668</v>
      </c>
      <c r="H624" s="17">
        <f t="shared" si="32"/>
        <v>13.152383333333333</v>
      </c>
      <c r="I624" s="17">
        <f t="shared" si="32"/>
        <v>12.981891666666664</v>
      </c>
      <c r="J624" s="17">
        <f t="shared" si="32"/>
        <v>12.933766666666665</v>
      </c>
      <c r="K624" s="52">
        <f t="shared" si="32"/>
        <v>12.977666666666666</v>
      </c>
      <c r="L624" s="17">
        <f t="shared" si="32"/>
        <v>13.739383333333331</v>
      </c>
      <c r="M624" s="17">
        <f t="shared" si="32"/>
        <v>12.708833333333333</v>
      </c>
      <c r="N624" s="17">
        <f t="shared" si="32"/>
        <v>12.725375000000001</v>
      </c>
      <c r="O624" s="17">
        <f t="shared" si="32"/>
        <v>12.923525</v>
      </c>
      <c r="P624" s="17">
        <f t="shared" si="32"/>
        <v>12.755425000000001</v>
      </c>
      <c r="Q624" s="17">
        <f t="shared" si="32"/>
        <v>13.518224999999999</v>
      </c>
      <c r="R624" s="17">
        <f t="shared" si="32"/>
        <v>14.139033333333336</v>
      </c>
      <c r="S624" s="17">
        <f t="shared" si="32"/>
        <v>12.40565</v>
      </c>
      <c r="T624" s="51">
        <f>SUM(T277:T288)</f>
        <v>357.33618100000001</v>
      </c>
      <c r="U624" s="51">
        <f>SUM(U277:U288)</f>
        <v>142.03263249999998</v>
      </c>
      <c r="V624" s="51">
        <f>SUM(V277:V288)</f>
        <v>50.187500000000007</v>
      </c>
      <c r="W624" s="51">
        <f>SUM(W277:W288)</f>
        <v>5.0822234999999996</v>
      </c>
      <c r="X624" s="51">
        <f>SUM(X277:X288)</f>
        <v>14.222225463999999</v>
      </c>
      <c r="Y624" s="51"/>
      <c r="Z624" s="17"/>
      <c r="AA624" s="17"/>
      <c r="AB624" s="48">
        <f>AVERAGE(AB277:AB288)</f>
        <v>12.984479910943847</v>
      </c>
      <c r="AC624" s="45">
        <f>AVERAGE(AC277:AC288)</f>
        <v>12.787022841726618</v>
      </c>
    </row>
    <row r="625" spans="1:29" ht="15.75" x14ac:dyDescent="0.25">
      <c r="A625" s="11">
        <v>2036</v>
      </c>
      <c r="B625" s="17">
        <f t="shared" ref="B625:S625" si="33">AVERAGE(B289:B300)</f>
        <v>13.421333333333335</v>
      </c>
      <c r="C625" s="17">
        <f t="shared" si="33"/>
        <v>13.42759166666667</v>
      </c>
      <c r="D625" s="17">
        <f t="shared" si="33"/>
        <v>13.631825000000001</v>
      </c>
      <c r="E625" s="17">
        <f t="shared" si="33"/>
        <v>13.664258333333331</v>
      </c>
      <c r="F625" s="17">
        <f t="shared" si="33"/>
        <v>13.441758333333333</v>
      </c>
      <c r="G625" s="17">
        <f t="shared" si="33"/>
        <v>13.458575000000002</v>
      </c>
      <c r="H625" s="17">
        <f t="shared" si="33"/>
        <v>13.653366666666669</v>
      </c>
      <c r="I625" s="17">
        <f t="shared" si="33"/>
        <v>13.484441666666667</v>
      </c>
      <c r="J625" s="17">
        <f t="shared" si="33"/>
        <v>13.434758333333333</v>
      </c>
      <c r="K625" s="52">
        <f t="shared" si="33"/>
        <v>13.480225000000003</v>
      </c>
      <c r="L625" s="17">
        <f t="shared" si="33"/>
        <v>14.240366666666668</v>
      </c>
      <c r="M625" s="17">
        <f t="shared" si="33"/>
        <v>13.200799999999999</v>
      </c>
      <c r="N625" s="17">
        <f t="shared" si="33"/>
        <v>13.217341666666668</v>
      </c>
      <c r="O625" s="17">
        <f t="shared" si="33"/>
        <v>13.415483333333333</v>
      </c>
      <c r="P625" s="17">
        <f t="shared" si="33"/>
        <v>13.248908333333334</v>
      </c>
      <c r="Q625" s="17">
        <f t="shared" si="33"/>
        <v>14.010183333333336</v>
      </c>
      <c r="R625" s="17">
        <f t="shared" si="33"/>
        <v>14.632191666666666</v>
      </c>
      <c r="S625" s="17">
        <f t="shared" si="33"/>
        <v>12.887041666666663</v>
      </c>
      <c r="T625" s="51">
        <f>SUM(T289:T300)</f>
        <v>358.26753550000001</v>
      </c>
      <c r="U625" s="51">
        <f>SUM(U289:U300)</f>
        <v>142.42176299999997</v>
      </c>
      <c r="V625" s="51">
        <f>SUM(V289:V300)</f>
        <v>50.325000000000003</v>
      </c>
      <c r="W625" s="51">
        <f>SUM(W289:W300)</f>
        <v>5.0961473999999995</v>
      </c>
      <c r="X625" s="51">
        <f>SUM(X289:X300)</f>
        <v>14.245965463999999</v>
      </c>
      <c r="Y625" s="51"/>
      <c r="Z625" s="17"/>
      <c r="AA625" s="17"/>
      <c r="AB625" s="48">
        <f>AVERAGE(AB289:AB300)</f>
        <v>13.485594049786634</v>
      </c>
      <c r="AC625" s="45">
        <f>AVERAGE(AC289:AC300)</f>
        <v>13.279203956834531</v>
      </c>
    </row>
    <row r="626" spans="1:29" ht="15.75" x14ac:dyDescent="0.25">
      <c r="A626" s="11">
        <v>2037</v>
      </c>
      <c r="B626" s="17">
        <f t="shared" ref="B626:S626" si="34">AVERAGE(B301:B312)</f>
        <v>13.941749999999999</v>
      </c>
      <c r="C626" s="17">
        <f t="shared" si="34"/>
        <v>13.948016666666666</v>
      </c>
      <c r="D626" s="17">
        <f t="shared" si="34"/>
        <v>14.152258333333334</v>
      </c>
      <c r="E626" s="17">
        <f t="shared" si="34"/>
        <v>14.184666666666667</v>
      </c>
      <c r="F626" s="17">
        <f t="shared" si="34"/>
        <v>13.962158333333333</v>
      </c>
      <c r="G626" s="17">
        <f t="shared" si="34"/>
        <v>13.979008333333335</v>
      </c>
      <c r="H626" s="17">
        <f t="shared" si="34"/>
        <v>14.1738</v>
      </c>
      <c r="I626" s="17">
        <f t="shared" si="34"/>
        <v>14.006483333333335</v>
      </c>
      <c r="J626" s="17">
        <f t="shared" si="34"/>
        <v>13.955158333333335</v>
      </c>
      <c r="K626" s="52">
        <f t="shared" si="34"/>
        <v>14.002274999999999</v>
      </c>
      <c r="L626" s="17">
        <f t="shared" si="34"/>
        <v>14.760799999999998</v>
      </c>
      <c r="M626" s="17">
        <f t="shared" si="34"/>
        <v>13.711858333333334</v>
      </c>
      <c r="N626" s="17">
        <f t="shared" si="34"/>
        <v>13.728400000000001</v>
      </c>
      <c r="O626" s="17">
        <f t="shared" si="34"/>
        <v>13.926549999999999</v>
      </c>
      <c r="P626" s="17">
        <f t="shared" si="34"/>
        <v>13.761541666666666</v>
      </c>
      <c r="Q626" s="17">
        <f t="shared" si="34"/>
        <v>14.52125</v>
      </c>
      <c r="R626" s="17">
        <f t="shared" si="34"/>
        <v>15.144558333333331</v>
      </c>
      <c r="S626" s="17">
        <f t="shared" si="34"/>
        <v>13.387108333333336</v>
      </c>
      <c r="T626" s="51">
        <f>SUM(T301:T312)</f>
        <v>357.33618100000001</v>
      </c>
      <c r="U626" s="51">
        <f>SUM(U301:U312)</f>
        <v>142.03263249999998</v>
      </c>
      <c r="V626" s="51">
        <f>SUM(V301:V312)</f>
        <v>50.187500000000007</v>
      </c>
      <c r="W626" s="51">
        <f>SUM(W301:W312)</f>
        <v>5.0822234999999996</v>
      </c>
      <c r="X626" s="51">
        <f>SUM(X301:X312)</f>
        <v>14.222225463999999</v>
      </c>
      <c r="Y626" s="51"/>
      <c r="Z626" s="17"/>
      <c r="AA626" s="17"/>
      <c r="AB626" s="48">
        <f>AVERAGE(AB301:AB312)</f>
        <v>14.006144110863241</v>
      </c>
      <c r="AC626" s="45">
        <f>AVERAGE(AC301:AC312)</f>
        <v>13.790492685851319</v>
      </c>
    </row>
    <row r="627" spans="1:29" ht="15.75" x14ac:dyDescent="0.25">
      <c r="A627" s="11">
        <f t="shared" ref="A627:A650" si="35">A626+1</f>
        <v>2038</v>
      </c>
      <c r="B627" s="17">
        <f t="shared" ref="B627:S627" si="36">AVERAGE(B313:B324)</f>
        <v>14.482349999999999</v>
      </c>
      <c r="C627" s="17">
        <f t="shared" si="36"/>
        <v>14.488624999999999</v>
      </c>
      <c r="D627" s="17">
        <f t="shared" si="36"/>
        <v>14.692858333333334</v>
      </c>
      <c r="E627" s="17">
        <f t="shared" si="36"/>
        <v>14.725291666666669</v>
      </c>
      <c r="F627" s="17">
        <f t="shared" si="36"/>
        <v>14.502791666666669</v>
      </c>
      <c r="G627" s="17">
        <f t="shared" si="36"/>
        <v>14.519633333333337</v>
      </c>
      <c r="H627" s="17">
        <f t="shared" si="36"/>
        <v>14.714399999999998</v>
      </c>
      <c r="I627" s="17">
        <f t="shared" si="36"/>
        <v>14.548799999999998</v>
      </c>
      <c r="J627" s="17">
        <f t="shared" si="36"/>
        <v>14.495791666666669</v>
      </c>
      <c r="K627" s="52">
        <f t="shared" si="36"/>
        <v>14.544558333333333</v>
      </c>
      <c r="L627" s="17">
        <f t="shared" si="36"/>
        <v>15.301399999999996</v>
      </c>
      <c r="M627" s="17">
        <f t="shared" si="36"/>
        <v>14.242741666666666</v>
      </c>
      <c r="N627" s="17">
        <f t="shared" si="36"/>
        <v>14.259283333333334</v>
      </c>
      <c r="O627" s="17">
        <f t="shared" si="36"/>
        <v>14.457433333333334</v>
      </c>
      <c r="P627" s="17">
        <f t="shared" si="36"/>
        <v>14.294083333333335</v>
      </c>
      <c r="Q627" s="17">
        <f t="shared" si="36"/>
        <v>15.052133333333332</v>
      </c>
      <c r="R627" s="17">
        <f t="shared" si="36"/>
        <v>15.676758333333332</v>
      </c>
      <c r="S627" s="17">
        <f t="shared" si="36"/>
        <v>13.906566666666668</v>
      </c>
      <c r="T627" s="51">
        <f>SUM(T313:T324)</f>
        <v>357.33618100000001</v>
      </c>
      <c r="U627" s="51">
        <f>SUM(U313:U324)</f>
        <v>142.03263249999998</v>
      </c>
      <c r="V627" s="51">
        <f>SUM(V313:V324)</f>
        <v>50.187500000000007</v>
      </c>
      <c r="W627" s="51">
        <f>SUM(W313:W324)</f>
        <v>5.0822234999999996</v>
      </c>
      <c r="X627" s="51">
        <f>SUM(X313:X324)</f>
        <v>14.222225463999999</v>
      </c>
      <c r="Y627" s="51"/>
      <c r="Z627" s="17"/>
      <c r="AA627" s="17"/>
      <c r="AB627" s="48">
        <f>AVERAGE(AB313:AB324)</f>
        <v>14.546901088011301</v>
      </c>
      <c r="AC627" s="45">
        <f>AVERAGE(AC313:AC324)</f>
        <v>14.321611750599521</v>
      </c>
    </row>
    <row r="628" spans="1:29" ht="15.75" x14ac:dyDescent="0.25">
      <c r="A628" s="11">
        <f t="shared" si="35"/>
        <v>2039</v>
      </c>
      <c r="B628" s="17">
        <f t="shared" ref="B628:S628" si="37">AVERAGE(B325:B336)</f>
        <v>15.043950000000001</v>
      </c>
      <c r="C628" s="17">
        <f t="shared" si="37"/>
        <v>15.050200000000002</v>
      </c>
      <c r="D628" s="17">
        <f t="shared" si="37"/>
        <v>15.254466666666668</v>
      </c>
      <c r="E628" s="17">
        <f t="shared" si="37"/>
        <v>15.286891666666667</v>
      </c>
      <c r="F628" s="17">
        <f t="shared" si="37"/>
        <v>15.064374999999998</v>
      </c>
      <c r="G628" s="17">
        <f t="shared" si="37"/>
        <v>15.081208333333336</v>
      </c>
      <c r="H628" s="17">
        <f t="shared" si="37"/>
        <v>15.276008333333335</v>
      </c>
      <c r="I628" s="17">
        <f t="shared" si="37"/>
        <v>15.112133333333333</v>
      </c>
      <c r="J628" s="17">
        <f t="shared" si="37"/>
        <v>15.057374999999999</v>
      </c>
      <c r="K628" s="52">
        <f t="shared" si="37"/>
        <v>15.107916666666666</v>
      </c>
      <c r="L628" s="17">
        <f t="shared" si="37"/>
        <v>15.863008333333333</v>
      </c>
      <c r="M628" s="17">
        <f t="shared" si="37"/>
        <v>14.794233333333333</v>
      </c>
      <c r="N628" s="17">
        <f t="shared" si="37"/>
        <v>14.810783333333333</v>
      </c>
      <c r="O628" s="17">
        <f t="shared" si="37"/>
        <v>15.008941666666667</v>
      </c>
      <c r="P628" s="17">
        <f t="shared" si="37"/>
        <v>14.847249999999997</v>
      </c>
      <c r="Q628" s="17">
        <f t="shared" si="37"/>
        <v>15.603641666666668</v>
      </c>
      <c r="R628" s="17">
        <f t="shared" si="37"/>
        <v>16.229633333333332</v>
      </c>
      <c r="S628" s="17">
        <f t="shared" si="37"/>
        <v>14.446208333333331</v>
      </c>
      <c r="T628" s="51">
        <f>SUM(T325:T336)</f>
        <v>357.33618100000001</v>
      </c>
      <c r="U628" s="51">
        <f>SUM(U325:U336)</f>
        <v>142.03263249999998</v>
      </c>
      <c r="V628" s="51">
        <f>SUM(V325:V336)</f>
        <v>50.187500000000007</v>
      </c>
      <c r="W628" s="51">
        <f>SUM(W325:W336)</f>
        <v>5.0822234999999996</v>
      </c>
      <c r="X628" s="51">
        <f>SUM(X325:X336)</f>
        <v>14.222225463999999</v>
      </c>
      <c r="Y628" s="51"/>
      <c r="Z628" s="54"/>
      <c r="AA628" s="53"/>
      <c r="AB628" s="48">
        <f>AVERAGE(AB325:AB336)</f>
        <v>15.108631980280931</v>
      </c>
      <c r="AC628" s="45">
        <f>AVERAGE(AC325:AC336)</f>
        <v>14.873355335731416</v>
      </c>
    </row>
    <row r="629" spans="1:29" ht="15.75" x14ac:dyDescent="0.25">
      <c r="A629" s="11">
        <f t="shared" si="35"/>
        <v>2040</v>
      </c>
      <c r="B629" s="17">
        <f t="shared" ref="B629:S629" si="38">AVERAGE(B337:B348)</f>
        <v>15.62735</v>
      </c>
      <c r="C629" s="17">
        <f t="shared" si="38"/>
        <v>15.633599999999999</v>
      </c>
      <c r="D629" s="17">
        <f t="shared" si="38"/>
        <v>15.837858333333335</v>
      </c>
      <c r="E629" s="17">
        <f t="shared" si="38"/>
        <v>15.870258333333334</v>
      </c>
      <c r="F629" s="17">
        <f t="shared" si="38"/>
        <v>15.64775833333333</v>
      </c>
      <c r="G629" s="17">
        <f t="shared" si="38"/>
        <v>15.664608333333332</v>
      </c>
      <c r="H629" s="17">
        <f t="shared" si="38"/>
        <v>15.859391666666665</v>
      </c>
      <c r="I629" s="17">
        <f t="shared" si="38"/>
        <v>15.697358333333334</v>
      </c>
      <c r="J629" s="17">
        <f t="shared" si="38"/>
        <v>15.640758333333332</v>
      </c>
      <c r="K629" s="52">
        <f t="shared" si="38"/>
        <v>15.693125</v>
      </c>
      <c r="L629" s="17">
        <f t="shared" si="38"/>
        <v>16.446391666666671</v>
      </c>
      <c r="M629" s="17">
        <f t="shared" si="38"/>
        <v>15.367125</v>
      </c>
      <c r="N629" s="17">
        <f t="shared" si="38"/>
        <v>15.383658333333335</v>
      </c>
      <c r="O629" s="17">
        <f t="shared" si="38"/>
        <v>15.581816666666667</v>
      </c>
      <c r="P629" s="17">
        <f t="shared" si="38"/>
        <v>15.421900000000001</v>
      </c>
      <c r="Q629" s="17">
        <f t="shared" si="38"/>
        <v>16.176516666666664</v>
      </c>
      <c r="R629" s="17">
        <f t="shared" si="38"/>
        <v>16.803966666666668</v>
      </c>
      <c r="S629" s="17">
        <f t="shared" si="38"/>
        <v>15.006783333333333</v>
      </c>
      <c r="T629" s="51">
        <f>SUM(T337:T348)</f>
        <v>358.26753550000001</v>
      </c>
      <c r="U629" s="51">
        <f>SUM(U337:U348)</f>
        <v>142.42176299999997</v>
      </c>
      <c r="V629" s="51">
        <f>SUM(V337:V348)</f>
        <v>50.325000000000003</v>
      </c>
      <c r="W629" s="51">
        <f>SUM(W337:W348)</f>
        <v>5.0961473999999995</v>
      </c>
      <c r="X629" s="51">
        <f>SUM(X337:X348)</f>
        <v>14.245965463999999</v>
      </c>
      <c r="Y629" s="51"/>
      <c r="Z629" s="54"/>
      <c r="AA629" s="53"/>
      <c r="AB629" s="48">
        <f>AVERAGE(AB337:AB348)</f>
        <v>15.692173239906161</v>
      </c>
      <c r="AC629" s="45">
        <f>AVERAGE(AC337:AC348)</f>
        <v>15.446490047961627</v>
      </c>
    </row>
    <row r="630" spans="1:29" ht="15.75" x14ac:dyDescent="0.25">
      <c r="A630" s="11">
        <f t="shared" si="35"/>
        <v>2041</v>
      </c>
      <c r="B630" s="17">
        <f t="shared" ref="B630:S630" si="39">AVERAGE(B349:B360)</f>
        <v>16.233358333333332</v>
      </c>
      <c r="C630" s="17">
        <f t="shared" si="39"/>
        <v>16.239625</v>
      </c>
      <c r="D630" s="17">
        <f t="shared" si="39"/>
        <v>16.443866666666665</v>
      </c>
      <c r="E630" s="17">
        <f t="shared" si="39"/>
        <v>16.476308333333336</v>
      </c>
      <c r="F630" s="17">
        <f t="shared" si="39"/>
        <v>16.253783333333335</v>
      </c>
      <c r="G630" s="17">
        <f t="shared" si="39"/>
        <v>16.270633333333333</v>
      </c>
      <c r="H630" s="17">
        <f t="shared" si="39"/>
        <v>16.465408333333333</v>
      </c>
      <c r="I630" s="17">
        <f t="shared" si="39"/>
        <v>16.305283333333332</v>
      </c>
      <c r="J630" s="17">
        <f t="shared" si="39"/>
        <v>16.246783333333333</v>
      </c>
      <c r="K630" s="52">
        <f t="shared" si="39"/>
        <v>16.301058333333334</v>
      </c>
      <c r="L630" s="17">
        <f t="shared" si="39"/>
        <v>17.052408333333336</v>
      </c>
      <c r="M630" s="17">
        <f t="shared" si="39"/>
        <v>15.962241666666666</v>
      </c>
      <c r="N630" s="17">
        <f t="shared" si="39"/>
        <v>15.978783333333332</v>
      </c>
      <c r="O630" s="17">
        <f t="shared" si="39"/>
        <v>16.176950000000001</v>
      </c>
      <c r="P630" s="17">
        <f t="shared" si="39"/>
        <v>16.018874999999998</v>
      </c>
      <c r="Q630" s="17">
        <f t="shared" si="39"/>
        <v>16.771650000000001</v>
      </c>
      <c r="R630" s="17">
        <f t="shared" si="39"/>
        <v>17.400591666666667</v>
      </c>
      <c r="S630" s="17">
        <f t="shared" si="39"/>
        <v>15.589125000000001</v>
      </c>
      <c r="T630" s="51">
        <f>SUM(T349:T360)</f>
        <v>357.33618100000001</v>
      </c>
      <c r="U630" s="51">
        <f>SUM(U349:U360)</f>
        <v>142.03263249999998</v>
      </c>
      <c r="V630" s="51">
        <f>SUM(V349:V360)</f>
        <v>50.187500000000007</v>
      </c>
      <c r="W630" s="51">
        <f>SUM(W349:W360)</f>
        <v>5.0822234999999996</v>
      </c>
      <c r="X630" s="51">
        <f>SUM(X349:X360)</f>
        <v>14.222225463999999</v>
      </c>
      <c r="Y630" s="51"/>
      <c r="Z630" s="54"/>
      <c r="AA630" s="53"/>
      <c r="AB630" s="48">
        <f>AVERAGE(AB349:AB360)</f>
        <v>16.298353296777048</v>
      </c>
      <c r="AC630" s="45">
        <f>AVERAGE(AC349:AC360)</f>
        <v>16.041879256594729</v>
      </c>
    </row>
    <row r="631" spans="1:29" ht="15.75" x14ac:dyDescent="0.25">
      <c r="A631" s="11">
        <f t="shared" si="35"/>
        <v>2042</v>
      </c>
      <c r="B631" s="17">
        <f t="shared" ref="B631:S631" si="40">AVERAGE(B361:B372)</f>
        <v>16.8629</v>
      </c>
      <c r="C631" s="17">
        <f t="shared" si="40"/>
        <v>16.869175000000002</v>
      </c>
      <c r="D631" s="17">
        <f t="shared" si="40"/>
        <v>17.073416666666667</v>
      </c>
      <c r="E631" s="17">
        <f t="shared" si="40"/>
        <v>17.105841666666667</v>
      </c>
      <c r="F631" s="17">
        <f t="shared" si="40"/>
        <v>16.883333333333336</v>
      </c>
      <c r="G631" s="17">
        <f t="shared" si="40"/>
        <v>16.900166666666664</v>
      </c>
      <c r="H631" s="17">
        <f t="shared" si="40"/>
        <v>17.094958333333334</v>
      </c>
      <c r="I631" s="17">
        <f t="shared" si="40"/>
        <v>16.936783333333334</v>
      </c>
      <c r="J631" s="17">
        <f t="shared" si="40"/>
        <v>16.876333333333331</v>
      </c>
      <c r="K631" s="52">
        <f t="shared" si="40"/>
        <v>16.932583333333334</v>
      </c>
      <c r="L631" s="17">
        <f t="shared" si="40"/>
        <v>17.681958333333338</v>
      </c>
      <c r="M631" s="17">
        <f t="shared" si="40"/>
        <v>16.580466666666666</v>
      </c>
      <c r="N631" s="17">
        <f t="shared" si="40"/>
        <v>16.597016666666669</v>
      </c>
      <c r="O631" s="17">
        <f t="shared" si="40"/>
        <v>16.79516666666667</v>
      </c>
      <c r="P631" s="17">
        <f t="shared" si="40"/>
        <v>16.638983333333332</v>
      </c>
      <c r="Q631" s="17">
        <f t="shared" si="40"/>
        <v>17.389866666666666</v>
      </c>
      <c r="R631" s="17">
        <f t="shared" si="40"/>
        <v>18.020333333333333</v>
      </c>
      <c r="S631" s="17">
        <f t="shared" si="40"/>
        <v>16.194033333333334</v>
      </c>
      <c r="T631" s="51">
        <f>SUM(T361:T372)</f>
        <v>357.33618100000001</v>
      </c>
      <c r="U631" s="51">
        <f>SUM(U361:U372)</f>
        <v>142.03263249999998</v>
      </c>
      <c r="V631" s="51">
        <f>SUM(V361:V372)</f>
        <v>50.187500000000007</v>
      </c>
      <c r="W631" s="51">
        <f>SUM(W361:W372)</f>
        <v>5.0822234999999996</v>
      </c>
      <c r="X631" s="51">
        <f>SUM(X361:X372)</f>
        <v>14.222225463999999</v>
      </c>
      <c r="Y631" s="51"/>
      <c r="Z631" s="54"/>
      <c r="AA631" s="53"/>
      <c r="AB631" s="48">
        <f>AVERAGE(AB361:AB372)</f>
        <v>16.928060642499279</v>
      </c>
      <c r="AC631" s="45">
        <f>AVERAGE(AC361:AC372)</f>
        <v>16.660376258992805</v>
      </c>
    </row>
    <row r="632" spans="1:29" ht="15.75" x14ac:dyDescent="0.25">
      <c r="A632" s="11">
        <f t="shared" si="35"/>
        <v>2043</v>
      </c>
      <c r="B632" s="17">
        <f t="shared" ref="B632:S632" si="41">AVERAGE(B373:B384)</f>
        <v>17.516883333333336</v>
      </c>
      <c r="C632" s="17">
        <f t="shared" si="41"/>
        <v>17.523150000000001</v>
      </c>
      <c r="D632" s="17">
        <f t="shared" si="41"/>
        <v>17.727383333333332</v>
      </c>
      <c r="E632" s="17">
        <f t="shared" si="41"/>
        <v>17.759808333333336</v>
      </c>
      <c r="F632" s="17">
        <f t="shared" si="41"/>
        <v>17.537291666666665</v>
      </c>
      <c r="G632" s="17">
        <f t="shared" si="41"/>
        <v>17.554141666666666</v>
      </c>
      <c r="H632" s="17">
        <f t="shared" si="41"/>
        <v>17.748925000000003</v>
      </c>
      <c r="I632" s="17">
        <f t="shared" si="41"/>
        <v>17.592816666666668</v>
      </c>
      <c r="J632" s="17">
        <f t="shared" si="41"/>
        <v>17.530291666666667</v>
      </c>
      <c r="K632" s="52">
        <f t="shared" si="41"/>
        <v>17.58859166666667</v>
      </c>
      <c r="L632" s="17">
        <f t="shared" si="41"/>
        <v>18.335925</v>
      </c>
      <c r="M632" s="17">
        <f t="shared" si="41"/>
        <v>17.222683333333336</v>
      </c>
      <c r="N632" s="17">
        <f t="shared" si="41"/>
        <v>17.239208333333334</v>
      </c>
      <c r="O632" s="17">
        <f t="shared" si="41"/>
        <v>17.437374999999999</v>
      </c>
      <c r="P632" s="17">
        <f t="shared" si="41"/>
        <v>17.283175</v>
      </c>
      <c r="Q632" s="17">
        <f t="shared" si="41"/>
        <v>18.032075000000003</v>
      </c>
      <c r="R632" s="17">
        <f t="shared" si="41"/>
        <v>18.664166666666663</v>
      </c>
      <c r="S632" s="17">
        <f t="shared" si="41"/>
        <v>16.822458333333334</v>
      </c>
      <c r="T632" s="51">
        <f>SUM(T373:T384)</f>
        <v>357.33618100000001</v>
      </c>
      <c r="U632" s="51">
        <f>SUM(U373:U384)</f>
        <v>142.03263249999998</v>
      </c>
      <c r="V632" s="51">
        <f>SUM(V373:V384)</f>
        <v>50.187500000000007</v>
      </c>
      <c r="W632" s="51">
        <f>SUM(W373:W384)</f>
        <v>5.0822234999999996</v>
      </c>
      <c r="X632" s="51">
        <f>SUM(X373:X384)</f>
        <v>14.222225463999999</v>
      </c>
      <c r="Y632" s="51"/>
      <c r="Z632" s="54"/>
      <c r="AA632" s="53"/>
      <c r="AB632" s="48">
        <f>AVERAGE(AB373:AB384)</f>
        <v>17.582199674591795</v>
      </c>
      <c r="AC632" s="45">
        <f>AVERAGE(AC373:AC384)</f>
        <v>17.302869004796161</v>
      </c>
    </row>
    <row r="633" spans="1:29" ht="15.75" x14ac:dyDescent="0.25">
      <c r="A633" s="11">
        <f t="shared" si="35"/>
        <v>2044</v>
      </c>
      <c r="B633" s="17">
        <f t="shared" ref="B633:S633" si="42">AVERAGE(B385:B396)</f>
        <v>18.196225000000002</v>
      </c>
      <c r="C633" s="17">
        <f t="shared" si="42"/>
        <v>18.202508333333331</v>
      </c>
      <c r="D633" s="17">
        <f t="shared" si="42"/>
        <v>18.406741666666665</v>
      </c>
      <c r="E633" s="17">
        <f t="shared" si="42"/>
        <v>18.439158333333332</v>
      </c>
      <c r="F633" s="17">
        <f t="shared" si="42"/>
        <v>18.216658333333331</v>
      </c>
      <c r="G633" s="17">
        <f t="shared" si="42"/>
        <v>18.233483333333336</v>
      </c>
      <c r="H633" s="17">
        <f t="shared" si="42"/>
        <v>18.428283333333336</v>
      </c>
      <c r="I633" s="17">
        <f t="shared" si="42"/>
        <v>18.274291666666667</v>
      </c>
      <c r="J633" s="17">
        <f t="shared" si="42"/>
        <v>18.209658333333334</v>
      </c>
      <c r="K633" s="52">
        <f t="shared" si="42"/>
        <v>18.270075000000002</v>
      </c>
      <c r="L633" s="17">
        <f t="shared" si="42"/>
        <v>19.015283333333333</v>
      </c>
      <c r="M633" s="17">
        <f t="shared" si="42"/>
        <v>17.889816666666665</v>
      </c>
      <c r="N633" s="17">
        <f t="shared" si="42"/>
        <v>17.906358333333333</v>
      </c>
      <c r="O633" s="17">
        <f t="shared" si="42"/>
        <v>18.104508333333335</v>
      </c>
      <c r="P633" s="17">
        <f t="shared" si="42"/>
        <v>17.952358333333333</v>
      </c>
      <c r="Q633" s="17">
        <f t="shared" si="42"/>
        <v>18.699208333333331</v>
      </c>
      <c r="R633" s="17">
        <f t="shared" si="42"/>
        <v>19.33295</v>
      </c>
      <c r="S633" s="17">
        <f t="shared" si="42"/>
        <v>17.475233333333335</v>
      </c>
      <c r="T633" s="51">
        <f>SUM(T385:T396)</f>
        <v>358.26753550000001</v>
      </c>
      <c r="U633" s="51">
        <f>SUM(U385:U396)</f>
        <v>142.42176299999997</v>
      </c>
      <c r="V633" s="51">
        <f>SUM(V385:V396)</f>
        <v>50.325000000000003</v>
      </c>
      <c r="W633" s="51">
        <f>SUM(W385:W396)</f>
        <v>5.0961473999999995</v>
      </c>
      <c r="X633" s="51">
        <f>SUM(X385:X396)</f>
        <v>14.245965463999999</v>
      </c>
      <c r="Y633" s="51"/>
      <c r="Z633" s="54"/>
      <c r="AA633" s="53"/>
      <c r="AB633" s="48">
        <f>AVERAGE(AB385:AB396)</f>
        <v>18.261731028413305</v>
      </c>
      <c r="AC633" s="45">
        <f>AVERAGE(AC385:AC396)</f>
        <v>17.97029970023981</v>
      </c>
    </row>
    <row r="634" spans="1:29" ht="15.75" x14ac:dyDescent="0.25">
      <c r="A634" s="11">
        <f t="shared" si="35"/>
        <v>2045</v>
      </c>
      <c r="B634" s="17">
        <f t="shared" ref="B634:S634" si="43">AVERAGE(B397:B408)</f>
        <v>18.901941666666666</v>
      </c>
      <c r="C634" s="17">
        <f t="shared" si="43"/>
        <v>18.908225000000002</v>
      </c>
      <c r="D634" s="17">
        <f t="shared" si="43"/>
        <v>19.112458333333333</v>
      </c>
      <c r="E634" s="17">
        <f t="shared" si="43"/>
        <v>19.144883333333336</v>
      </c>
      <c r="F634" s="17">
        <f t="shared" si="43"/>
        <v>18.922366666666665</v>
      </c>
      <c r="G634" s="17">
        <f t="shared" si="43"/>
        <v>18.939199999999996</v>
      </c>
      <c r="H634" s="17">
        <f t="shared" si="43"/>
        <v>19.133991666666667</v>
      </c>
      <c r="I634" s="17">
        <f t="shared" si="43"/>
        <v>18.982225</v>
      </c>
      <c r="J634" s="17">
        <f t="shared" si="43"/>
        <v>18.915366666666667</v>
      </c>
      <c r="K634" s="52">
        <f t="shared" si="43"/>
        <v>18.978008333333332</v>
      </c>
      <c r="L634" s="17">
        <f t="shared" si="43"/>
        <v>19.720991666666666</v>
      </c>
      <c r="M634" s="17">
        <f t="shared" si="43"/>
        <v>18.582833333333337</v>
      </c>
      <c r="N634" s="17">
        <f t="shared" si="43"/>
        <v>18.599366666666668</v>
      </c>
      <c r="O634" s="17">
        <f t="shared" si="43"/>
        <v>18.797524999999997</v>
      </c>
      <c r="P634" s="17">
        <f t="shared" si="43"/>
        <v>18.647508333333334</v>
      </c>
      <c r="Q634" s="17">
        <f t="shared" si="43"/>
        <v>19.392225</v>
      </c>
      <c r="R634" s="17">
        <f t="shared" si="43"/>
        <v>20.027725</v>
      </c>
      <c r="S634" s="17">
        <f t="shared" si="43"/>
        <v>18.153366666666663</v>
      </c>
      <c r="T634" s="51">
        <f>SUM(T397:T408)</f>
        <v>357.33618100000001</v>
      </c>
      <c r="U634" s="51">
        <f>SUM(U397:U408)</f>
        <v>142.03263249999998</v>
      </c>
      <c r="V634" s="51">
        <f>SUM(V397:V408)</f>
        <v>50.187500000000007</v>
      </c>
      <c r="W634" s="51">
        <f>SUM(W397:W408)</f>
        <v>5.0822234999999996</v>
      </c>
      <c r="X634" s="51">
        <f>SUM(X397:X408)</f>
        <v>14.222225463999999</v>
      </c>
      <c r="Y634" s="51"/>
      <c r="Z634" s="54"/>
      <c r="AA634" s="53"/>
      <c r="AB634" s="48">
        <f>AVERAGE(AB397:AB408)</f>
        <v>18.967628150882501</v>
      </c>
      <c r="AC634" s="45">
        <f>AVERAGE(AC397:AC408)</f>
        <v>18.663621402877698</v>
      </c>
    </row>
    <row r="635" spans="1:29" ht="15.75" x14ac:dyDescent="0.25">
      <c r="A635" s="11">
        <f t="shared" si="35"/>
        <v>2046</v>
      </c>
      <c r="B635" s="17">
        <f t="shared" ref="B635:S635" si="44">AVERAGE(B409:B420)</f>
        <v>19.635041666666666</v>
      </c>
      <c r="C635" s="17">
        <f t="shared" si="44"/>
        <v>19.641325000000002</v>
      </c>
      <c r="D635" s="17">
        <f t="shared" si="44"/>
        <v>19.845558333333333</v>
      </c>
      <c r="E635" s="17">
        <f t="shared" si="44"/>
        <v>19.877966666666666</v>
      </c>
      <c r="F635" s="17">
        <f t="shared" si="44"/>
        <v>19.655474999999999</v>
      </c>
      <c r="G635" s="17">
        <f t="shared" si="44"/>
        <v>19.672325000000001</v>
      </c>
      <c r="H635" s="17">
        <f t="shared" si="44"/>
        <v>19.867091666666671</v>
      </c>
      <c r="I635" s="17">
        <f t="shared" si="44"/>
        <v>19.717616666666668</v>
      </c>
      <c r="J635" s="17">
        <f t="shared" si="44"/>
        <v>19.648475000000001</v>
      </c>
      <c r="K635" s="52">
        <f t="shared" si="44"/>
        <v>19.713408333333334</v>
      </c>
      <c r="L635" s="17">
        <f t="shared" si="44"/>
        <v>20.454091666666667</v>
      </c>
      <c r="M635" s="17">
        <f t="shared" si="44"/>
        <v>19.30275</v>
      </c>
      <c r="N635" s="17">
        <f t="shared" si="44"/>
        <v>19.319291666666665</v>
      </c>
      <c r="O635" s="17">
        <f t="shared" si="44"/>
        <v>19.517441666666667</v>
      </c>
      <c r="P635" s="17">
        <f t="shared" si="44"/>
        <v>19.369641666666663</v>
      </c>
      <c r="Q635" s="17">
        <f t="shared" si="44"/>
        <v>20.11214166666667</v>
      </c>
      <c r="R635" s="17">
        <f t="shared" si="44"/>
        <v>20.749433333333332</v>
      </c>
      <c r="S635" s="17">
        <f t="shared" si="44"/>
        <v>18.857808333333331</v>
      </c>
      <c r="T635" s="51">
        <f>SUM(T409:T420)</f>
        <v>357.33618100000001</v>
      </c>
      <c r="U635" s="51">
        <f>SUM(U409:U420)</f>
        <v>142.03263249999998</v>
      </c>
      <c r="V635" s="51">
        <f>SUM(V409:V420)</f>
        <v>50.187500000000007</v>
      </c>
      <c r="W635" s="51">
        <f>SUM(W409:W420)</f>
        <v>5.0822234999999996</v>
      </c>
      <c r="X635" s="51">
        <f>SUM(X409:X420)</f>
        <v>14.222225463999999</v>
      </c>
      <c r="Y635" s="51"/>
      <c r="Z635" s="54"/>
      <c r="AA635" s="53"/>
      <c r="AB635" s="48">
        <f>AVERAGE(AB409:AB420)</f>
        <v>19.700919849570145</v>
      </c>
      <c r="AC635" s="45">
        <f>AVERAGE(AC409:AC420)</f>
        <v>19.383860371702639</v>
      </c>
    </row>
    <row r="636" spans="1:29" ht="15.75" x14ac:dyDescent="0.25">
      <c r="A636" s="11">
        <f t="shared" si="35"/>
        <v>2047</v>
      </c>
      <c r="B636" s="17">
        <f t="shared" ref="B636:S636" si="45">AVERAGE(B421:B432)</f>
        <v>20.396583333333336</v>
      </c>
      <c r="C636" s="17">
        <f t="shared" si="45"/>
        <v>20.402866666666668</v>
      </c>
      <c r="D636" s="17">
        <f t="shared" si="45"/>
        <v>20.607108333333336</v>
      </c>
      <c r="E636" s="17">
        <f t="shared" si="45"/>
        <v>20.639541666666666</v>
      </c>
      <c r="F636" s="17">
        <f t="shared" si="45"/>
        <v>20.417016666666665</v>
      </c>
      <c r="G636" s="17">
        <f t="shared" si="45"/>
        <v>20.433858333333333</v>
      </c>
      <c r="H636" s="17">
        <f t="shared" si="45"/>
        <v>20.62865</v>
      </c>
      <c r="I636" s="17">
        <f t="shared" si="45"/>
        <v>20.481541666666665</v>
      </c>
      <c r="J636" s="17">
        <f t="shared" si="45"/>
        <v>20.410016666666667</v>
      </c>
      <c r="K636" s="52">
        <f t="shared" si="45"/>
        <v>20.477333333333331</v>
      </c>
      <c r="L636" s="17">
        <f t="shared" si="45"/>
        <v>21.21565</v>
      </c>
      <c r="M636" s="17">
        <f t="shared" si="45"/>
        <v>20.050599999999999</v>
      </c>
      <c r="N636" s="17">
        <f t="shared" si="45"/>
        <v>20.067150000000002</v>
      </c>
      <c r="O636" s="17">
        <f t="shared" si="45"/>
        <v>20.2653</v>
      </c>
      <c r="P636" s="17">
        <f t="shared" si="45"/>
        <v>20.119800000000001</v>
      </c>
      <c r="Q636" s="17">
        <f t="shared" si="45"/>
        <v>20.86</v>
      </c>
      <c r="R636" s="17">
        <f t="shared" si="45"/>
        <v>21.499166666666667</v>
      </c>
      <c r="S636" s="17">
        <f t="shared" si="45"/>
        <v>19.589591666666667</v>
      </c>
      <c r="T636" s="51">
        <f>SUM(T421:T432)</f>
        <v>357.33618100000001</v>
      </c>
      <c r="U636" s="51">
        <f>SUM(U421:U432)</f>
        <v>142.03263249999998</v>
      </c>
      <c r="V636" s="51">
        <f>SUM(V421:V432)</f>
        <v>50.187500000000007</v>
      </c>
      <c r="W636" s="51">
        <f>SUM(W421:W432)</f>
        <v>5.0822234999999996</v>
      </c>
      <c r="X636" s="51">
        <f>SUM(X421:X432)</f>
        <v>14.222225463999999</v>
      </c>
      <c r="Y636" s="51"/>
      <c r="Z636" s="54"/>
      <c r="AA636" s="53"/>
      <c r="AB636" s="48">
        <f>AVERAGE(AB421:AB432)</f>
        <v>20.462661276785905</v>
      </c>
      <c r="AC636" s="45">
        <f>AVERAGE(AC421:AC432)</f>
        <v>20.132043884892088</v>
      </c>
    </row>
    <row r="637" spans="1:29" ht="15.75" x14ac:dyDescent="0.25">
      <c r="A637" s="11">
        <f t="shared" si="35"/>
        <v>2048</v>
      </c>
      <c r="B637" s="17">
        <f t="shared" ref="B637:S637" si="46">AVERAGE(B433:B444)</f>
        <v>21.187708333333333</v>
      </c>
      <c r="C637" s="17">
        <f t="shared" si="46"/>
        <v>21.193974999999998</v>
      </c>
      <c r="D637" s="17">
        <f t="shared" si="46"/>
        <v>21.398225</v>
      </c>
      <c r="E637" s="17">
        <f t="shared" si="46"/>
        <v>21.430625000000003</v>
      </c>
      <c r="F637" s="17">
        <f t="shared" si="46"/>
        <v>21.208124999999999</v>
      </c>
      <c r="G637" s="17">
        <f t="shared" si="46"/>
        <v>21.224974999999997</v>
      </c>
      <c r="H637" s="17">
        <f t="shared" si="46"/>
        <v>21.419758333333331</v>
      </c>
      <c r="I637" s="17">
        <f t="shared" si="46"/>
        <v>21.275141666666666</v>
      </c>
      <c r="J637" s="17">
        <f t="shared" si="46"/>
        <v>21.201125000000001</v>
      </c>
      <c r="K637" s="52">
        <f t="shared" si="46"/>
        <v>21.270908333333331</v>
      </c>
      <c r="L637" s="17">
        <f t="shared" si="46"/>
        <v>22.006758333333334</v>
      </c>
      <c r="M637" s="17">
        <f t="shared" si="46"/>
        <v>20.82748333333333</v>
      </c>
      <c r="N637" s="17">
        <f t="shared" si="46"/>
        <v>20.844024999999998</v>
      </c>
      <c r="O637" s="17">
        <f t="shared" si="46"/>
        <v>21.042166666666667</v>
      </c>
      <c r="P637" s="17">
        <f t="shared" si="46"/>
        <v>20.899049999999999</v>
      </c>
      <c r="Q637" s="17">
        <f t="shared" si="46"/>
        <v>21.636866666666673</v>
      </c>
      <c r="R637" s="17">
        <f t="shared" si="46"/>
        <v>22.277974999999998</v>
      </c>
      <c r="S637" s="17">
        <f t="shared" si="46"/>
        <v>20.34975833333333</v>
      </c>
      <c r="T637" s="51">
        <f>SUM(T433:T444)</f>
        <v>358.26753550000001</v>
      </c>
      <c r="U637" s="51">
        <f>SUM(U433:U444)</f>
        <v>142.42176299999997</v>
      </c>
      <c r="V637" s="51">
        <f>SUM(V433:V444)</f>
        <v>50.325000000000003</v>
      </c>
      <c r="W637" s="51">
        <f>SUM(W433:W444)</f>
        <v>5.0961473999999995</v>
      </c>
      <c r="X637" s="51">
        <f>SUM(X433:X444)</f>
        <v>14.245965463999999</v>
      </c>
      <c r="Y637" s="51"/>
      <c r="Z637" s="54"/>
      <c r="AA637" s="53"/>
      <c r="AB637" s="48">
        <f>AVERAGE(AB433:AB444)</f>
        <v>21.253976868448536</v>
      </c>
      <c r="AC637" s="45">
        <f>AVERAGE(AC433:AC444)</f>
        <v>20.909264028776978</v>
      </c>
    </row>
    <row r="638" spans="1:29" ht="15.75" x14ac:dyDescent="0.25">
      <c r="A638" s="11">
        <f t="shared" si="35"/>
        <v>2049</v>
      </c>
      <c r="B638" s="17">
        <f t="shared" ref="B638:S638" si="47">AVERAGE(B445:B456)</f>
        <v>22.009508333333333</v>
      </c>
      <c r="C638" s="17">
        <f t="shared" si="47"/>
        <v>22.015766666666668</v>
      </c>
      <c r="D638" s="17">
        <f t="shared" si="47"/>
        <v>22.220025000000003</v>
      </c>
      <c r="E638" s="17">
        <f t="shared" si="47"/>
        <v>22.25245</v>
      </c>
      <c r="F638" s="17">
        <f t="shared" si="47"/>
        <v>22.029941666666669</v>
      </c>
      <c r="G638" s="17">
        <f t="shared" si="47"/>
        <v>22.04676666666667</v>
      </c>
      <c r="H638" s="17">
        <f t="shared" si="47"/>
        <v>22.241558333333334</v>
      </c>
      <c r="I638" s="17">
        <f t="shared" si="47"/>
        <v>22.099524999999996</v>
      </c>
      <c r="J638" s="17">
        <f t="shared" si="47"/>
        <v>22.022941666666668</v>
      </c>
      <c r="K638" s="52">
        <f t="shared" si="47"/>
        <v>22.095283333333327</v>
      </c>
      <c r="L638" s="17">
        <f t="shared" si="47"/>
        <v>22.828558333333334</v>
      </c>
      <c r="M638" s="17">
        <f t="shared" si="47"/>
        <v>21.63450833333334</v>
      </c>
      <c r="N638" s="17">
        <f t="shared" si="47"/>
        <v>21.651049999999998</v>
      </c>
      <c r="O638" s="17">
        <f t="shared" si="47"/>
        <v>21.849191666666666</v>
      </c>
      <c r="P638" s="17">
        <f t="shared" si="47"/>
        <v>21.708558333333333</v>
      </c>
      <c r="Q638" s="17">
        <f t="shared" si="47"/>
        <v>22.443891666666669</v>
      </c>
      <c r="R638" s="17">
        <f t="shared" si="47"/>
        <v>23.087024999999997</v>
      </c>
      <c r="S638" s="17">
        <f t="shared" si="47"/>
        <v>21.139416666666666</v>
      </c>
      <c r="T638" s="51">
        <f>SUM(T445:T456)</f>
        <v>357.33618100000001</v>
      </c>
      <c r="U638" s="51">
        <f>SUM(U445:U456)</f>
        <v>142.03263249999998</v>
      </c>
      <c r="V638" s="51">
        <f>SUM(V445:V456)</f>
        <v>50.187500000000007</v>
      </c>
      <c r="W638" s="51">
        <f>SUM(W445:W456)</f>
        <v>5.0822234999999996</v>
      </c>
      <c r="X638" s="51">
        <f>SUM(X445:X456)</f>
        <v>14.222225463999999</v>
      </c>
      <c r="Y638" s="51"/>
      <c r="Z638" s="54"/>
      <c r="AA638" s="53"/>
      <c r="AB638" s="48">
        <f>AVERAGE(AB445:AB456)</f>
        <v>22.075993563518594</v>
      </c>
      <c r="AC638" s="45">
        <f>AVERAGE(AC445:AC456)</f>
        <v>21.716644904076741</v>
      </c>
    </row>
    <row r="639" spans="1:29" ht="15.75" x14ac:dyDescent="0.25">
      <c r="A639" s="11">
        <f t="shared" si="35"/>
        <v>2050</v>
      </c>
      <c r="B639" s="17">
        <f t="shared" ref="B639:S639" si="48">AVERAGE(B457:B468)</f>
        <v>22.863200000000003</v>
      </c>
      <c r="C639" s="17">
        <f t="shared" si="48"/>
        <v>22.869458333333331</v>
      </c>
      <c r="D639" s="17">
        <f t="shared" si="48"/>
        <v>23.07371666666667</v>
      </c>
      <c r="E639" s="17">
        <f t="shared" si="48"/>
        <v>23.10615</v>
      </c>
      <c r="F639" s="17">
        <f t="shared" si="48"/>
        <v>22.883633333333336</v>
      </c>
      <c r="G639" s="17">
        <f t="shared" si="48"/>
        <v>22.900466666666663</v>
      </c>
      <c r="H639" s="17">
        <f t="shared" si="48"/>
        <v>23.095258333333334</v>
      </c>
      <c r="I639" s="17">
        <f t="shared" si="48"/>
        <v>22.95589166666667</v>
      </c>
      <c r="J639" s="17">
        <f t="shared" si="48"/>
        <v>22.876633333333334</v>
      </c>
      <c r="K639" s="52">
        <f t="shared" si="48"/>
        <v>22.951650000000001</v>
      </c>
      <c r="L639" s="17">
        <f t="shared" si="48"/>
        <v>23.682258333333337</v>
      </c>
      <c r="M639" s="17">
        <f t="shared" si="48"/>
        <v>22.472841666666667</v>
      </c>
      <c r="N639" s="17">
        <f t="shared" si="48"/>
        <v>22.489366666666669</v>
      </c>
      <c r="O639" s="17">
        <f t="shared" si="48"/>
        <v>22.687533333333334</v>
      </c>
      <c r="P639" s="17">
        <f t="shared" si="48"/>
        <v>22.549475000000001</v>
      </c>
      <c r="Q639" s="17">
        <f t="shared" si="48"/>
        <v>23.282233333333334</v>
      </c>
      <c r="R639" s="17">
        <f t="shared" si="48"/>
        <v>23.927433333333337</v>
      </c>
      <c r="S639" s="17">
        <f t="shared" si="48"/>
        <v>21.959741666666662</v>
      </c>
      <c r="T639" s="51">
        <f>SUM(T457:T468)</f>
        <v>357.33618100000001</v>
      </c>
      <c r="U639" s="51">
        <f>SUM(U457:U468)</f>
        <v>142.03263249999998</v>
      </c>
      <c r="V639" s="51">
        <f>SUM(V457:V468)</f>
        <v>50.187500000000007</v>
      </c>
      <c r="W639" s="51">
        <f>SUM(W457:W468)</f>
        <v>5.0822234999999996</v>
      </c>
      <c r="X639" s="51">
        <f>SUM(X457:X468)</f>
        <v>14.222225463999999</v>
      </c>
      <c r="Y639" s="51"/>
      <c r="Z639" s="54"/>
      <c r="AA639" s="53"/>
      <c r="AB639" s="48">
        <f>AVERAGE(AB457:AB468)</f>
        <v>22.929907798217627</v>
      </c>
      <c r="AC639" s="45">
        <f>AVERAGE(AC457:AC468)</f>
        <v>22.555351318944844</v>
      </c>
    </row>
    <row r="640" spans="1:29" ht="15.75" x14ac:dyDescent="0.25">
      <c r="A640" s="11">
        <f t="shared" si="35"/>
        <v>2051</v>
      </c>
      <c r="B640" s="17">
        <f t="shared" ref="B640:S640" si="49">AVERAGE(B469:B480)</f>
        <v>23.750033333333331</v>
      </c>
      <c r="C640" s="17">
        <f t="shared" si="49"/>
        <v>23.756283333333339</v>
      </c>
      <c r="D640" s="17">
        <f t="shared" si="49"/>
        <v>23.960549999999998</v>
      </c>
      <c r="E640" s="17">
        <f t="shared" si="49"/>
        <v>23.992966666666664</v>
      </c>
      <c r="F640" s="17">
        <f t="shared" si="49"/>
        <v>23.770433333333333</v>
      </c>
      <c r="G640" s="17">
        <f t="shared" si="49"/>
        <v>23.787283333333331</v>
      </c>
      <c r="H640" s="17">
        <f t="shared" si="49"/>
        <v>23.982091666666662</v>
      </c>
      <c r="I640" s="17">
        <f t="shared" si="49"/>
        <v>23.845474999999997</v>
      </c>
      <c r="J640" s="17">
        <f t="shared" si="49"/>
        <v>23.763433333333328</v>
      </c>
      <c r="K640" s="52">
        <f t="shared" si="49"/>
        <v>23.841274999999996</v>
      </c>
      <c r="L640" s="17">
        <f t="shared" si="49"/>
        <v>24.569091666666662</v>
      </c>
      <c r="M640" s="17">
        <f t="shared" si="49"/>
        <v>23.343724999999996</v>
      </c>
      <c r="N640" s="17">
        <f t="shared" si="49"/>
        <v>23.360258333333331</v>
      </c>
      <c r="O640" s="17">
        <f t="shared" si="49"/>
        <v>23.55841666666667</v>
      </c>
      <c r="P640" s="17">
        <f t="shared" si="49"/>
        <v>23.423033333333333</v>
      </c>
      <c r="Q640" s="17">
        <f t="shared" si="49"/>
        <v>24.153116666666662</v>
      </c>
      <c r="R640" s="17">
        <f t="shared" si="49"/>
        <v>24.8005</v>
      </c>
      <c r="S640" s="17">
        <f t="shared" si="49"/>
        <v>22.811908333333339</v>
      </c>
      <c r="T640" s="51">
        <f>SUM(T469:T480)</f>
        <v>357.33618100000001</v>
      </c>
      <c r="U640" s="51">
        <f>SUM(U469:U480)</f>
        <v>142.03263249999998</v>
      </c>
      <c r="V640" s="51">
        <f>SUM(V469:V480)</f>
        <v>50.187500000000007</v>
      </c>
      <c r="W640" s="51">
        <f>SUM(W469:W480)</f>
        <v>5.0822234999999996</v>
      </c>
      <c r="X640" s="51">
        <f>SUM(X469:X480)</f>
        <v>14.222225463999999</v>
      </c>
      <c r="Y640" s="51"/>
      <c r="Z640" s="54"/>
      <c r="AA640" s="53"/>
      <c r="AB640" s="48">
        <f>AVERAGE(AB469:AB480)</f>
        <v>23.816953542622301</v>
      </c>
      <c r="AC640" s="45">
        <f>AVERAGE(AC469:AC480)</f>
        <v>23.426620023980814</v>
      </c>
    </row>
    <row r="641" spans="1:29" ht="15.75" x14ac:dyDescent="0.25">
      <c r="A641" s="11">
        <f t="shared" si="35"/>
        <v>2052</v>
      </c>
      <c r="B641" s="17">
        <f t="shared" ref="B641:S641" si="50">AVERAGE(B481:B492)</f>
        <v>24.671258333333331</v>
      </c>
      <c r="C641" s="17">
        <f t="shared" si="50"/>
        <v>24.677524999999999</v>
      </c>
      <c r="D641" s="17">
        <f t="shared" si="50"/>
        <v>24.881783333333331</v>
      </c>
      <c r="E641" s="17">
        <f t="shared" si="50"/>
        <v>24.914200000000005</v>
      </c>
      <c r="F641" s="17">
        <f t="shared" si="50"/>
        <v>24.691675</v>
      </c>
      <c r="G641" s="17">
        <f t="shared" si="50"/>
        <v>24.708541666666665</v>
      </c>
      <c r="H641" s="17">
        <f t="shared" si="50"/>
        <v>24.903316666666669</v>
      </c>
      <c r="I641" s="17">
        <f t="shared" si="50"/>
        <v>24.769616666666668</v>
      </c>
      <c r="J641" s="17">
        <f t="shared" si="50"/>
        <v>24.684674999999999</v>
      </c>
      <c r="K641" s="52">
        <f t="shared" si="50"/>
        <v>24.765383333333332</v>
      </c>
      <c r="L641" s="17">
        <f t="shared" si="50"/>
        <v>25.490316666666661</v>
      </c>
      <c r="M641" s="17">
        <f t="shared" si="50"/>
        <v>24.248383333333333</v>
      </c>
      <c r="N641" s="17">
        <f t="shared" si="50"/>
        <v>24.264924999999995</v>
      </c>
      <c r="O641" s="17">
        <f t="shared" si="50"/>
        <v>24.463066666666666</v>
      </c>
      <c r="P641" s="17">
        <f t="shared" si="50"/>
        <v>24.330483333333337</v>
      </c>
      <c r="Q641" s="17">
        <f t="shared" si="50"/>
        <v>25.057766666666666</v>
      </c>
      <c r="R641" s="17">
        <f t="shared" si="50"/>
        <v>25.707433333333327</v>
      </c>
      <c r="S641" s="17">
        <f t="shared" si="50"/>
        <v>23.697108333333333</v>
      </c>
      <c r="T641" s="51">
        <f>SUM(T481:T492)</f>
        <v>358.26753550000001</v>
      </c>
      <c r="U641" s="51">
        <f>SUM(U481:U492)</f>
        <v>142.42176299999997</v>
      </c>
      <c r="V641" s="51">
        <f>SUM(V481:V492)</f>
        <v>50.325000000000003</v>
      </c>
      <c r="W641" s="51">
        <f>SUM(W481:W492)</f>
        <v>5.0961473999999995</v>
      </c>
      <c r="X641" s="51">
        <f>SUM(X481:X492)</f>
        <v>14.245965463999999</v>
      </c>
      <c r="Y641" s="51"/>
      <c r="Z641" s="54"/>
      <c r="AA641" s="53"/>
      <c r="AB641" s="48">
        <f>AVERAGE(AB481:AB492)</f>
        <v>24.73843118766386</v>
      </c>
      <c r="AC641" s="45">
        <f>AVERAGE(AC481:AC492)</f>
        <v>24.331678177458034</v>
      </c>
    </row>
    <row r="642" spans="1:29" ht="15.75" x14ac:dyDescent="0.25">
      <c r="A642" s="11">
        <f t="shared" si="35"/>
        <v>2053</v>
      </c>
      <c r="B642" s="17">
        <f t="shared" ref="B642:S642" si="51">AVERAGE(B493:B504)</f>
        <v>25.628241666666668</v>
      </c>
      <c r="C642" s="17">
        <f t="shared" si="51"/>
        <v>25.63451666666667</v>
      </c>
      <c r="D642" s="17">
        <f t="shared" si="51"/>
        <v>25.838783333333328</v>
      </c>
      <c r="E642" s="17">
        <f t="shared" si="51"/>
        <v>25.871191666666665</v>
      </c>
      <c r="F642" s="17">
        <f t="shared" si="51"/>
        <v>25.648658333333334</v>
      </c>
      <c r="G642" s="17">
        <f t="shared" si="51"/>
        <v>25.665524999999999</v>
      </c>
      <c r="H642" s="17">
        <f t="shared" si="51"/>
        <v>25.860324999999992</v>
      </c>
      <c r="I642" s="17">
        <f t="shared" si="51"/>
        <v>25.729591666666664</v>
      </c>
      <c r="J642" s="17">
        <f t="shared" si="51"/>
        <v>25.641658333333336</v>
      </c>
      <c r="K642" s="52">
        <f t="shared" si="51"/>
        <v>25.725374999999996</v>
      </c>
      <c r="L642" s="17">
        <f t="shared" si="51"/>
        <v>26.447324999999996</v>
      </c>
      <c r="M642" s="17">
        <f t="shared" si="51"/>
        <v>25.18815833333333</v>
      </c>
      <c r="N642" s="17">
        <f t="shared" si="51"/>
        <v>25.204683333333332</v>
      </c>
      <c r="O642" s="17">
        <f t="shared" si="51"/>
        <v>25.402858333333331</v>
      </c>
      <c r="P642" s="17">
        <f t="shared" si="51"/>
        <v>25.273149999999998</v>
      </c>
      <c r="Q642" s="17">
        <f t="shared" si="51"/>
        <v>25.997558333333327</v>
      </c>
      <c r="R642" s="17">
        <f t="shared" si="51"/>
        <v>26.649566666666669</v>
      </c>
      <c r="S642" s="17">
        <f t="shared" si="51"/>
        <v>24.616675000000004</v>
      </c>
      <c r="T642" s="51">
        <f>SUM(T493:T504)</f>
        <v>357.33618100000001</v>
      </c>
      <c r="U642" s="51">
        <f>SUM(U493:U504)</f>
        <v>142.03263249999998</v>
      </c>
      <c r="V642" s="51">
        <f>SUM(V493:V504)</f>
        <v>50.187500000000007</v>
      </c>
      <c r="W642" s="51">
        <f>SUM(W493:W504)</f>
        <v>5.0822234999999996</v>
      </c>
      <c r="X642" s="51">
        <f>SUM(X493:X504)</f>
        <v>14.222225463999999</v>
      </c>
      <c r="Y642" s="51"/>
      <c r="Z642" s="54"/>
      <c r="AA642" s="53"/>
      <c r="AB642" s="48">
        <f>AVERAGE(AB493:AB504)</f>
        <v>25.695665573046593</v>
      </c>
      <c r="AC642" s="45">
        <f>AVERAGE(AC493:AC504)</f>
        <v>25.271872961630702</v>
      </c>
    </row>
    <row r="643" spans="1:29" ht="15.75" x14ac:dyDescent="0.25">
      <c r="A643" s="11">
        <f t="shared" si="35"/>
        <v>2054</v>
      </c>
      <c r="B643" s="17">
        <f t="shared" ref="B643:S643" si="52">AVERAGE(B505:B516)</f>
        <v>26.622374999999995</v>
      </c>
      <c r="C643" s="17">
        <f t="shared" si="52"/>
        <v>26.628650000000004</v>
      </c>
      <c r="D643" s="17">
        <f t="shared" si="52"/>
        <v>26.832891666666669</v>
      </c>
      <c r="E643" s="17">
        <f t="shared" si="52"/>
        <v>26.865308333333335</v>
      </c>
      <c r="F643" s="17">
        <f t="shared" si="52"/>
        <v>26.642808333333335</v>
      </c>
      <c r="G643" s="17">
        <f t="shared" si="52"/>
        <v>26.659641666666669</v>
      </c>
      <c r="H643" s="17">
        <f t="shared" si="52"/>
        <v>26.854433333333329</v>
      </c>
      <c r="I643" s="17">
        <f t="shared" si="52"/>
        <v>26.726825000000002</v>
      </c>
      <c r="J643" s="17">
        <f t="shared" si="52"/>
        <v>26.635808333333333</v>
      </c>
      <c r="K643" s="52">
        <f t="shared" si="52"/>
        <v>26.72260833333333</v>
      </c>
      <c r="L643" s="17">
        <f t="shared" si="52"/>
        <v>27.441433333333336</v>
      </c>
      <c r="M643" s="17">
        <f t="shared" si="52"/>
        <v>26.164416666666671</v>
      </c>
      <c r="N643" s="17">
        <f t="shared" si="52"/>
        <v>26.180949999999999</v>
      </c>
      <c r="O643" s="17">
        <f t="shared" si="52"/>
        <v>26.379100000000005</v>
      </c>
      <c r="P643" s="17">
        <f t="shared" si="52"/>
        <v>26.252399999999998</v>
      </c>
      <c r="Q643" s="17">
        <f t="shared" si="52"/>
        <v>26.973800000000001</v>
      </c>
      <c r="R643" s="17">
        <f t="shared" si="52"/>
        <v>27.628225</v>
      </c>
      <c r="S643" s="17">
        <f t="shared" si="52"/>
        <v>25.571933333333334</v>
      </c>
      <c r="T643" s="51">
        <f>SUM(T505:T516)</f>
        <v>357.33618100000001</v>
      </c>
      <c r="U643" s="51">
        <f>SUM(U505:U516)</f>
        <v>142.03263249999998</v>
      </c>
      <c r="V643" s="51">
        <f>SUM(V505:V516)</f>
        <v>50.187500000000007</v>
      </c>
      <c r="W643" s="51">
        <f>SUM(W505:W516)</f>
        <v>5.0822234999999996</v>
      </c>
      <c r="X643" s="51">
        <f>SUM(X505:X516)</f>
        <v>14.222225463999999</v>
      </c>
      <c r="Y643" s="51"/>
      <c r="Z643" s="50"/>
      <c r="AA643" s="49"/>
      <c r="AB643" s="48">
        <f>AVERAGE(AB505:AB516)</f>
        <v>26.690053587398172</v>
      </c>
      <c r="AC643" s="45">
        <f>AVERAGE(AC505:AC516)</f>
        <v>26.248557553956832</v>
      </c>
    </row>
    <row r="644" spans="1:29" ht="15.75" x14ac:dyDescent="0.25">
      <c r="A644" s="11">
        <f t="shared" si="35"/>
        <v>2055</v>
      </c>
      <c r="B644" s="17">
        <f t="shared" ref="B644:S644" si="53">AVERAGE(B517:B528)</f>
        <v>27.655075</v>
      </c>
      <c r="C644" s="17">
        <f t="shared" si="53"/>
        <v>27.661358333333336</v>
      </c>
      <c r="D644" s="17">
        <f t="shared" si="53"/>
        <v>27.865591666666671</v>
      </c>
      <c r="E644" s="17">
        <f t="shared" si="53"/>
        <v>27.898016666666667</v>
      </c>
      <c r="F644" s="17">
        <f t="shared" si="53"/>
        <v>27.67550833333333</v>
      </c>
      <c r="G644" s="17">
        <f t="shared" si="53"/>
        <v>27.692350000000001</v>
      </c>
      <c r="H644" s="17">
        <f t="shared" si="53"/>
        <v>27.887133333333335</v>
      </c>
      <c r="I644" s="17">
        <f t="shared" si="53"/>
        <v>27.762791666666669</v>
      </c>
      <c r="J644" s="17">
        <f t="shared" si="53"/>
        <v>27.668508333333325</v>
      </c>
      <c r="K644" s="52">
        <f t="shared" si="53"/>
        <v>27.75855833333334</v>
      </c>
      <c r="L644" s="17">
        <f t="shared" si="53"/>
        <v>28.474133333333331</v>
      </c>
      <c r="M644" s="17">
        <f t="shared" si="53"/>
        <v>27.178533333333331</v>
      </c>
      <c r="N644" s="17">
        <f t="shared" si="53"/>
        <v>27.195074999999999</v>
      </c>
      <c r="O644" s="17">
        <f t="shared" si="53"/>
        <v>27.393224999999997</v>
      </c>
      <c r="P644" s="17">
        <f t="shared" si="53"/>
        <v>27.269633333333335</v>
      </c>
      <c r="Q644" s="17">
        <f t="shared" si="53"/>
        <v>27.987925000000001</v>
      </c>
      <c r="R644" s="17">
        <f t="shared" si="53"/>
        <v>28.644891666666666</v>
      </c>
      <c r="S644" s="17">
        <f t="shared" si="53"/>
        <v>26.564249999999998</v>
      </c>
      <c r="T644" s="51">
        <f>SUM(T517:T528)</f>
        <v>357.33618100000001</v>
      </c>
      <c r="U644" s="51">
        <f>SUM(U517:U528)</f>
        <v>142.03263249999998</v>
      </c>
      <c r="V644" s="51">
        <f>SUM(V517:V528)</f>
        <v>50.187500000000007</v>
      </c>
      <c r="W644" s="51">
        <f>SUM(W517:W528)</f>
        <v>5.0822234999999996</v>
      </c>
      <c r="X644" s="51">
        <f>SUM(X517:X528)</f>
        <v>14.222225463999999</v>
      </c>
      <c r="Y644" s="51"/>
      <c r="Z644" s="50"/>
      <c r="AA644" s="49"/>
      <c r="AB644" s="48">
        <f>AVERAGE(AB517:AB528)</f>
        <v>27.723026036501626</v>
      </c>
      <c r="AC644" s="45">
        <f>AVERAGE(AC517:AC528)</f>
        <v>27.263126918465229</v>
      </c>
    </row>
    <row r="645" spans="1:29" ht="15.75" x14ac:dyDescent="0.25">
      <c r="A645" s="11">
        <f t="shared" si="35"/>
        <v>2056</v>
      </c>
      <c r="B645" s="17">
        <f t="shared" ref="B645:S645" si="54">AVERAGE(B529:B540)</f>
        <v>28.727875000000001</v>
      </c>
      <c r="C645" s="17">
        <f t="shared" si="54"/>
        <v>28.73414166666667</v>
      </c>
      <c r="D645" s="17">
        <f t="shared" si="54"/>
        <v>28.938383333333338</v>
      </c>
      <c r="E645" s="17">
        <f t="shared" si="54"/>
        <v>28.970800000000001</v>
      </c>
      <c r="F645" s="17">
        <f t="shared" si="54"/>
        <v>28.748283333333333</v>
      </c>
      <c r="G645" s="17">
        <f t="shared" si="54"/>
        <v>28.765116666666668</v>
      </c>
      <c r="H645" s="17">
        <f t="shared" si="54"/>
        <v>28.959916666666668</v>
      </c>
      <c r="I645" s="17">
        <f t="shared" si="54"/>
        <v>28.838925</v>
      </c>
      <c r="J645" s="17">
        <f t="shared" si="54"/>
        <v>28.741283333333328</v>
      </c>
      <c r="K645" s="52">
        <f t="shared" si="54"/>
        <v>28.834691666666668</v>
      </c>
      <c r="L645" s="17">
        <f t="shared" si="54"/>
        <v>29.546916666666672</v>
      </c>
      <c r="M645" s="17">
        <f t="shared" si="54"/>
        <v>28.232016666666667</v>
      </c>
      <c r="N645" s="17">
        <f t="shared" si="54"/>
        <v>28.248574999999999</v>
      </c>
      <c r="O645" s="17">
        <f t="shared" si="54"/>
        <v>28.446716666666671</v>
      </c>
      <c r="P645" s="17">
        <f t="shared" si="54"/>
        <v>28.326358333333335</v>
      </c>
      <c r="Q645" s="17">
        <f t="shared" si="54"/>
        <v>29.041416666666667</v>
      </c>
      <c r="R645" s="17">
        <f t="shared" si="54"/>
        <v>29.701024999999998</v>
      </c>
      <c r="S645" s="17">
        <f t="shared" si="54"/>
        <v>27.595108333333332</v>
      </c>
      <c r="T645" s="51">
        <f>SUM(T529:T540)</f>
        <v>358.26753550000001</v>
      </c>
      <c r="U645" s="51">
        <f>SUM(U529:U540)</f>
        <v>142.42176299999997</v>
      </c>
      <c r="V645" s="51">
        <f>SUM(V529:V540)</f>
        <v>50.325000000000003</v>
      </c>
      <c r="W645" s="51">
        <f>SUM(W529:W540)</f>
        <v>5.0961473999999995</v>
      </c>
      <c r="X645" s="51">
        <f>SUM(X529:X540)</f>
        <v>14.245965463999999</v>
      </c>
      <c r="Y645" s="51"/>
      <c r="Z645" s="50"/>
      <c r="AA645" s="49"/>
      <c r="AB645" s="48">
        <f>AVERAGE(AB529:AB540)</f>
        <v>28.796084856566583</v>
      </c>
      <c r="AC645" s="45">
        <f>AVERAGE(AC529:AC540)</f>
        <v>28.317081414868102</v>
      </c>
    </row>
    <row r="646" spans="1:29" ht="15.75" x14ac:dyDescent="0.25">
      <c r="A646" s="11">
        <f t="shared" si="35"/>
        <v>2057</v>
      </c>
      <c r="B646" s="17">
        <f t="shared" ref="B646:S646" si="55">AVERAGE(B541:B552)</f>
        <v>29.842283333333327</v>
      </c>
      <c r="C646" s="17">
        <f t="shared" si="55"/>
        <v>29.848541666666666</v>
      </c>
      <c r="D646" s="17">
        <f t="shared" si="55"/>
        <v>30.052791666666668</v>
      </c>
      <c r="E646" s="17">
        <f t="shared" si="55"/>
        <v>30.0852</v>
      </c>
      <c r="F646" s="17">
        <f t="shared" si="55"/>
        <v>29.8627</v>
      </c>
      <c r="G646" s="17">
        <f t="shared" si="55"/>
        <v>29.879550000000005</v>
      </c>
      <c r="H646" s="17">
        <f t="shared" si="55"/>
        <v>30.074324999999998</v>
      </c>
      <c r="I646" s="17">
        <f t="shared" si="55"/>
        <v>29.956816666666668</v>
      </c>
      <c r="J646" s="17">
        <f t="shared" si="55"/>
        <v>29.855700000000002</v>
      </c>
      <c r="K646" s="52">
        <f t="shared" si="55"/>
        <v>29.952583333333333</v>
      </c>
      <c r="L646" s="17">
        <f t="shared" si="55"/>
        <v>30.661325000000001</v>
      </c>
      <c r="M646" s="17">
        <f t="shared" si="55"/>
        <v>29.326383333333339</v>
      </c>
      <c r="N646" s="17">
        <f t="shared" si="55"/>
        <v>29.342941666666661</v>
      </c>
      <c r="O646" s="17">
        <f t="shared" si="55"/>
        <v>29.541091666666663</v>
      </c>
      <c r="P646" s="17">
        <f t="shared" si="55"/>
        <v>29.424108333333336</v>
      </c>
      <c r="Q646" s="17">
        <f t="shared" si="55"/>
        <v>30.135791666666666</v>
      </c>
      <c r="R646" s="17">
        <f t="shared" si="55"/>
        <v>30.798108333333335</v>
      </c>
      <c r="S646" s="17">
        <f t="shared" si="55"/>
        <v>28.665925000000001</v>
      </c>
      <c r="T646" s="51">
        <f>SUM(T541:T552)</f>
        <v>357.33618100000001</v>
      </c>
      <c r="U646" s="51">
        <f>SUM(U541:U552)</f>
        <v>142.03263249999998</v>
      </c>
      <c r="V646" s="51">
        <f>SUM(V541:V552)</f>
        <v>50.187500000000007</v>
      </c>
      <c r="W646" s="51">
        <f>SUM(W541:W552)</f>
        <v>5.0822234999999996</v>
      </c>
      <c r="X646" s="51">
        <f>SUM(X541:X552)</f>
        <v>14.222225463999999</v>
      </c>
      <c r="Y646" s="51"/>
      <c r="Z646" s="50"/>
      <c r="AA646" s="49"/>
      <c r="AB646" s="48">
        <f>AVERAGE(AB541:AB552)</f>
        <v>29.910781328828786</v>
      </c>
      <c r="AC646" s="45">
        <f>AVERAGE(AC541:AC552)</f>
        <v>29.411937230215823</v>
      </c>
    </row>
    <row r="647" spans="1:29" ht="15.75" x14ac:dyDescent="0.25">
      <c r="A647" s="11">
        <f t="shared" si="35"/>
        <v>2058</v>
      </c>
      <c r="B647" s="17">
        <f t="shared" ref="B647:S647" si="56">AVERAGE(B553:B564)</f>
        <v>30.999925000000001</v>
      </c>
      <c r="C647" s="17">
        <f t="shared" si="56"/>
        <v>31.006200000000003</v>
      </c>
      <c r="D647" s="17">
        <f t="shared" si="56"/>
        <v>31.210433333333338</v>
      </c>
      <c r="E647" s="17">
        <f t="shared" si="56"/>
        <v>31.242858333333334</v>
      </c>
      <c r="F647" s="17">
        <f t="shared" si="56"/>
        <v>31.020358333333334</v>
      </c>
      <c r="G647" s="17">
        <f t="shared" si="56"/>
        <v>31.037208333333336</v>
      </c>
      <c r="H647" s="17">
        <f t="shared" si="56"/>
        <v>31.231974999999995</v>
      </c>
      <c r="I647" s="17">
        <f t="shared" si="56"/>
        <v>31.118091666666661</v>
      </c>
      <c r="J647" s="17">
        <f t="shared" si="56"/>
        <v>31.013358333333333</v>
      </c>
      <c r="K647" s="52">
        <f t="shared" si="56"/>
        <v>31.113875000000004</v>
      </c>
      <c r="L647" s="17">
        <f t="shared" si="56"/>
        <v>31.818975000000005</v>
      </c>
      <c r="M647" s="17">
        <f t="shared" si="56"/>
        <v>30.463233333333331</v>
      </c>
      <c r="N647" s="17">
        <f t="shared" si="56"/>
        <v>30.479766666666674</v>
      </c>
      <c r="O647" s="17">
        <f t="shared" si="56"/>
        <v>30.677916666666665</v>
      </c>
      <c r="P647" s="17">
        <f t="shared" si="56"/>
        <v>30.564433333333337</v>
      </c>
      <c r="Q647" s="17">
        <f t="shared" si="56"/>
        <v>31.272616666666668</v>
      </c>
      <c r="R647" s="17">
        <f t="shared" si="56"/>
        <v>31.937799999999999</v>
      </c>
      <c r="S647" s="17">
        <f t="shared" si="56"/>
        <v>29.778325000000006</v>
      </c>
      <c r="T647" s="51">
        <f>SUM(T553:T564)</f>
        <v>357.33618100000001</v>
      </c>
      <c r="U647" s="51">
        <f>SUM(U553:U564)</f>
        <v>142.03263249999998</v>
      </c>
      <c r="V647" s="51">
        <f>SUM(V553:V564)</f>
        <v>50.187500000000007</v>
      </c>
      <c r="W647" s="51">
        <f>SUM(W553:W564)</f>
        <v>5.0822234999999996</v>
      </c>
      <c r="X647" s="51">
        <f>SUM(X553:X564)</f>
        <v>14.222225463999999</v>
      </c>
      <c r="Y647" s="51"/>
      <c r="Z647" s="50"/>
      <c r="AA647" s="49"/>
      <c r="AB647" s="48">
        <f>AVERAGE(AB553:AB564)</f>
        <v>31.068733322228223</v>
      </c>
      <c r="AC647" s="45">
        <f>AVERAGE(AC553:AC564)</f>
        <v>30.549274460431658</v>
      </c>
    </row>
    <row r="648" spans="1:29" ht="15.75" x14ac:dyDescent="0.25">
      <c r="A648" s="11">
        <f t="shared" si="35"/>
        <v>2059</v>
      </c>
      <c r="B648" s="17">
        <f t="shared" ref="B648:S648" si="57">AVERAGE(B565:B576)</f>
        <v>32.202525000000001</v>
      </c>
      <c r="C648" s="17">
        <f t="shared" si="57"/>
        <v>32.208775000000003</v>
      </c>
      <c r="D648" s="17">
        <f t="shared" si="57"/>
        <v>32.413049999999998</v>
      </c>
      <c r="E648" s="17">
        <f t="shared" si="57"/>
        <v>32.445450000000001</v>
      </c>
      <c r="F648" s="17">
        <f t="shared" si="57"/>
        <v>32.222941666666671</v>
      </c>
      <c r="G648" s="17">
        <f t="shared" si="57"/>
        <v>32.239791666666669</v>
      </c>
      <c r="H648" s="17">
        <f t="shared" si="57"/>
        <v>32.434583333333336</v>
      </c>
      <c r="I648" s="17">
        <f t="shared" si="57"/>
        <v>32.324449999999992</v>
      </c>
      <c r="J648" s="17">
        <f t="shared" si="57"/>
        <v>32.215941666666666</v>
      </c>
      <c r="K648" s="52">
        <f t="shared" si="57"/>
        <v>32.320233333333334</v>
      </c>
      <c r="L648" s="17">
        <f t="shared" si="57"/>
        <v>33.021583333333332</v>
      </c>
      <c r="M648" s="17">
        <f t="shared" si="57"/>
        <v>31.644183333333331</v>
      </c>
      <c r="N648" s="17">
        <f t="shared" si="57"/>
        <v>31.660716666666669</v>
      </c>
      <c r="O648" s="17">
        <f t="shared" si="57"/>
        <v>31.85885833333333</v>
      </c>
      <c r="P648" s="17">
        <f t="shared" si="57"/>
        <v>31.749025</v>
      </c>
      <c r="Q648" s="17">
        <f t="shared" si="57"/>
        <v>32.453558333333326</v>
      </c>
      <c r="R648" s="17">
        <f t="shared" si="57"/>
        <v>33.121708333333338</v>
      </c>
      <c r="S648" s="17">
        <f t="shared" si="57"/>
        <v>30.933883333333331</v>
      </c>
      <c r="T648" s="51">
        <f>SUM(T565:T576)</f>
        <v>357.33618100000001</v>
      </c>
      <c r="U648" s="51">
        <f>SUM(U565:U576)</f>
        <v>142.03263249999998</v>
      </c>
      <c r="V648" s="51">
        <f>SUM(V565:V576)</f>
        <v>50.187500000000007</v>
      </c>
      <c r="W648" s="51">
        <f>SUM(W565:W576)</f>
        <v>5.0822234999999996</v>
      </c>
      <c r="X648" s="51">
        <f>SUM(X565:X576)</f>
        <v>14.222225463999999</v>
      </c>
      <c r="Y648" s="51"/>
      <c r="Z648" s="17"/>
      <c r="AA648" s="17"/>
      <c r="AB648" s="48">
        <f>AVERAGE(AB565:AB576)</f>
        <v>32.271632544362099</v>
      </c>
      <c r="AC648" s="45">
        <f>AVERAGE(AC565:AC576)</f>
        <v>31.730746103117507</v>
      </c>
    </row>
    <row r="649" spans="1:29" ht="15.75" x14ac:dyDescent="0.25">
      <c r="A649" s="11">
        <f t="shared" si="35"/>
        <v>2060</v>
      </c>
      <c r="B649" s="17">
        <f t="shared" ref="B649:S649" si="58">AVERAGE(B577:B588)</f>
        <v>33.451758333333331</v>
      </c>
      <c r="C649" s="17">
        <f t="shared" si="58"/>
        <v>33.458033333333333</v>
      </c>
      <c r="D649" s="17">
        <f t="shared" si="58"/>
        <v>33.662291666666661</v>
      </c>
      <c r="E649" s="17">
        <f t="shared" si="58"/>
        <v>33.694716666666672</v>
      </c>
      <c r="F649" s="17">
        <f t="shared" si="58"/>
        <v>33.472191666666667</v>
      </c>
      <c r="G649" s="17">
        <f t="shared" si="58"/>
        <v>33.489033333333332</v>
      </c>
      <c r="H649" s="17">
        <f t="shared" si="58"/>
        <v>33.683833333333332</v>
      </c>
      <c r="I649" s="17">
        <f t="shared" si="58"/>
        <v>33.577616666666664</v>
      </c>
      <c r="J649" s="17">
        <f t="shared" si="58"/>
        <v>33.465191666666662</v>
      </c>
      <c r="K649" s="52">
        <f t="shared" si="58"/>
        <v>33.573391666666673</v>
      </c>
      <c r="L649" s="17">
        <f t="shared" si="58"/>
        <v>34.270833333333336</v>
      </c>
      <c r="M649" s="17">
        <f t="shared" si="58"/>
        <v>32.870966666666661</v>
      </c>
      <c r="N649" s="17">
        <f t="shared" si="58"/>
        <v>32.887500000000003</v>
      </c>
      <c r="O649" s="17">
        <f t="shared" si="58"/>
        <v>33.085641666666668</v>
      </c>
      <c r="P649" s="17">
        <f t="shared" si="58"/>
        <v>32.979575000000004</v>
      </c>
      <c r="Q649" s="17">
        <f t="shared" si="58"/>
        <v>33.680341666666664</v>
      </c>
      <c r="R649" s="17">
        <f t="shared" si="58"/>
        <v>34.35155833333333</v>
      </c>
      <c r="S649" s="17">
        <f t="shared" si="58"/>
        <v>32.134291666666662</v>
      </c>
      <c r="T649" s="51">
        <f>SUM(T577:T588)</f>
        <v>358.26753550000001</v>
      </c>
      <c r="U649" s="51">
        <f>SUM(U577:U588)</f>
        <v>142.42176299999997</v>
      </c>
      <c r="V649" s="51">
        <f>SUM(V577:V588)</f>
        <v>50.325000000000003</v>
      </c>
      <c r="W649" s="51">
        <f>SUM(W577:W588)</f>
        <v>5.0961473999999995</v>
      </c>
      <c r="X649" s="51">
        <f>SUM(X577:X588)</f>
        <v>14.245965463999999</v>
      </c>
      <c r="Y649" s="51"/>
      <c r="Z649" s="50"/>
      <c r="AA649" s="49"/>
      <c r="AB649" s="48">
        <f>AVERAGE(AB577:AB588)</f>
        <v>33.52120510849992</v>
      </c>
      <c r="AC649" s="45">
        <f>AVERAGE(AC577:AC588)</f>
        <v>32.9580714028777</v>
      </c>
    </row>
    <row r="650" spans="1:29" ht="15.75" x14ac:dyDescent="0.25">
      <c r="A650" s="11">
        <f t="shared" si="35"/>
        <v>2061</v>
      </c>
      <c r="B650" s="17">
        <f t="shared" ref="B650:S650" si="59">AVERAGE(B589:B600)</f>
        <v>34.749441666666662</v>
      </c>
      <c r="C650" s="17">
        <f t="shared" si="59"/>
        <v>34.755691666666671</v>
      </c>
      <c r="D650" s="17">
        <f t="shared" si="59"/>
        <v>34.959949999999999</v>
      </c>
      <c r="E650" s="17">
        <f t="shared" si="59"/>
        <v>34.992366666666669</v>
      </c>
      <c r="F650" s="17">
        <f t="shared" si="59"/>
        <v>34.769866666666665</v>
      </c>
      <c r="G650" s="17">
        <f t="shared" si="59"/>
        <v>34.786691666666663</v>
      </c>
      <c r="H650" s="17">
        <f t="shared" si="59"/>
        <v>34.981483333333337</v>
      </c>
      <c r="I650" s="17">
        <f t="shared" si="59"/>
        <v>34.879341666666669</v>
      </c>
      <c r="J650" s="17">
        <f t="shared" si="59"/>
        <v>34.762866666666675</v>
      </c>
      <c r="K650" s="52">
        <f t="shared" si="59"/>
        <v>34.875124999999997</v>
      </c>
      <c r="L650" s="17">
        <f t="shared" si="59"/>
        <v>35.56848333333334</v>
      </c>
      <c r="M650" s="17">
        <f t="shared" si="59"/>
        <v>34.145299999999999</v>
      </c>
      <c r="N650" s="17">
        <f t="shared" si="59"/>
        <v>34.161833333333327</v>
      </c>
      <c r="O650" s="17">
        <f t="shared" si="59"/>
        <v>34.359983333333332</v>
      </c>
      <c r="P650" s="17">
        <f t="shared" si="59"/>
        <v>34.25783333333333</v>
      </c>
      <c r="Q650" s="17">
        <f t="shared" si="59"/>
        <v>34.954683333333335</v>
      </c>
      <c r="R650" s="17">
        <f t="shared" si="59"/>
        <v>35.629058333333326</v>
      </c>
      <c r="S650" s="17">
        <f t="shared" si="59"/>
        <v>33.381216666666667</v>
      </c>
      <c r="T650" s="51">
        <f>SUM(T589:T600)</f>
        <v>357.33618100000001</v>
      </c>
      <c r="U650" s="51">
        <f>SUM(U589:U600)</f>
        <v>142.03263249999998</v>
      </c>
      <c r="V650" s="51">
        <f>SUM(V589:V600)</f>
        <v>50.187500000000007</v>
      </c>
      <c r="W650" s="51">
        <f>SUM(W589:W600)</f>
        <v>5.0822234999999996</v>
      </c>
      <c r="X650" s="51">
        <f>SUM(X589:X600)</f>
        <v>14.222225463999999</v>
      </c>
      <c r="Y650" s="51"/>
      <c r="Z650" s="50"/>
      <c r="AA650" s="49"/>
      <c r="AB650" s="48">
        <f>AVERAGE(AB589:AB600)</f>
        <v>34.819206244808576</v>
      </c>
      <c r="AC650" s="45">
        <f>AVERAGE(AC589:AC600)</f>
        <v>34.232973261390889</v>
      </c>
    </row>
    <row r="652" spans="1:29" ht="15" x14ac:dyDescent="0.2">
      <c r="S652" s="17"/>
    </row>
    <row r="653" spans="1:29" ht="15" x14ac:dyDescent="0.2">
      <c r="S653" s="17"/>
    </row>
    <row r="654" spans="1:29" ht="15" x14ac:dyDescent="0.2">
      <c r="S654" s="17"/>
    </row>
    <row r="655" spans="1:29" ht="15" x14ac:dyDescent="0.2">
      <c r="S655" s="17"/>
    </row>
    <row r="656" spans="1:29" ht="15" x14ac:dyDescent="0.2">
      <c r="S656" s="17"/>
    </row>
  </sheetData>
  <mergeCells count="4">
    <mergeCell ref="Z9:AA9"/>
    <mergeCell ref="T9:Y9"/>
    <mergeCell ref="T10:Y10"/>
    <mergeCell ref="T8:Y8"/>
  </mergeCells>
  <pageMargins left="0.25" right="0.25" top="0.5" bottom="0.5" header="0.25" footer="0.25"/>
  <pageSetup paperSize="17" scale="3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7</xdr:col>
                    <xdr:colOff>333375</xdr:colOff>
                    <xdr:row>7</xdr:row>
                    <xdr:rowOff>85725</xdr:rowOff>
                  </from>
                  <to>
                    <xdr:col>8</xdr:col>
                    <xdr:colOff>600075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11</xdr:col>
                    <xdr:colOff>47625</xdr:colOff>
                    <xdr:row>7</xdr:row>
                    <xdr:rowOff>180975</xdr:rowOff>
                  </from>
                  <to>
                    <xdr:col>12</xdr:col>
                    <xdr:colOff>323850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D708"/>
  <sheetViews>
    <sheetView zoomScale="75" zoomScaleNormal="75" workbookViewId="0">
      <pane xSplit="1" ySplit="11" topLeftCell="B12" activePane="bottomRight" state="frozen"/>
      <selection activeCell="B7" sqref="B7"/>
      <selection pane="topRight" activeCell="B7" sqref="B7"/>
      <selection pane="bottomLeft" activeCell="B7" sqref="B7"/>
      <selection pane="bottomRight" activeCell="B12" sqref="B12"/>
    </sheetView>
  </sheetViews>
  <sheetFormatPr defaultColWidth="7.109375" defaultRowHeight="12.75" x14ac:dyDescent="0.2"/>
  <cols>
    <col min="1" max="1" width="19.21875" style="33" customWidth="1"/>
    <col min="2" max="2" width="7.88671875" style="33" customWidth="1"/>
    <col min="3" max="14" width="13" style="8" customWidth="1"/>
    <col min="15" max="19" width="20.6640625" style="8" customWidth="1"/>
    <col min="20" max="20" width="15.44140625" style="8" customWidth="1"/>
    <col min="21" max="21" width="7.77734375" style="8" customWidth="1"/>
    <col min="22" max="16384" width="7.109375" style="8"/>
  </cols>
  <sheetData>
    <row r="1" spans="1:30" ht="15.75" x14ac:dyDescent="0.25">
      <c r="A1" s="103" t="s">
        <v>90</v>
      </c>
    </row>
    <row r="2" spans="1:30" ht="15.75" x14ac:dyDescent="0.25">
      <c r="A2" s="103" t="s">
        <v>91</v>
      </c>
    </row>
    <row r="3" spans="1:30" ht="15.75" x14ac:dyDescent="0.25">
      <c r="A3" s="103" t="s">
        <v>92</v>
      </c>
    </row>
    <row r="4" spans="1:30" ht="15.75" x14ac:dyDescent="0.25">
      <c r="A4" s="103" t="s">
        <v>93</v>
      </c>
    </row>
    <row r="5" spans="1:30" ht="15.75" x14ac:dyDescent="0.25">
      <c r="A5" s="103" t="s">
        <v>95</v>
      </c>
    </row>
    <row r="6" spans="1:30" ht="15.75" x14ac:dyDescent="0.25">
      <c r="A6" s="103" t="s">
        <v>100</v>
      </c>
    </row>
    <row r="7" spans="1:30" s="25" customFormat="1" x14ac:dyDescent="0.2">
      <c r="A7" s="47"/>
      <c r="B7" s="47"/>
    </row>
    <row r="8" spans="1:30" ht="15.75" x14ac:dyDescent="0.25">
      <c r="A8" s="42" t="s">
        <v>27</v>
      </c>
      <c r="B8" s="42"/>
      <c r="C8" s="100"/>
      <c r="O8" s="71"/>
      <c r="P8" s="71"/>
      <c r="Q8" s="71"/>
      <c r="R8" s="71"/>
      <c r="S8" s="71"/>
    </row>
    <row r="9" spans="1:30" ht="15.75" x14ac:dyDescent="0.25">
      <c r="A9" s="42"/>
      <c r="C9" s="112" t="s">
        <v>89</v>
      </c>
      <c r="D9" s="112"/>
      <c r="E9" s="112"/>
      <c r="F9" s="112"/>
      <c r="G9" s="99"/>
      <c r="H9" s="99"/>
      <c r="I9" s="117" t="s">
        <v>88</v>
      </c>
      <c r="J9" s="118"/>
      <c r="K9" s="118"/>
      <c r="L9" s="98"/>
      <c r="M9" s="73"/>
      <c r="N9" s="97"/>
      <c r="O9" s="116"/>
      <c r="P9" s="116"/>
      <c r="Q9" s="116"/>
      <c r="R9" s="96"/>
      <c r="S9" s="96"/>
    </row>
    <row r="10" spans="1:30" ht="97.9" customHeight="1" x14ac:dyDescent="0.25">
      <c r="A10" s="95"/>
      <c r="B10" s="95"/>
      <c r="C10" s="66" t="s">
        <v>76</v>
      </c>
      <c r="D10" s="70" t="s">
        <v>75</v>
      </c>
      <c r="E10" s="66" t="s">
        <v>74</v>
      </c>
      <c r="F10" s="66" t="s">
        <v>73</v>
      </c>
      <c r="G10" s="70" t="s">
        <v>72</v>
      </c>
      <c r="H10" s="70" t="s">
        <v>71</v>
      </c>
      <c r="I10" s="70" t="s">
        <v>70</v>
      </c>
      <c r="J10" s="70" t="s">
        <v>69</v>
      </c>
      <c r="K10" s="70" t="s">
        <v>68</v>
      </c>
      <c r="L10" s="66" t="s">
        <v>87</v>
      </c>
      <c r="M10" s="67" t="s">
        <v>67</v>
      </c>
      <c r="N10" s="36" t="s">
        <v>66</v>
      </c>
      <c r="O10" s="69" t="s">
        <v>86</v>
      </c>
      <c r="P10" s="69" t="s">
        <v>85</v>
      </c>
      <c r="Q10" s="69" t="s">
        <v>84</v>
      </c>
      <c r="R10" s="69" t="s">
        <v>62</v>
      </c>
      <c r="S10" s="94" t="s">
        <v>83</v>
      </c>
      <c r="T10" s="38" t="s">
        <v>82</v>
      </c>
    </row>
    <row r="11" spans="1:30" ht="15.75" x14ac:dyDescent="0.25">
      <c r="A11" s="37" t="s">
        <v>15</v>
      </c>
      <c r="B11" s="37" t="s">
        <v>81</v>
      </c>
      <c r="C11" s="37" t="s">
        <v>80</v>
      </c>
      <c r="D11" s="37" t="s">
        <v>80</v>
      </c>
      <c r="E11" s="37" t="s">
        <v>80</v>
      </c>
      <c r="F11" s="37" t="s">
        <v>80</v>
      </c>
      <c r="G11" s="37" t="s">
        <v>80</v>
      </c>
      <c r="H11" s="37" t="s">
        <v>80</v>
      </c>
      <c r="I11" s="37" t="s">
        <v>80</v>
      </c>
      <c r="J11" s="37" t="s">
        <v>80</v>
      </c>
      <c r="K11" s="37" t="s">
        <v>80</v>
      </c>
      <c r="L11" s="37" t="s">
        <v>80</v>
      </c>
      <c r="M11" s="93" t="s">
        <v>80</v>
      </c>
      <c r="N11" s="37" t="s">
        <v>80</v>
      </c>
      <c r="O11" s="37" t="s">
        <v>80</v>
      </c>
      <c r="P11" s="37" t="s">
        <v>80</v>
      </c>
      <c r="Q11" s="37" t="s">
        <v>80</v>
      </c>
      <c r="R11" s="37" t="s">
        <v>80</v>
      </c>
      <c r="S11" s="37" t="s">
        <v>80</v>
      </c>
      <c r="T11" s="37" t="s">
        <v>80</v>
      </c>
    </row>
    <row r="12" spans="1:30" ht="15" x14ac:dyDescent="0.2">
      <c r="A12" s="16">
        <v>41275</v>
      </c>
      <c r="B12" s="91">
        <v>31</v>
      </c>
      <c r="C12" s="78">
        <v>122.58</v>
      </c>
      <c r="D12" s="78">
        <v>297.94099999999997</v>
      </c>
      <c r="E12" s="86">
        <v>89.177000000000007</v>
      </c>
      <c r="F12" s="78">
        <v>200.30199999999999</v>
      </c>
      <c r="G12" s="80">
        <v>40</v>
      </c>
      <c r="H12" s="78">
        <v>0</v>
      </c>
      <c r="I12" s="78">
        <v>0</v>
      </c>
      <c r="J12" s="80">
        <v>100</v>
      </c>
      <c r="K12" s="80">
        <v>300</v>
      </c>
      <c r="L12" s="78">
        <v>1150</v>
      </c>
      <c r="M12" s="92"/>
      <c r="N12" s="78">
        <v>125</v>
      </c>
      <c r="O12" s="80">
        <v>240</v>
      </c>
      <c r="P12" s="80">
        <v>0</v>
      </c>
      <c r="Q12" s="80">
        <v>355</v>
      </c>
      <c r="R12" s="80">
        <v>100</v>
      </c>
      <c r="S12" s="78">
        <v>695</v>
      </c>
      <c r="T12" s="78">
        <v>50</v>
      </c>
      <c r="U12" s="76"/>
      <c r="V12" s="76"/>
      <c r="W12" s="76"/>
      <c r="X12" s="76"/>
      <c r="Y12" s="76"/>
      <c r="Z12" s="76"/>
      <c r="AA12" s="76"/>
      <c r="AB12" s="76"/>
      <c r="AC12" s="76"/>
      <c r="AD12" s="76"/>
    </row>
    <row r="13" spans="1:30" ht="15" x14ac:dyDescent="0.2">
      <c r="A13" s="16">
        <v>41306</v>
      </c>
      <c r="B13" s="91">
        <v>28</v>
      </c>
      <c r="C13" s="78">
        <v>122.58</v>
      </c>
      <c r="D13" s="78">
        <v>297.94099999999997</v>
      </c>
      <c r="E13" s="86">
        <v>89.177000000000007</v>
      </c>
      <c r="F13" s="78">
        <v>200.30199999999999</v>
      </c>
      <c r="G13" s="80">
        <v>40</v>
      </c>
      <c r="H13" s="78">
        <v>0</v>
      </c>
      <c r="I13" s="78">
        <v>0</v>
      </c>
      <c r="J13" s="80">
        <v>100</v>
      </c>
      <c r="K13" s="80">
        <v>300</v>
      </c>
      <c r="L13" s="78">
        <v>1150</v>
      </c>
      <c r="M13" s="92"/>
      <c r="N13" s="78">
        <v>125</v>
      </c>
      <c r="O13" s="80">
        <v>240</v>
      </c>
      <c r="P13" s="80">
        <v>0</v>
      </c>
      <c r="Q13" s="80">
        <v>355</v>
      </c>
      <c r="R13" s="80">
        <v>100</v>
      </c>
      <c r="S13" s="78">
        <v>695</v>
      </c>
      <c r="T13" s="78">
        <v>50</v>
      </c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ht="15" x14ac:dyDescent="0.2">
      <c r="A14" s="16">
        <v>41334</v>
      </c>
      <c r="B14" s="91">
        <v>31</v>
      </c>
      <c r="C14" s="78">
        <v>122.58</v>
      </c>
      <c r="D14" s="78">
        <v>297.94099999999997</v>
      </c>
      <c r="E14" s="86">
        <v>89.177000000000007</v>
      </c>
      <c r="F14" s="78">
        <v>200.30199999999999</v>
      </c>
      <c r="G14" s="80">
        <v>40</v>
      </c>
      <c r="H14" s="78">
        <v>0</v>
      </c>
      <c r="I14" s="78">
        <v>0</v>
      </c>
      <c r="J14" s="80">
        <v>100</v>
      </c>
      <c r="K14" s="80">
        <v>300</v>
      </c>
      <c r="L14" s="78">
        <v>1150</v>
      </c>
      <c r="M14" s="92"/>
      <c r="N14" s="78">
        <v>125</v>
      </c>
      <c r="O14" s="80">
        <v>240</v>
      </c>
      <c r="P14" s="80">
        <v>0</v>
      </c>
      <c r="Q14" s="80">
        <v>355</v>
      </c>
      <c r="R14" s="80">
        <v>100</v>
      </c>
      <c r="S14" s="78">
        <v>695</v>
      </c>
      <c r="T14" s="78">
        <v>50</v>
      </c>
      <c r="U14" s="76"/>
      <c r="V14" s="76"/>
      <c r="W14" s="76"/>
      <c r="X14" s="76"/>
      <c r="Y14" s="76"/>
      <c r="Z14" s="76"/>
      <c r="AA14" s="76"/>
      <c r="AB14" s="76"/>
      <c r="AC14" s="76"/>
      <c r="AD14" s="76"/>
    </row>
    <row r="15" spans="1:30" ht="15" x14ac:dyDescent="0.2">
      <c r="A15" s="16">
        <v>41365</v>
      </c>
      <c r="B15" s="91">
        <v>30</v>
      </c>
      <c r="C15" s="78">
        <f>141.293</f>
        <v>141.29300000000001</v>
      </c>
      <c r="D15" s="78">
        <f>267.993</f>
        <v>267.99299999999999</v>
      </c>
      <c r="E15" s="86">
        <f>115.016</f>
        <v>115.01600000000001</v>
      </c>
      <c r="F15" s="78">
        <f>314.698-40-25</f>
        <v>249.69799999999998</v>
      </c>
      <c r="G15" s="80">
        <v>40</v>
      </c>
      <c r="H15" s="78">
        <v>25</v>
      </c>
      <c r="I15" s="78">
        <v>0</v>
      </c>
      <c r="J15" s="80">
        <v>100</v>
      </c>
      <c r="K15" s="80">
        <v>300</v>
      </c>
      <c r="L15" s="78">
        <f t="shared" ref="L15:L78" si="0">SUM(C15:K15)</f>
        <v>1239</v>
      </c>
      <c r="M15" s="92"/>
      <c r="N15" s="78">
        <f>125</f>
        <v>125</v>
      </c>
      <c r="O15" s="80">
        <v>240</v>
      </c>
      <c r="P15" s="80">
        <f t="shared" ref="P15:P21" si="1">145-H15</f>
        <v>120</v>
      </c>
      <c r="Q15" s="80">
        <f t="shared" ref="Q15:Q78" si="2">695-R15-O15-P15</f>
        <v>235</v>
      </c>
      <c r="R15" s="80">
        <f t="shared" ref="R15:R78" si="3">200-J15</f>
        <v>100</v>
      </c>
      <c r="S15" s="78">
        <f t="shared" ref="S15:S78" si="4">SUM(O15:R15)</f>
        <v>695</v>
      </c>
      <c r="T15" s="78">
        <f>50</f>
        <v>50</v>
      </c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0" ht="15" x14ac:dyDescent="0.2">
      <c r="A16" s="16">
        <v>41395</v>
      </c>
      <c r="B16" s="91">
        <v>31</v>
      </c>
      <c r="C16" s="78">
        <f>194.205</f>
        <v>194.20500000000001</v>
      </c>
      <c r="D16" s="78">
        <f>267.466</f>
        <v>267.46600000000001</v>
      </c>
      <c r="E16" s="86">
        <f>133.845</f>
        <v>133.845</v>
      </c>
      <c r="F16" s="78">
        <f>278.484-40-25</f>
        <v>213.48399999999998</v>
      </c>
      <c r="G16" s="80">
        <v>40</v>
      </c>
      <c r="H16" s="78">
        <v>25</v>
      </c>
      <c r="I16" s="92">
        <v>30</v>
      </c>
      <c r="J16" s="80">
        <v>100</v>
      </c>
      <c r="K16" s="80">
        <v>300</v>
      </c>
      <c r="L16" s="78">
        <f t="shared" si="0"/>
        <v>1304</v>
      </c>
      <c r="M16" s="92"/>
      <c r="N16" s="78">
        <f>100</f>
        <v>100</v>
      </c>
      <c r="O16" s="80">
        <v>240</v>
      </c>
      <c r="P16" s="80">
        <f t="shared" si="1"/>
        <v>120</v>
      </c>
      <c r="Q16" s="80">
        <f t="shared" si="2"/>
        <v>235</v>
      </c>
      <c r="R16" s="80">
        <f t="shared" si="3"/>
        <v>100</v>
      </c>
      <c r="S16" s="78">
        <f t="shared" si="4"/>
        <v>695</v>
      </c>
      <c r="T16" s="78">
        <f>50</f>
        <v>50</v>
      </c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ht="15" x14ac:dyDescent="0.2">
      <c r="A17" s="16">
        <v>41426</v>
      </c>
      <c r="B17" s="91">
        <v>30</v>
      </c>
      <c r="C17" s="78">
        <f>194.205</f>
        <v>194.20500000000001</v>
      </c>
      <c r="D17" s="78">
        <f>267.466</f>
        <v>267.46600000000001</v>
      </c>
      <c r="E17" s="86">
        <f>133.845</f>
        <v>133.845</v>
      </c>
      <c r="F17" s="78">
        <f>278.484-40-25</f>
        <v>213.48399999999998</v>
      </c>
      <c r="G17" s="80">
        <v>40</v>
      </c>
      <c r="H17" s="78">
        <v>25</v>
      </c>
      <c r="I17" s="92">
        <v>30</v>
      </c>
      <c r="J17" s="80">
        <v>100</v>
      </c>
      <c r="K17" s="80">
        <v>300</v>
      </c>
      <c r="L17" s="78">
        <f t="shared" si="0"/>
        <v>1304</v>
      </c>
      <c r="M17" s="92"/>
      <c r="N17" s="78">
        <f>55</f>
        <v>55</v>
      </c>
      <c r="O17" s="80">
        <v>240</v>
      </c>
      <c r="P17" s="80">
        <f t="shared" si="1"/>
        <v>120</v>
      </c>
      <c r="Q17" s="80">
        <f t="shared" si="2"/>
        <v>235</v>
      </c>
      <c r="R17" s="80">
        <f t="shared" si="3"/>
        <v>100</v>
      </c>
      <c r="S17" s="78">
        <f t="shared" si="4"/>
        <v>695</v>
      </c>
      <c r="T17" s="78">
        <f>50</f>
        <v>50</v>
      </c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0" ht="15" x14ac:dyDescent="0.2">
      <c r="A18" s="16">
        <v>41456</v>
      </c>
      <c r="B18" s="91">
        <v>31</v>
      </c>
      <c r="C18" s="78">
        <f>194.205</f>
        <v>194.20500000000001</v>
      </c>
      <c r="D18" s="78">
        <f>267.466</f>
        <v>267.46600000000001</v>
      </c>
      <c r="E18" s="86">
        <f>133.845</f>
        <v>133.845</v>
      </c>
      <c r="F18" s="78">
        <f>278.484-40-25</f>
        <v>213.48399999999998</v>
      </c>
      <c r="G18" s="80">
        <v>40</v>
      </c>
      <c r="H18" s="78">
        <v>25</v>
      </c>
      <c r="I18" s="92">
        <v>30</v>
      </c>
      <c r="J18" s="80">
        <v>100</v>
      </c>
      <c r="K18" s="80">
        <v>300</v>
      </c>
      <c r="L18" s="78">
        <f t="shared" si="0"/>
        <v>1304</v>
      </c>
      <c r="M18" s="92"/>
      <c r="N18" s="78">
        <f>55</f>
        <v>55</v>
      </c>
      <c r="O18" s="80">
        <v>240</v>
      </c>
      <c r="P18" s="80">
        <f t="shared" si="1"/>
        <v>120</v>
      </c>
      <c r="Q18" s="80">
        <f t="shared" si="2"/>
        <v>235</v>
      </c>
      <c r="R18" s="80">
        <f t="shared" si="3"/>
        <v>100</v>
      </c>
      <c r="S18" s="78">
        <f t="shared" si="4"/>
        <v>695</v>
      </c>
      <c r="T18" s="78">
        <f>0</f>
        <v>0</v>
      </c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 ht="15" x14ac:dyDescent="0.2">
      <c r="A19" s="16">
        <v>41487</v>
      </c>
      <c r="B19" s="91">
        <v>31</v>
      </c>
      <c r="C19" s="78">
        <f>194.205</f>
        <v>194.20500000000001</v>
      </c>
      <c r="D19" s="78">
        <f>267.466</f>
        <v>267.46600000000001</v>
      </c>
      <c r="E19" s="86">
        <f>133.845</f>
        <v>133.845</v>
      </c>
      <c r="F19" s="78">
        <f>278.484-40-25</f>
        <v>213.48399999999998</v>
      </c>
      <c r="G19" s="80">
        <v>40</v>
      </c>
      <c r="H19" s="78">
        <v>25</v>
      </c>
      <c r="I19" s="92">
        <v>30</v>
      </c>
      <c r="J19" s="80">
        <v>100</v>
      </c>
      <c r="K19" s="80">
        <v>300</v>
      </c>
      <c r="L19" s="78">
        <f t="shared" si="0"/>
        <v>1304</v>
      </c>
      <c r="M19" s="92"/>
      <c r="N19" s="78">
        <f>55</f>
        <v>55</v>
      </c>
      <c r="O19" s="80">
        <v>240</v>
      </c>
      <c r="P19" s="80">
        <f t="shared" si="1"/>
        <v>120</v>
      </c>
      <c r="Q19" s="80">
        <f t="shared" si="2"/>
        <v>235</v>
      </c>
      <c r="R19" s="80">
        <f t="shared" si="3"/>
        <v>100</v>
      </c>
      <c r="S19" s="78">
        <f t="shared" si="4"/>
        <v>695</v>
      </c>
      <c r="T19" s="78">
        <f>0</f>
        <v>0</v>
      </c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1:30" ht="15" x14ac:dyDescent="0.2">
      <c r="A20" s="16">
        <v>41518</v>
      </c>
      <c r="B20" s="91">
        <v>30</v>
      </c>
      <c r="C20" s="78">
        <f>194.205</f>
        <v>194.20500000000001</v>
      </c>
      <c r="D20" s="78">
        <f>267.466</f>
        <v>267.46600000000001</v>
      </c>
      <c r="E20" s="86">
        <f>133.845</f>
        <v>133.845</v>
      </c>
      <c r="F20" s="78">
        <f>278.484-40-25</f>
        <v>213.48399999999998</v>
      </c>
      <c r="G20" s="80">
        <v>40</v>
      </c>
      <c r="H20" s="78">
        <v>25</v>
      </c>
      <c r="I20" s="92">
        <v>30</v>
      </c>
      <c r="J20" s="80">
        <v>100</v>
      </c>
      <c r="K20" s="80">
        <v>300</v>
      </c>
      <c r="L20" s="78">
        <f t="shared" si="0"/>
        <v>1304</v>
      </c>
      <c r="M20" s="92"/>
      <c r="N20" s="78">
        <f>55</f>
        <v>55</v>
      </c>
      <c r="O20" s="80">
        <v>240</v>
      </c>
      <c r="P20" s="80">
        <f t="shared" si="1"/>
        <v>120</v>
      </c>
      <c r="Q20" s="80">
        <f t="shared" si="2"/>
        <v>235</v>
      </c>
      <c r="R20" s="80">
        <f t="shared" si="3"/>
        <v>100</v>
      </c>
      <c r="S20" s="78">
        <f t="shared" si="4"/>
        <v>695</v>
      </c>
      <c r="T20" s="78">
        <f>0</f>
        <v>0</v>
      </c>
      <c r="U20" s="76"/>
      <c r="V20" s="76"/>
      <c r="W20" s="76"/>
      <c r="X20" s="76"/>
      <c r="Y20" s="76"/>
      <c r="Z20" s="76"/>
      <c r="AA20" s="76"/>
      <c r="AB20" s="76"/>
      <c r="AC20" s="76"/>
      <c r="AD20" s="76"/>
    </row>
    <row r="21" spans="1:30" ht="15" x14ac:dyDescent="0.2">
      <c r="A21" s="16">
        <v>41548</v>
      </c>
      <c r="B21" s="91">
        <v>31</v>
      </c>
      <c r="C21" s="78">
        <f>131.881</f>
        <v>131.881</v>
      </c>
      <c r="D21" s="78">
        <f>277.167</f>
        <v>277.16699999999997</v>
      </c>
      <c r="E21" s="86">
        <f>79.08</f>
        <v>79.08</v>
      </c>
      <c r="F21" s="78">
        <f>350.872-40-25</f>
        <v>285.87200000000001</v>
      </c>
      <c r="G21" s="80">
        <v>40</v>
      </c>
      <c r="H21" s="78">
        <v>25</v>
      </c>
      <c r="I21" s="78">
        <v>0</v>
      </c>
      <c r="J21" s="80">
        <v>100</v>
      </c>
      <c r="K21" s="80">
        <v>300</v>
      </c>
      <c r="L21" s="78">
        <f t="shared" si="0"/>
        <v>1239</v>
      </c>
      <c r="M21" s="92"/>
      <c r="N21" s="78">
        <f>100</f>
        <v>100</v>
      </c>
      <c r="O21" s="80">
        <v>240</v>
      </c>
      <c r="P21" s="80">
        <f t="shared" si="1"/>
        <v>120</v>
      </c>
      <c r="Q21" s="80">
        <f t="shared" si="2"/>
        <v>235</v>
      </c>
      <c r="R21" s="80">
        <f t="shared" si="3"/>
        <v>100</v>
      </c>
      <c r="S21" s="78">
        <f t="shared" si="4"/>
        <v>695</v>
      </c>
      <c r="T21" s="78">
        <f>0</f>
        <v>0</v>
      </c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0" ht="15" x14ac:dyDescent="0.2">
      <c r="A22" s="16">
        <v>41579</v>
      </c>
      <c r="B22" s="91">
        <v>30</v>
      </c>
      <c r="C22" s="78">
        <f>122.58</f>
        <v>122.58</v>
      </c>
      <c r="D22" s="78">
        <f>297.941</f>
        <v>297.94099999999997</v>
      </c>
      <c r="E22" s="86">
        <f>89.177</f>
        <v>89.177000000000007</v>
      </c>
      <c r="F22" s="78">
        <f>240.302-40</f>
        <v>200.30199999999999</v>
      </c>
      <c r="G22" s="80">
        <v>40</v>
      </c>
      <c r="H22" s="78">
        <v>0</v>
      </c>
      <c r="I22" s="78">
        <v>0</v>
      </c>
      <c r="J22" s="80">
        <v>100</v>
      </c>
      <c r="K22" s="80">
        <v>300</v>
      </c>
      <c r="L22" s="78">
        <f t="shared" si="0"/>
        <v>1150</v>
      </c>
      <c r="M22" s="92"/>
      <c r="N22" s="78">
        <f>125</f>
        <v>125</v>
      </c>
      <c r="O22" s="80">
        <v>240</v>
      </c>
      <c r="P22" s="80">
        <v>0</v>
      </c>
      <c r="Q22" s="80">
        <f t="shared" si="2"/>
        <v>355</v>
      </c>
      <c r="R22" s="80">
        <f t="shared" si="3"/>
        <v>100</v>
      </c>
      <c r="S22" s="78">
        <f t="shared" si="4"/>
        <v>695</v>
      </c>
      <c r="T22" s="78">
        <f>50</f>
        <v>50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0" ht="15" x14ac:dyDescent="0.2">
      <c r="A23" s="16">
        <v>41609</v>
      </c>
      <c r="B23" s="91">
        <v>31</v>
      </c>
      <c r="C23" s="78">
        <f>122.58</f>
        <v>122.58</v>
      </c>
      <c r="D23" s="78">
        <f>297.941</f>
        <v>297.94099999999997</v>
      </c>
      <c r="E23" s="86">
        <f>89.177</f>
        <v>89.177000000000007</v>
      </c>
      <c r="F23" s="78">
        <f>240.302-40</f>
        <v>200.30199999999999</v>
      </c>
      <c r="G23" s="80">
        <v>40</v>
      </c>
      <c r="H23" s="78">
        <v>0</v>
      </c>
      <c r="I23" s="78">
        <v>0</v>
      </c>
      <c r="J23" s="80">
        <v>100</v>
      </c>
      <c r="K23" s="80">
        <v>300</v>
      </c>
      <c r="L23" s="78">
        <f t="shared" si="0"/>
        <v>1150</v>
      </c>
      <c r="M23" s="92"/>
      <c r="N23" s="78">
        <f>125</f>
        <v>125</v>
      </c>
      <c r="O23" s="80">
        <v>240</v>
      </c>
      <c r="P23" s="80">
        <v>0</v>
      </c>
      <c r="Q23" s="80">
        <f t="shared" si="2"/>
        <v>355</v>
      </c>
      <c r="R23" s="80">
        <f t="shared" si="3"/>
        <v>100</v>
      </c>
      <c r="S23" s="78">
        <f t="shared" si="4"/>
        <v>695</v>
      </c>
      <c r="T23" s="78">
        <f>50</f>
        <v>50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ht="15.75" x14ac:dyDescent="0.25">
      <c r="A24" s="16">
        <v>41640</v>
      </c>
      <c r="B24" s="91">
        <v>31</v>
      </c>
      <c r="C24" s="78">
        <f>122.58</f>
        <v>122.58</v>
      </c>
      <c r="D24" s="78">
        <f>297.941</f>
        <v>297.94099999999997</v>
      </c>
      <c r="E24" s="86">
        <f>89.177</f>
        <v>89.177000000000007</v>
      </c>
      <c r="F24" s="78">
        <f>240.302-40</f>
        <v>200.30199999999999</v>
      </c>
      <c r="G24" s="80">
        <v>40</v>
      </c>
      <c r="H24" s="78">
        <v>0</v>
      </c>
      <c r="I24" s="78">
        <v>0</v>
      </c>
      <c r="J24" s="80">
        <v>100</v>
      </c>
      <c r="K24" s="80">
        <v>300</v>
      </c>
      <c r="L24" s="78">
        <f t="shared" si="0"/>
        <v>1150</v>
      </c>
      <c r="M24" s="88"/>
      <c r="N24" s="78">
        <f>100</f>
        <v>100</v>
      </c>
      <c r="O24" s="80">
        <v>240</v>
      </c>
      <c r="P24" s="80">
        <v>0</v>
      </c>
      <c r="Q24" s="80">
        <f t="shared" si="2"/>
        <v>355</v>
      </c>
      <c r="R24" s="80">
        <f t="shared" si="3"/>
        <v>100</v>
      </c>
      <c r="S24" s="78">
        <f t="shared" si="4"/>
        <v>695</v>
      </c>
      <c r="T24" s="78">
        <f>50</f>
        <v>50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ht="15.75" x14ac:dyDescent="0.25">
      <c r="A25" s="16">
        <v>41671</v>
      </c>
      <c r="B25" s="91">
        <v>28</v>
      </c>
      <c r="C25" s="78">
        <f>122.58</f>
        <v>122.58</v>
      </c>
      <c r="D25" s="78">
        <f>297.941</f>
        <v>297.94099999999997</v>
      </c>
      <c r="E25" s="86">
        <f>89.177</f>
        <v>89.177000000000007</v>
      </c>
      <c r="F25" s="78">
        <f>240.302-40</f>
        <v>200.30199999999999</v>
      </c>
      <c r="G25" s="80">
        <v>40</v>
      </c>
      <c r="H25" s="78">
        <v>0</v>
      </c>
      <c r="I25" s="78">
        <v>0</v>
      </c>
      <c r="J25" s="80">
        <v>100</v>
      </c>
      <c r="K25" s="80">
        <v>300</v>
      </c>
      <c r="L25" s="78">
        <f t="shared" si="0"/>
        <v>1150</v>
      </c>
      <c r="M25" s="88"/>
      <c r="N25" s="78">
        <f>100</f>
        <v>100</v>
      </c>
      <c r="O25" s="80">
        <v>240</v>
      </c>
      <c r="P25" s="80">
        <v>0</v>
      </c>
      <c r="Q25" s="80">
        <f t="shared" si="2"/>
        <v>355</v>
      </c>
      <c r="R25" s="80">
        <f t="shared" si="3"/>
        <v>100</v>
      </c>
      <c r="S25" s="78">
        <f t="shared" si="4"/>
        <v>695</v>
      </c>
      <c r="T25" s="78">
        <f>50</f>
        <v>50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 ht="15.75" x14ac:dyDescent="0.25">
      <c r="A26" s="16">
        <v>41699</v>
      </c>
      <c r="B26" s="91">
        <v>31</v>
      </c>
      <c r="C26" s="78">
        <f>122.58</f>
        <v>122.58</v>
      </c>
      <c r="D26" s="78">
        <f>297.941</f>
        <v>297.94099999999997</v>
      </c>
      <c r="E26" s="86">
        <f>89.177</f>
        <v>89.177000000000007</v>
      </c>
      <c r="F26" s="78">
        <f>240.302-40</f>
        <v>200.30199999999999</v>
      </c>
      <c r="G26" s="80">
        <v>40</v>
      </c>
      <c r="H26" s="78">
        <v>0</v>
      </c>
      <c r="I26" s="78">
        <v>0</v>
      </c>
      <c r="J26" s="80">
        <v>100</v>
      </c>
      <c r="K26" s="80">
        <v>300</v>
      </c>
      <c r="L26" s="78">
        <f t="shared" si="0"/>
        <v>1150</v>
      </c>
      <c r="M26" s="88"/>
      <c r="N26" s="78">
        <f>100</f>
        <v>100</v>
      </c>
      <c r="O26" s="80">
        <v>240</v>
      </c>
      <c r="P26" s="80">
        <v>0</v>
      </c>
      <c r="Q26" s="80">
        <f t="shared" si="2"/>
        <v>355</v>
      </c>
      <c r="R26" s="80">
        <f t="shared" si="3"/>
        <v>100</v>
      </c>
      <c r="S26" s="78">
        <f t="shared" si="4"/>
        <v>695</v>
      </c>
      <c r="T26" s="78">
        <f>50</f>
        <v>50</v>
      </c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ht="15.75" x14ac:dyDescent="0.25">
      <c r="A27" s="16">
        <v>41730</v>
      </c>
      <c r="B27" s="91">
        <v>30</v>
      </c>
      <c r="C27" s="78">
        <f>141.293</f>
        <v>141.29300000000001</v>
      </c>
      <c r="D27" s="78">
        <f>267.993</f>
        <v>267.99299999999999</v>
      </c>
      <c r="E27" s="86">
        <f>115.016</f>
        <v>115.01600000000001</v>
      </c>
      <c r="F27" s="78">
        <f>314.698-40-25</f>
        <v>249.69799999999998</v>
      </c>
      <c r="G27" s="80">
        <v>40</v>
      </c>
      <c r="H27" s="78">
        <v>25</v>
      </c>
      <c r="I27" s="78">
        <v>0</v>
      </c>
      <c r="J27" s="80">
        <v>100</v>
      </c>
      <c r="K27" s="80">
        <v>300</v>
      </c>
      <c r="L27" s="78">
        <f t="shared" si="0"/>
        <v>1239</v>
      </c>
      <c r="M27" s="88"/>
      <c r="N27" s="78">
        <f>100</f>
        <v>100</v>
      </c>
      <c r="O27" s="80">
        <v>240</v>
      </c>
      <c r="P27" s="80">
        <f t="shared" ref="P27:P33" si="5">145-H27</f>
        <v>120</v>
      </c>
      <c r="Q27" s="80">
        <f t="shared" si="2"/>
        <v>235</v>
      </c>
      <c r="R27" s="80">
        <f t="shared" si="3"/>
        <v>100</v>
      </c>
      <c r="S27" s="78">
        <f t="shared" si="4"/>
        <v>695</v>
      </c>
      <c r="T27" s="78">
        <f>50</f>
        <v>50</v>
      </c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0" ht="15.75" x14ac:dyDescent="0.25">
      <c r="A28" s="16">
        <v>41760</v>
      </c>
      <c r="B28" s="91">
        <v>31</v>
      </c>
      <c r="C28" s="78">
        <f>194.205</f>
        <v>194.20500000000001</v>
      </c>
      <c r="D28" s="78">
        <f>267.466</f>
        <v>267.46600000000001</v>
      </c>
      <c r="E28" s="86">
        <f>133.845</f>
        <v>133.845</v>
      </c>
      <c r="F28" s="78">
        <f>278.484-40-25</f>
        <v>213.48399999999998</v>
      </c>
      <c r="G28" s="80">
        <v>40</v>
      </c>
      <c r="H28" s="78">
        <v>25</v>
      </c>
      <c r="I28" s="92">
        <v>50</v>
      </c>
      <c r="J28" s="80">
        <v>100</v>
      </c>
      <c r="K28" s="80">
        <v>300</v>
      </c>
      <c r="L28" s="78">
        <f t="shared" si="0"/>
        <v>1324</v>
      </c>
      <c r="M28" s="88"/>
      <c r="N28" s="78">
        <f>75</f>
        <v>75</v>
      </c>
      <c r="O28" s="80">
        <v>240</v>
      </c>
      <c r="P28" s="80">
        <f t="shared" si="5"/>
        <v>120</v>
      </c>
      <c r="Q28" s="80">
        <f t="shared" si="2"/>
        <v>235</v>
      </c>
      <c r="R28" s="80">
        <f t="shared" si="3"/>
        <v>100</v>
      </c>
      <c r="S28" s="78">
        <f t="shared" si="4"/>
        <v>695</v>
      </c>
      <c r="T28" s="78">
        <f>50</f>
        <v>50</v>
      </c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 ht="15.75" x14ac:dyDescent="0.25">
      <c r="A29" s="16">
        <v>41791</v>
      </c>
      <c r="B29" s="91">
        <v>30</v>
      </c>
      <c r="C29" s="78">
        <f>194.205</f>
        <v>194.20500000000001</v>
      </c>
      <c r="D29" s="78">
        <f>267.466</f>
        <v>267.46600000000001</v>
      </c>
      <c r="E29" s="86">
        <f>133.845</f>
        <v>133.845</v>
      </c>
      <c r="F29" s="78">
        <f>278.484-40-25</f>
        <v>213.48399999999998</v>
      </c>
      <c r="G29" s="80">
        <v>40</v>
      </c>
      <c r="H29" s="78">
        <v>25</v>
      </c>
      <c r="I29" s="92">
        <v>50</v>
      </c>
      <c r="J29" s="80">
        <v>100</v>
      </c>
      <c r="K29" s="80">
        <v>300</v>
      </c>
      <c r="L29" s="78">
        <f t="shared" si="0"/>
        <v>1324</v>
      </c>
      <c r="M29" s="88"/>
      <c r="N29" s="78">
        <f>30</f>
        <v>30</v>
      </c>
      <c r="O29" s="80">
        <v>240</v>
      </c>
      <c r="P29" s="80">
        <f t="shared" si="5"/>
        <v>120</v>
      </c>
      <c r="Q29" s="80">
        <f t="shared" si="2"/>
        <v>235</v>
      </c>
      <c r="R29" s="80">
        <f t="shared" si="3"/>
        <v>100</v>
      </c>
      <c r="S29" s="78">
        <f t="shared" si="4"/>
        <v>695</v>
      </c>
      <c r="T29" s="78">
        <f>50</f>
        <v>50</v>
      </c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1:30" ht="15.75" x14ac:dyDescent="0.25">
      <c r="A30" s="16">
        <v>41821</v>
      </c>
      <c r="B30" s="91">
        <v>31</v>
      </c>
      <c r="C30" s="78">
        <f>194.205</f>
        <v>194.20500000000001</v>
      </c>
      <c r="D30" s="78">
        <f>267.466</f>
        <v>267.46600000000001</v>
      </c>
      <c r="E30" s="86">
        <f>133.845</f>
        <v>133.845</v>
      </c>
      <c r="F30" s="78">
        <f>278.484-40-25</f>
        <v>213.48399999999998</v>
      </c>
      <c r="G30" s="80">
        <v>40</v>
      </c>
      <c r="H30" s="78">
        <v>25</v>
      </c>
      <c r="I30" s="92">
        <v>50</v>
      </c>
      <c r="J30" s="80">
        <v>100</v>
      </c>
      <c r="K30" s="80">
        <v>300</v>
      </c>
      <c r="L30" s="78">
        <f t="shared" si="0"/>
        <v>1324</v>
      </c>
      <c r="M30" s="88"/>
      <c r="N30" s="78">
        <f>30</f>
        <v>30</v>
      </c>
      <c r="O30" s="80">
        <v>240</v>
      </c>
      <c r="P30" s="80">
        <f t="shared" si="5"/>
        <v>120</v>
      </c>
      <c r="Q30" s="80">
        <f t="shared" si="2"/>
        <v>235</v>
      </c>
      <c r="R30" s="80">
        <f t="shared" si="3"/>
        <v>100</v>
      </c>
      <c r="S30" s="78">
        <f t="shared" si="4"/>
        <v>695</v>
      </c>
      <c r="T30" s="78">
        <f>0</f>
        <v>0</v>
      </c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1:30" ht="15.75" x14ac:dyDescent="0.25">
      <c r="A31" s="16">
        <v>41852</v>
      </c>
      <c r="B31" s="91">
        <v>31</v>
      </c>
      <c r="C31" s="78">
        <f>194.205</f>
        <v>194.20500000000001</v>
      </c>
      <c r="D31" s="78">
        <f>267.466</f>
        <v>267.46600000000001</v>
      </c>
      <c r="E31" s="86">
        <f>133.845</f>
        <v>133.845</v>
      </c>
      <c r="F31" s="78">
        <f>278.484-40-25</f>
        <v>213.48399999999998</v>
      </c>
      <c r="G31" s="80">
        <v>40</v>
      </c>
      <c r="H31" s="78">
        <v>25</v>
      </c>
      <c r="I31" s="92">
        <v>50</v>
      </c>
      <c r="J31" s="80">
        <v>100</v>
      </c>
      <c r="K31" s="80">
        <v>300</v>
      </c>
      <c r="L31" s="78">
        <f t="shared" si="0"/>
        <v>1324</v>
      </c>
      <c r="M31" s="88"/>
      <c r="N31" s="78">
        <f>30</f>
        <v>30</v>
      </c>
      <c r="O31" s="80">
        <v>240</v>
      </c>
      <c r="P31" s="80">
        <f t="shared" si="5"/>
        <v>120</v>
      </c>
      <c r="Q31" s="80">
        <f t="shared" si="2"/>
        <v>235</v>
      </c>
      <c r="R31" s="80">
        <f t="shared" si="3"/>
        <v>100</v>
      </c>
      <c r="S31" s="78">
        <f t="shared" si="4"/>
        <v>695</v>
      </c>
      <c r="T31" s="78">
        <f>0</f>
        <v>0</v>
      </c>
      <c r="U31" s="76"/>
      <c r="V31" s="76"/>
      <c r="W31" s="76"/>
      <c r="X31" s="76"/>
      <c r="Y31" s="76"/>
      <c r="Z31" s="76"/>
      <c r="AA31" s="76"/>
      <c r="AB31" s="76"/>
      <c r="AC31" s="76"/>
      <c r="AD31" s="76"/>
    </row>
    <row r="32" spans="1:30" ht="15.75" x14ac:dyDescent="0.25">
      <c r="A32" s="16">
        <v>41883</v>
      </c>
      <c r="B32" s="91">
        <v>30</v>
      </c>
      <c r="C32" s="78">
        <f>194.205</f>
        <v>194.20500000000001</v>
      </c>
      <c r="D32" s="78">
        <f>267.466</f>
        <v>267.46600000000001</v>
      </c>
      <c r="E32" s="86">
        <f>133.845</f>
        <v>133.845</v>
      </c>
      <c r="F32" s="78">
        <f>278.484-40-25</f>
        <v>213.48399999999998</v>
      </c>
      <c r="G32" s="80">
        <v>40</v>
      </c>
      <c r="H32" s="78">
        <v>25</v>
      </c>
      <c r="I32" s="92">
        <v>50</v>
      </c>
      <c r="J32" s="80">
        <v>100</v>
      </c>
      <c r="K32" s="80">
        <v>300</v>
      </c>
      <c r="L32" s="78">
        <f t="shared" si="0"/>
        <v>1324</v>
      </c>
      <c r="M32" s="88"/>
      <c r="N32" s="78">
        <f>30</f>
        <v>30</v>
      </c>
      <c r="O32" s="80">
        <v>240</v>
      </c>
      <c r="P32" s="80">
        <f t="shared" si="5"/>
        <v>120</v>
      </c>
      <c r="Q32" s="80">
        <f t="shared" si="2"/>
        <v>235</v>
      </c>
      <c r="R32" s="80">
        <f t="shared" si="3"/>
        <v>100</v>
      </c>
      <c r="S32" s="78">
        <f t="shared" si="4"/>
        <v>695</v>
      </c>
      <c r="T32" s="78">
        <f>0</f>
        <v>0</v>
      </c>
      <c r="U32" s="76"/>
      <c r="V32" s="76"/>
      <c r="W32" s="76"/>
      <c r="X32" s="76"/>
      <c r="Y32" s="76"/>
      <c r="Z32" s="76"/>
      <c r="AA32" s="76"/>
      <c r="AB32" s="76"/>
      <c r="AC32" s="76"/>
      <c r="AD32" s="76"/>
    </row>
    <row r="33" spans="1:30" ht="15.75" x14ac:dyDescent="0.25">
      <c r="A33" s="16">
        <v>41913</v>
      </c>
      <c r="B33" s="91">
        <v>31</v>
      </c>
      <c r="C33" s="78">
        <f>131.881</f>
        <v>131.881</v>
      </c>
      <c r="D33" s="78">
        <f>277.167</f>
        <v>277.16699999999997</v>
      </c>
      <c r="E33" s="86">
        <f>79.08</f>
        <v>79.08</v>
      </c>
      <c r="F33" s="78">
        <f>350.872-40-25</f>
        <v>285.87200000000001</v>
      </c>
      <c r="G33" s="80">
        <v>40</v>
      </c>
      <c r="H33" s="78">
        <v>25</v>
      </c>
      <c r="I33" s="78">
        <v>0</v>
      </c>
      <c r="J33" s="80">
        <v>100</v>
      </c>
      <c r="K33" s="80">
        <v>300</v>
      </c>
      <c r="L33" s="78">
        <f t="shared" si="0"/>
        <v>1239</v>
      </c>
      <c r="M33" s="88"/>
      <c r="N33" s="78">
        <f>75</f>
        <v>75</v>
      </c>
      <c r="O33" s="80">
        <v>240</v>
      </c>
      <c r="P33" s="80">
        <f t="shared" si="5"/>
        <v>120</v>
      </c>
      <c r="Q33" s="80">
        <f t="shared" si="2"/>
        <v>235</v>
      </c>
      <c r="R33" s="80">
        <f t="shared" si="3"/>
        <v>100</v>
      </c>
      <c r="S33" s="78">
        <f t="shared" si="4"/>
        <v>695</v>
      </c>
      <c r="T33" s="78">
        <f>0</f>
        <v>0</v>
      </c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 ht="15.75" x14ac:dyDescent="0.25">
      <c r="A34" s="16">
        <v>41944</v>
      </c>
      <c r="B34" s="91">
        <v>30</v>
      </c>
      <c r="C34" s="78">
        <f>122.58</f>
        <v>122.58</v>
      </c>
      <c r="D34" s="78">
        <f>297.941</f>
        <v>297.94099999999997</v>
      </c>
      <c r="E34" s="86">
        <f>89.177</f>
        <v>89.177000000000007</v>
      </c>
      <c r="F34" s="78">
        <f>240.302-40</f>
        <v>200.30199999999999</v>
      </c>
      <c r="G34" s="80">
        <v>40</v>
      </c>
      <c r="H34" s="78">
        <v>0</v>
      </c>
      <c r="I34" s="78">
        <v>0</v>
      </c>
      <c r="J34" s="80">
        <v>100</v>
      </c>
      <c r="K34" s="80">
        <v>300</v>
      </c>
      <c r="L34" s="78">
        <f t="shared" si="0"/>
        <v>1150</v>
      </c>
      <c r="M34" s="88"/>
      <c r="N34" s="78">
        <f>100</f>
        <v>100</v>
      </c>
      <c r="O34" s="80">
        <v>240</v>
      </c>
      <c r="P34" s="80">
        <v>0</v>
      </c>
      <c r="Q34" s="80">
        <f t="shared" si="2"/>
        <v>355</v>
      </c>
      <c r="R34" s="80">
        <f t="shared" si="3"/>
        <v>100</v>
      </c>
      <c r="S34" s="78">
        <f t="shared" si="4"/>
        <v>695</v>
      </c>
      <c r="T34" s="78">
        <f>50</f>
        <v>50</v>
      </c>
      <c r="U34" s="76"/>
      <c r="V34" s="76"/>
      <c r="W34" s="76"/>
      <c r="X34" s="76"/>
      <c r="Y34" s="76"/>
      <c r="Z34" s="76"/>
      <c r="AA34" s="76"/>
      <c r="AB34" s="76"/>
      <c r="AC34" s="76"/>
      <c r="AD34" s="76"/>
    </row>
    <row r="35" spans="1:30" ht="15.75" x14ac:dyDescent="0.25">
      <c r="A35" s="16">
        <v>41974</v>
      </c>
      <c r="B35" s="91">
        <v>31</v>
      </c>
      <c r="C35" s="78">
        <f>122.58</f>
        <v>122.58</v>
      </c>
      <c r="D35" s="78">
        <f>297.941</f>
        <v>297.94099999999997</v>
      </c>
      <c r="E35" s="86">
        <f>89.177</f>
        <v>89.177000000000007</v>
      </c>
      <c r="F35" s="78">
        <f>240.302-40</f>
        <v>200.30199999999999</v>
      </c>
      <c r="G35" s="80">
        <v>40</v>
      </c>
      <c r="H35" s="78">
        <v>0</v>
      </c>
      <c r="I35" s="78">
        <v>0</v>
      </c>
      <c r="J35" s="80">
        <v>100</v>
      </c>
      <c r="K35" s="80">
        <v>300</v>
      </c>
      <c r="L35" s="78">
        <f t="shared" si="0"/>
        <v>1150</v>
      </c>
      <c r="M35" s="88"/>
      <c r="N35" s="78">
        <f>100</f>
        <v>100</v>
      </c>
      <c r="O35" s="80">
        <v>240</v>
      </c>
      <c r="P35" s="80">
        <v>0</v>
      </c>
      <c r="Q35" s="80">
        <f t="shared" si="2"/>
        <v>355</v>
      </c>
      <c r="R35" s="80">
        <f t="shared" si="3"/>
        <v>100</v>
      </c>
      <c r="S35" s="78">
        <f t="shared" si="4"/>
        <v>695</v>
      </c>
      <c r="T35" s="78">
        <f>50</f>
        <v>50</v>
      </c>
      <c r="U35" s="76"/>
      <c r="V35" s="76"/>
      <c r="W35" s="76"/>
      <c r="X35" s="76"/>
      <c r="Y35" s="76"/>
      <c r="Z35" s="76"/>
      <c r="AA35" s="76"/>
      <c r="AB35" s="76"/>
      <c r="AC35" s="76"/>
      <c r="AD35" s="76"/>
    </row>
    <row r="36" spans="1:30" ht="15.75" x14ac:dyDescent="0.25">
      <c r="A36" s="16">
        <v>42005</v>
      </c>
      <c r="B36" s="91">
        <v>31</v>
      </c>
      <c r="C36" s="78">
        <f>122.58</f>
        <v>122.58</v>
      </c>
      <c r="D36" s="78">
        <f>297.941</f>
        <v>297.94099999999997</v>
      </c>
      <c r="E36" s="86">
        <f>89.177</f>
        <v>89.177000000000007</v>
      </c>
      <c r="F36" s="78">
        <f>240.302-40</f>
        <v>200.30199999999999</v>
      </c>
      <c r="G36" s="80">
        <v>40</v>
      </c>
      <c r="H36" s="78">
        <v>0</v>
      </c>
      <c r="I36" s="78">
        <v>0</v>
      </c>
      <c r="J36" s="80">
        <v>100</v>
      </c>
      <c r="K36" s="80">
        <v>300</v>
      </c>
      <c r="L36" s="78">
        <f t="shared" si="0"/>
        <v>1150</v>
      </c>
      <c r="M36" s="88"/>
      <c r="N36" s="78">
        <f>100</f>
        <v>100</v>
      </c>
      <c r="O36" s="80">
        <v>240</v>
      </c>
      <c r="P36" s="80">
        <v>0</v>
      </c>
      <c r="Q36" s="80">
        <f t="shared" si="2"/>
        <v>355</v>
      </c>
      <c r="R36" s="80">
        <f t="shared" si="3"/>
        <v>100</v>
      </c>
      <c r="S36" s="78">
        <f t="shared" si="4"/>
        <v>695</v>
      </c>
      <c r="T36" s="78">
        <f>50</f>
        <v>50</v>
      </c>
      <c r="U36" s="76"/>
      <c r="V36" s="76"/>
      <c r="W36" s="76"/>
      <c r="X36" s="76"/>
      <c r="Y36" s="76"/>
      <c r="Z36" s="76"/>
      <c r="AA36" s="76"/>
      <c r="AB36" s="76"/>
      <c r="AC36" s="76"/>
      <c r="AD36" s="76"/>
    </row>
    <row r="37" spans="1:30" ht="15.75" x14ac:dyDescent="0.25">
      <c r="A37" s="16">
        <v>42036</v>
      </c>
      <c r="B37" s="91">
        <v>28</v>
      </c>
      <c r="C37" s="78">
        <f>122.58</f>
        <v>122.58</v>
      </c>
      <c r="D37" s="78">
        <f>297.941</f>
        <v>297.94099999999997</v>
      </c>
      <c r="E37" s="86">
        <f>89.177</f>
        <v>89.177000000000007</v>
      </c>
      <c r="F37" s="78">
        <f>240.302-40</f>
        <v>200.30199999999999</v>
      </c>
      <c r="G37" s="80">
        <v>40</v>
      </c>
      <c r="H37" s="78">
        <v>0</v>
      </c>
      <c r="I37" s="78">
        <v>0</v>
      </c>
      <c r="J37" s="80">
        <v>100</v>
      </c>
      <c r="K37" s="80">
        <v>300</v>
      </c>
      <c r="L37" s="78">
        <f t="shared" si="0"/>
        <v>1150</v>
      </c>
      <c r="M37" s="88"/>
      <c r="N37" s="78">
        <f>100</f>
        <v>100</v>
      </c>
      <c r="O37" s="80">
        <v>240</v>
      </c>
      <c r="P37" s="80">
        <v>0</v>
      </c>
      <c r="Q37" s="80">
        <f t="shared" si="2"/>
        <v>355</v>
      </c>
      <c r="R37" s="80">
        <f t="shared" si="3"/>
        <v>100</v>
      </c>
      <c r="S37" s="78">
        <f t="shared" si="4"/>
        <v>695</v>
      </c>
      <c r="T37" s="78">
        <f>50</f>
        <v>50</v>
      </c>
      <c r="U37" s="76"/>
      <c r="V37" s="76"/>
      <c r="W37" s="76"/>
      <c r="X37" s="76"/>
      <c r="Y37" s="76"/>
      <c r="Z37" s="76"/>
      <c r="AA37" s="76"/>
      <c r="AB37" s="76"/>
      <c r="AC37" s="76"/>
      <c r="AD37" s="76"/>
    </row>
    <row r="38" spans="1:30" ht="15.75" x14ac:dyDescent="0.25">
      <c r="A38" s="16">
        <v>42064</v>
      </c>
      <c r="B38" s="91">
        <v>31</v>
      </c>
      <c r="C38" s="78">
        <f>122.58</f>
        <v>122.58</v>
      </c>
      <c r="D38" s="78">
        <f>297.941</f>
        <v>297.94099999999997</v>
      </c>
      <c r="E38" s="86">
        <f>89.177</f>
        <v>89.177000000000007</v>
      </c>
      <c r="F38" s="78">
        <f>240.302-40</f>
        <v>200.30199999999999</v>
      </c>
      <c r="G38" s="80">
        <v>40</v>
      </c>
      <c r="H38" s="78">
        <v>0</v>
      </c>
      <c r="I38" s="78">
        <v>0</v>
      </c>
      <c r="J38" s="80">
        <v>100</v>
      </c>
      <c r="K38" s="80">
        <v>300</v>
      </c>
      <c r="L38" s="78">
        <f t="shared" si="0"/>
        <v>1150</v>
      </c>
      <c r="M38" s="88"/>
      <c r="N38" s="78">
        <f>100</f>
        <v>100</v>
      </c>
      <c r="O38" s="80">
        <v>240</v>
      </c>
      <c r="P38" s="80">
        <v>0</v>
      </c>
      <c r="Q38" s="80">
        <f t="shared" si="2"/>
        <v>355</v>
      </c>
      <c r="R38" s="80">
        <f t="shared" si="3"/>
        <v>100</v>
      </c>
      <c r="S38" s="78">
        <f t="shared" si="4"/>
        <v>695</v>
      </c>
      <c r="T38" s="78">
        <f>50</f>
        <v>50</v>
      </c>
      <c r="U38" s="76"/>
      <c r="V38" s="76"/>
      <c r="W38" s="76"/>
      <c r="X38" s="76"/>
      <c r="Y38" s="76"/>
      <c r="Z38" s="76"/>
      <c r="AA38" s="76"/>
      <c r="AB38" s="76"/>
      <c r="AC38" s="76"/>
      <c r="AD38" s="76"/>
    </row>
    <row r="39" spans="1:30" ht="15.75" x14ac:dyDescent="0.25">
      <c r="A39" s="16">
        <v>42095</v>
      </c>
      <c r="B39" s="91">
        <v>30</v>
      </c>
      <c r="C39" s="78">
        <f>141.293</f>
        <v>141.29300000000001</v>
      </c>
      <c r="D39" s="78">
        <f>267.993</f>
        <v>267.99299999999999</v>
      </c>
      <c r="E39" s="86">
        <f>115.016</f>
        <v>115.01600000000001</v>
      </c>
      <c r="F39" s="78">
        <f>314.698-40-25-60</f>
        <v>189.69799999999998</v>
      </c>
      <c r="G39" s="80">
        <v>40</v>
      </c>
      <c r="H39" s="78">
        <f t="shared" ref="H39:H45" si="6">25+60</f>
        <v>85</v>
      </c>
      <c r="I39" s="78">
        <v>0</v>
      </c>
      <c r="J39" s="80">
        <v>100</v>
      </c>
      <c r="K39" s="80">
        <v>300</v>
      </c>
      <c r="L39" s="78">
        <f t="shared" si="0"/>
        <v>1239</v>
      </c>
      <c r="M39" s="88"/>
      <c r="N39" s="78">
        <f>100</f>
        <v>100</v>
      </c>
      <c r="O39" s="80">
        <v>240</v>
      </c>
      <c r="P39" s="80">
        <f t="shared" ref="P39:P45" si="7">120+40</f>
        <v>160</v>
      </c>
      <c r="Q39" s="80">
        <f t="shared" si="2"/>
        <v>195</v>
      </c>
      <c r="R39" s="80">
        <f t="shared" si="3"/>
        <v>100</v>
      </c>
      <c r="S39" s="78">
        <f t="shared" si="4"/>
        <v>695</v>
      </c>
      <c r="T39" s="78">
        <f>50</f>
        <v>50</v>
      </c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0" spans="1:30" ht="15.75" x14ac:dyDescent="0.25">
      <c r="A40" s="16">
        <v>42125</v>
      </c>
      <c r="B40" s="91">
        <v>31</v>
      </c>
      <c r="C40" s="78">
        <f>194.205</f>
        <v>194.20500000000001</v>
      </c>
      <c r="D40" s="78">
        <f>267.466</f>
        <v>267.46600000000001</v>
      </c>
      <c r="E40" s="86">
        <f>133.845</f>
        <v>133.845</v>
      </c>
      <c r="F40" s="78">
        <f>278.484-40-25-60</f>
        <v>153.48399999999998</v>
      </c>
      <c r="G40" s="80">
        <v>40</v>
      </c>
      <c r="H40" s="78">
        <f t="shared" si="6"/>
        <v>85</v>
      </c>
      <c r="I40" s="92">
        <v>50</v>
      </c>
      <c r="J40" s="80">
        <v>100</v>
      </c>
      <c r="K40" s="80">
        <v>300</v>
      </c>
      <c r="L40" s="78">
        <f t="shared" si="0"/>
        <v>1324</v>
      </c>
      <c r="M40" s="88"/>
      <c r="N40" s="78">
        <f>75</f>
        <v>75</v>
      </c>
      <c r="O40" s="80">
        <v>240</v>
      </c>
      <c r="P40" s="80">
        <f t="shared" si="7"/>
        <v>160</v>
      </c>
      <c r="Q40" s="80">
        <f t="shared" si="2"/>
        <v>195</v>
      </c>
      <c r="R40" s="80">
        <f t="shared" si="3"/>
        <v>100</v>
      </c>
      <c r="S40" s="78">
        <f t="shared" si="4"/>
        <v>695</v>
      </c>
      <c r="T40" s="78">
        <f>50</f>
        <v>50</v>
      </c>
      <c r="U40" s="76"/>
      <c r="V40" s="76"/>
      <c r="W40" s="76"/>
      <c r="X40" s="76"/>
      <c r="Y40" s="76"/>
      <c r="Z40" s="76"/>
      <c r="AA40" s="76"/>
      <c r="AB40" s="76"/>
      <c r="AC40" s="76"/>
      <c r="AD40" s="76"/>
    </row>
    <row r="41" spans="1:30" ht="15.75" x14ac:dyDescent="0.25">
      <c r="A41" s="16">
        <v>42156</v>
      </c>
      <c r="B41" s="91">
        <v>30</v>
      </c>
      <c r="C41" s="78">
        <f>194.205</f>
        <v>194.20500000000001</v>
      </c>
      <c r="D41" s="78">
        <f>267.466</f>
        <v>267.46600000000001</v>
      </c>
      <c r="E41" s="86">
        <f>133.845</f>
        <v>133.845</v>
      </c>
      <c r="F41" s="78">
        <f>278.484-40-25-60</f>
        <v>153.48399999999998</v>
      </c>
      <c r="G41" s="80">
        <v>40</v>
      </c>
      <c r="H41" s="78">
        <f t="shared" si="6"/>
        <v>85</v>
      </c>
      <c r="I41" s="92">
        <v>50</v>
      </c>
      <c r="J41" s="80">
        <v>100</v>
      </c>
      <c r="K41" s="80">
        <v>300</v>
      </c>
      <c r="L41" s="78">
        <f t="shared" si="0"/>
        <v>1324</v>
      </c>
      <c r="M41" s="88"/>
      <c r="N41" s="78">
        <f>30</f>
        <v>30</v>
      </c>
      <c r="O41" s="80">
        <v>240</v>
      </c>
      <c r="P41" s="80">
        <f t="shared" si="7"/>
        <v>160</v>
      </c>
      <c r="Q41" s="80">
        <f t="shared" si="2"/>
        <v>195</v>
      </c>
      <c r="R41" s="80">
        <f t="shared" si="3"/>
        <v>100</v>
      </c>
      <c r="S41" s="78">
        <f t="shared" si="4"/>
        <v>695</v>
      </c>
      <c r="T41" s="78">
        <f>50</f>
        <v>50</v>
      </c>
      <c r="U41" s="76"/>
      <c r="V41" s="76"/>
      <c r="W41" s="76"/>
      <c r="X41" s="76"/>
      <c r="Y41" s="76"/>
      <c r="Z41" s="76"/>
      <c r="AA41" s="76"/>
      <c r="AB41" s="76"/>
      <c r="AC41" s="76"/>
      <c r="AD41" s="76"/>
    </row>
    <row r="42" spans="1:30" ht="15.75" x14ac:dyDescent="0.25">
      <c r="A42" s="16">
        <v>42186</v>
      </c>
      <c r="B42" s="91">
        <v>31</v>
      </c>
      <c r="C42" s="78">
        <f>194.205</f>
        <v>194.20500000000001</v>
      </c>
      <c r="D42" s="78">
        <f>267.466</f>
        <v>267.46600000000001</v>
      </c>
      <c r="E42" s="86">
        <f>133.845</f>
        <v>133.845</v>
      </c>
      <c r="F42" s="78">
        <f>278.484-40-25-60</f>
        <v>153.48399999999998</v>
      </c>
      <c r="G42" s="80">
        <v>40</v>
      </c>
      <c r="H42" s="78">
        <f t="shared" si="6"/>
        <v>85</v>
      </c>
      <c r="I42" s="92">
        <v>50</v>
      </c>
      <c r="J42" s="80">
        <v>100</v>
      </c>
      <c r="K42" s="80">
        <v>300</v>
      </c>
      <c r="L42" s="78">
        <f t="shared" si="0"/>
        <v>1324</v>
      </c>
      <c r="M42" s="88"/>
      <c r="N42" s="78">
        <f>30</f>
        <v>30</v>
      </c>
      <c r="O42" s="80">
        <v>240</v>
      </c>
      <c r="P42" s="80">
        <f t="shared" si="7"/>
        <v>160</v>
      </c>
      <c r="Q42" s="80">
        <f t="shared" si="2"/>
        <v>195</v>
      </c>
      <c r="R42" s="80">
        <f t="shared" si="3"/>
        <v>100</v>
      </c>
      <c r="S42" s="78">
        <f t="shared" si="4"/>
        <v>695</v>
      </c>
      <c r="T42" s="78">
        <f>0</f>
        <v>0</v>
      </c>
      <c r="U42" s="76"/>
      <c r="V42" s="76"/>
      <c r="W42" s="76"/>
      <c r="X42" s="76"/>
      <c r="Y42" s="76"/>
      <c r="Z42" s="76"/>
      <c r="AA42" s="76"/>
      <c r="AB42" s="76"/>
      <c r="AC42" s="76"/>
      <c r="AD42" s="76"/>
    </row>
    <row r="43" spans="1:30" ht="15.75" x14ac:dyDescent="0.25">
      <c r="A43" s="16">
        <v>42217</v>
      </c>
      <c r="B43" s="91">
        <v>31</v>
      </c>
      <c r="C43" s="78">
        <f>194.205</f>
        <v>194.20500000000001</v>
      </c>
      <c r="D43" s="78">
        <f>267.466</f>
        <v>267.46600000000001</v>
      </c>
      <c r="E43" s="86">
        <f>133.845</f>
        <v>133.845</v>
      </c>
      <c r="F43" s="78">
        <f>278.484-40-25-60</f>
        <v>153.48399999999998</v>
      </c>
      <c r="G43" s="80">
        <v>40</v>
      </c>
      <c r="H43" s="78">
        <f t="shared" si="6"/>
        <v>85</v>
      </c>
      <c r="I43" s="92">
        <v>50</v>
      </c>
      <c r="J43" s="80">
        <v>100</v>
      </c>
      <c r="K43" s="80">
        <v>300</v>
      </c>
      <c r="L43" s="78">
        <f t="shared" si="0"/>
        <v>1324</v>
      </c>
      <c r="M43" s="88"/>
      <c r="N43" s="78">
        <f>30</f>
        <v>30</v>
      </c>
      <c r="O43" s="80">
        <v>240</v>
      </c>
      <c r="P43" s="80">
        <f t="shared" si="7"/>
        <v>160</v>
      </c>
      <c r="Q43" s="80">
        <f t="shared" si="2"/>
        <v>195</v>
      </c>
      <c r="R43" s="80">
        <f t="shared" si="3"/>
        <v>100</v>
      </c>
      <c r="S43" s="78">
        <f t="shared" si="4"/>
        <v>695</v>
      </c>
      <c r="T43" s="78">
        <f>0</f>
        <v>0</v>
      </c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 ht="15.75" x14ac:dyDescent="0.25">
      <c r="A44" s="16">
        <v>42248</v>
      </c>
      <c r="B44" s="91">
        <v>30</v>
      </c>
      <c r="C44" s="78">
        <f>194.205</f>
        <v>194.20500000000001</v>
      </c>
      <c r="D44" s="78">
        <f>267.466</f>
        <v>267.46600000000001</v>
      </c>
      <c r="E44" s="86">
        <f>133.845</f>
        <v>133.845</v>
      </c>
      <c r="F44" s="78">
        <f>278.484-40-25-60</f>
        <v>153.48399999999998</v>
      </c>
      <c r="G44" s="80">
        <v>40</v>
      </c>
      <c r="H44" s="78">
        <f t="shared" si="6"/>
        <v>85</v>
      </c>
      <c r="I44" s="92">
        <v>50</v>
      </c>
      <c r="J44" s="80">
        <v>100</v>
      </c>
      <c r="K44" s="80">
        <v>300</v>
      </c>
      <c r="L44" s="78">
        <f t="shared" si="0"/>
        <v>1324</v>
      </c>
      <c r="M44" s="88"/>
      <c r="N44" s="78">
        <f>30</f>
        <v>30</v>
      </c>
      <c r="O44" s="80">
        <v>240</v>
      </c>
      <c r="P44" s="80">
        <f t="shared" si="7"/>
        <v>160</v>
      </c>
      <c r="Q44" s="80">
        <f t="shared" si="2"/>
        <v>195</v>
      </c>
      <c r="R44" s="80">
        <f t="shared" si="3"/>
        <v>100</v>
      </c>
      <c r="S44" s="78">
        <f t="shared" si="4"/>
        <v>695</v>
      </c>
      <c r="T44" s="78">
        <f>0</f>
        <v>0</v>
      </c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15.75" x14ac:dyDescent="0.25">
      <c r="A45" s="16">
        <v>42278</v>
      </c>
      <c r="B45" s="91">
        <v>31</v>
      </c>
      <c r="C45" s="78">
        <f>131.881</f>
        <v>131.881</v>
      </c>
      <c r="D45" s="78">
        <f>277.167</f>
        <v>277.16699999999997</v>
      </c>
      <c r="E45" s="86">
        <f>79.08</f>
        <v>79.08</v>
      </c>
      <c r="F45" s="78">
        <f>350.872-40-25-60</f>
        <v>225.87200000000001</v>
      </c>
      <c r="G45" s="80">
        <v>40</v>
      </c>
      <c r="H45" s="78">
        <f t="shared" si="6"/>
        <v>85</v>
      </c>
      <c r="I45" s="78">
        <v>0</v>
      </c>
      <c r="J45" s="80">
        <v>100</v>
      </c>
      <c r="K45" s="80">
        <v>300</v>
      </c>
      <c r="L45" s="78">
        <f t="shared" si="0"/>
        <v>1239</v>
      </c>
      <c r="M45" s="88"/>
      <c r="N45" s="78">
        <f>75</f>
        <v>75</v>
      </c>
      <c r="O45" s="80">
        <v>240</v>
      </c>
      <c r="P45" s="80">
        <f t="shared" si="7"/>
        <v>160</v>
      </c>
      <c r="Q45" s="80">
        <f t="shared" si="2"/>
        <v>195</v>
      </c>
      <c r="R45" s="80">
        <f t="shared" si="3"/>
        <v>100</v>
      </c>
      <c r="S45" s="78">
        <f t="shared" si="4"/>
        <v>695</v>
      </c>
      <c r="T45" s="78">
        <f>0</f>
        <v>0</v>
      </c>
      <c r="U45" s="76"/>
      <c r="V45" s="76"/>
      <c r="W45" s="76"/>
      <c r="X45" s="76"/>
      <c r="Y45" s="76"/>
      <c r="Z45" s="76"/>
      <c r="AA45" s="76"/>
      <c r="AB45" s="76"/>
      <c r="AC45" s="76"/>
      <c r="AD45" s="76"/>
    </row>
    <row r="46" spans="1:30" ht="15.75" x14ac:dyDescent="0.25">
      <c r="A46" s="16">
        <v>42309</v>
      </c>
      <c r="B46" s="91">
        <v>30</v>
      </c>
      <c r="C46" s="78">
        <f>122.58</f>
        <v>122.58</v>
      </c>
      <c r="D46" s="78">
        <f>297.941</f>
        <v>297.94099999999997</v>
      </c>
      <c r="E46" s="86">
        <f>89.177</f>
        <v>89.177000000000007</v>
      </c>
      <c r="F46" s="78">
        <f>240.302-40-60</f>
        <v>140.30199999999999</v>
      </c>
      <c r="G46" s="80">
        <v>40</v>
      </c>
      <c r="H46" s="78">
        <v>60</v>
      </c>
      <c r="I46" s="78">
        <v>0</v>
      </c>
      <c r="J46" s="80">
        <v>100</v>
      </c>
      <c r="K46" s="80">
        <v>300</v>
      </c>
      <c r="L46" s="78">
        <f t="shared" si="0"/>
        <v>1150</v>
      </c>
      <c r="M46" s="88"/>
      <c r="N46" s="78">
        <f>100</f>
        <v>100</v>
      </c>
      <c r="O46" s="80">
        <v>240</v>
      </c>
      <c r="P46" s="80">
        <v>40</v>
      </c>
      <c r="Q46" s="80">
        <f t="shared" si="2"/>
        <v>315</v>
      </c>
      <c r="R46" s="80">
        <f t="shared" si="3"/>
        <v>100</v>
      </c>
      <c r="S46" s="78">
        <f t="shared" si="4"/>
        <v>695</v>
      </c>
      <c r="T46" s="78">
        <f>50</f>
        <v>50</v>
      </c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15.75" x14ac:dyDescent="0.25">
      <c r="A47" s="16">
        <v>42339</v>
      </c>
      <c r="B47" s="91">
        <v>31</v>
      </c>
      <c r="C47" s="78">
        <f>122.58</f>
        <v>122.58</v>
      </c>
      <c r="D47" s="78">
        <f>297.941</f>
        <v>297.94099999999997</v>
      </c>
      <c r="E47" s="86">
        <f>89.177</f>
        <v>89.177000000000007</v>
      </c>
      <c r="F47" s="78">
        <f>240.302-40-60</f>
        <v>140.30199999999999</v>
      </c>
      <c r="G47" s="80">
        <v>40</v>
      </c>
      <c r="H47" s="78">
        <v>60</v>
      </c>
      <c r="I47" s="78">
        <v>0</v>
      </c>
      <c r="J47" s="80">
        <v>100</v>
      </c>
      <c r="K47" s="80">
        <v>300</v>
      </c>
      <c r="L47" s="78">
        <f t="shared" si="0"/>
        <v>1150</v>
      </c>
      <c r="M47" s="88"/>
      <c r="N47" s="78">
        <f>100</f>
        <v>100</v>
      </c>
      <c r="O47" s="80">
        <v>240</v>
      </c>
      <c r="P47" s="80">
        <v>40</v>
      </c>
      <c r="Q47" s="80">
        <f t="shared" si="2"/>
        <v>315</v>
      </c>
      <c r="R47" s="80">
        <f t="shared" si="3"/>
        <v>100</v>
      </c>
      <c r="S47" s="78">
        <f t="shared" si="4"/>
        <v>695</v>
      </c>
      <c r="T47" s="78">
        <f>50</f>
        <v>50</v>
      </c>
      <c r="U47" s="76"/>
      <c r="V47" s="76"/>
      <c r="W47" s="76"/>
      <c r="X47" s="76"/>
      <c r="Y47" s="76"/>
      <c r="Z47" s="76"/>
      <c r="AA47" s="76"/>
      <c r="AB47" s="76"/>
      <c r="AC47" s="76"/>
      <c r="AD47" s="76"/>
    </row>
    <row r="48" spans="1:30" ht="15.75" x14ac:dyDescent="0.25">
      <c r="A48" s="16">
        <v>42370</v>
      </c>
      <c r="B48" s="91">
        <v>31</v>
      </c>
      <c r="C48" s="78">
        <f>122.58</f>
        <v>122.58</v>
      </c>
      <c r="D48" s="78">
        <f>297.941</f>
        <v>297.94099999999997</v>
      </c>
      <c r="E48" s="86">
        <f>89.177</f>
        <v>89.177000000000007</v>
      </c>
      <c r="F48" s="78">
        <f>240.302-40-60</f>
        <v>140.30199999999999</v>
      </c>
      <c r="G48" s="80">
        <v>40</v>
      </c>
      <c r="H48" s="78">
        <v>60</v>
      </c>
      <c r="I48" s="78">
        <v>0</v>
      </c>
      <c r="J48" s="80">
        <v>100</v>
      </c>
      <c r="K48" s="80">
        <v>300</v>
      </c>
      <c r="L48" s="78">
        <f t="shared" si="0"/>
        <v>1150</v>
      </c>
      <c r="M48" s="88"/>
      <c r="N48" s="78">
        <f>100</f>
        <v>100</v>
      </c>
      <c r="O48" s="80">
        <v>240</v>
      </c>
      <c r="P48" s="80">
        <v>40</v>
      </c>
      <c r="Q48" s="80">
        <f t="shared" si="2"/>
        <v>315</v>
      </c>
      <c r="R48" s="80">
        <f t="shared" si="3"/>
        <v>100</v>
      </c>
      <c r="S48" s="78">
        <f t="shared" si="4"/>
        <v>695</v>
      </c>
      <c r="T48" s="78">
        <f>50</f>
        <v>50</v>
      </c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 ht="15.75" x14ac:dyDescent="0.25">
      <c r="A49" s="16">
        <v>42401</v>
      </c>
      <c r="B49" s="91">
        <v>29</v>
      </c>
      <c r="C49" s="78">
        <f>122.58</f>
        <v>122.58</v>
      </c>
      <c r="D49" s="78">
        <f>297.941</f>
        <v>297.94099999999997</v>
      </c>
      <c r="E49" s="86">
        <f>89.177</f>
        <v>89.177000000000007</v>
      </c>
      <c r="F49" s="78">
        <f>240.302-40-60</f>
        <v>140.30199999999999</v>
      </c>
      <c r="G49" s="80">
        <v>40</v>
      </c>
      <c r="H49" s="78">
        <v>60</v>
      </c>
      <c r="I49" s="78">
        <v>0</v>
      </c>
      <c r="J49" s="80">
        <v>100</v>
      </c>
      <c r="K49" s="80">
        <v>300</v>
      </c>
      <c r="L49" s="78">
        <f t="shared" si="0"/>
        <v>1150</v>
      </c>
      <c r="M49" s="88"/>
      <c r="N49" s="78">
        <f>100</f>
        <v>100</v>
      </c>
      <c r="O49" s="80">
        <v>240</v>
      </c>
      <c r="P49" s="80">
        <v>40</v>
      </c>
      <c r="Q49" s="80">
        <f t="shared" si="2"/>
        <v>315</v>
      </c>
      <c r="R49" s="80">
        <f t="shared" si="3"/>
        <v>100</v>
      </c>
      <c r="S49" s="78">
        <f t="shared" si="4"/>
        <v>695</v>
      </c>
      <c r="T49" s="78">
        <f>50</f>
        <v>50</v>
      </c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 ht="15.75" x14ac:dyDescent="0.25">
      <c r="A50" s="16">
        <v>42430</v>
      </c>
      <c r="B50" s="91">
        <v>31</v>
      </c>
      <c r="C50" s="78">
        <f>122.58</f>
        <v>122.58</v>
      </c>
      <c r="D50" s="78">
        <f>297.941</f>
        <v>297.94099999999997</v>
      </c>
      <c r="E50" s="86">
        <f>89.177</f>
        <v>89.177000000000007</v>
      </c>
      <c r="F50" s="78">
        <f>240.302-40-60</f>
        <v>140.30199999999999</v>
      </c>
      <c r="G50" s="80">
        <v>40</v>
      </c>
      <c r="H50" s="78">
        <v>60</v>
      </c>
      <c r="I50" s="78">
        <v>0</v>
      </c>
      <c r="J50" s="80">
        <v>100</v>
      </c>
      <c r="K50" s="80">
        <v>300</v>
      </c>
      <c r="L50" s="78">
        <f t="shared" si="0"/>
        <v>1150</v>
      </c>
      <c r="M50" s="88"/>
      <c r="N50" s="78">
        <f>100</f>
        <v>100</v>
      </c>
      <c r="O50" s="80">
        <v>240</v>
      </c>
      <c r="P50" s="80">
        <v>40</v>
      </c>
      <c r="Q50" s="80">
        <f t="shared" si="2"/>
        <v>315</v>
      </c>
      <c r="R50" s="80">
        <f t="shared" si="3"/>
        <v>100</v>
      </c>
      <c r="S50" s="78">
        <f t="shared" si="4"/>
        <v>695</v>
      </c>
      <c r="T50" s="78">
        <f>50</f>
        <v>50</v>
      </c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 ht="15.75" x14ac:dyDescent="0.25">
      <c r="A51" s="16">
        <v>42461</v>
      </c>
      <c r="B51" s="91">
        <v>30</v>
      </c>
      <c r="C51" s="78">
        <f>141.293</f>
        <v>141.29300000000001</v>
      </c>
      <c r="D51" s="78">
        <f>267.993</f>
        <v>267.99299999999999</v>
      </c>
      <c r="E51" s="86">
        <f>115.016</f>
        <v>115.01600000000001</v>
      </c>
      <c r="F51" s="78">
        <f>314.698-40-25-60</f>
        <v>189.69799999999998</v>
      </c>
      <c r="G51" s="80">
        <v>40</v>
      </c>
      <c r="H51" s="78">
        <f t="shared" ref="H51:H57" si="8">25+60</f>
        <v>85</v>
      </c>
      <c r="I51" s="78">
        <v>0</v>
      </c>
      <c r="J51" s="80">
        <v>100</v>
      </c>
      <c r="K51" s="80">
        <v>300</v>
      </c>
      <c r="L51" s="78">
        <f t="shared" si="0"/>
        <v>1239</v>
      </c>
      <c r="M51" s="88"/>
      <c r="N51" s="78">
        <f>100</f>
        <v>100</v>
      </c>
      <c r="O51" s="80">
        <v>240</v>
      </c>
      <c r="P51" s="80">
        <v>160</v>
      </c>
      <c r="Q51" s="80">
        <f t="shared" si="2"/>
        <v>195</v>
      </c>
      <c r="R51" s="80">
        <f t="shared" si="3"/>
        <v>100</v>
      </c>
      <c r="S51" s="78">
        <f t="shared" si="4"/>
        <v>695</v>
      </c>
      <c r="T51" s="78">
        <f>50</f>
        <v>50</v>
      </c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 ht="15.75" x14ac:dyDescent="0.25">
      <c r="A52" s="16">
        <v>42491</v>
      </c>
      <c r="B52" s="91">
        <v>31</v>
      </c>
      <c r="C52" s="78">
        <f>194.205</f>
        <v>194.20500000000001</v>
      </c>
      <c r="D52" s="78">
        <f>267.466</f>
        <v>267.46600000000001</v>
      </c>
      <c r="E52" s="86">
        <f>133.845</f>
        <v>133.845</v>
      </c>
      <c r="F52" s="78">
        <f>278.484-40-25-60</f>
        <v>153.48399999999998</v>
      </c>
      <c r="G52" s="80">
        <v>40</v>
      </c>
      <c r="H52" s="78">
        <f t="shared" si="8"/>
        <v>85</v>
      </c>
      <c r="I52" s="78">
        <f t="shared" ref="I52:I115" si="9">400-J52-K52</f>
        <v>0</v>
      </c>
      <c r="J52" s="80">
        <v>100</v>
      </c>
      <c r="K52" s="80">
        <v>300</v>
      </c>
      <c r="L52" s="78">
        <f t="shared" si="0"/>
        <v>1274</v>
      </c>
      <c r="M52" s="88"/>
      <c r="N52" s="78">
        <f>75</f>
        <v>75</v>
      </c>
      <c r="O52" s="80">
        <v>240</v>
      </c>
      <c r="P52" s="80">
        <v>160</v>
      </c>
      <c r="Q52" s="80">
        <f t="shared" si="2"/>
        <v>195</v>
      </c>
      <c r="R52" s="80">
        <f t="shared" si="3"/>
        <v>100</v>
      </c>
      <c r="S52" s="78">
        <f t="shared" si="4"/>
        <v>695</v>
      </c>
      <c r="T52" s="78">
        <f>50</f>
        <v>50</v>
      </c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 ht="15.75" x14ac:dyDescent="0.25">
      <c r="A53" s="16">
        <v>42522</v>
      </c>
      <c r="B53" s="91">
        <v>30</v>
      </c>
      <c r="C53" s="78">
        <f>194.205</f>
        <v>194.20500000000001</v>
      </c>
      <c r="D53" s="78">
        <f>267.466</f>
        <v>267.46600000000001</v>
      </c>
      <c r="E53" s="86">
        <f>133.845</f>
        <v>133.845</v>
      </c>
      <c r="F53" s="78">
        <f>278.484-40-25-60</f>
        <v>153.48399999999998</v>
      </c>
      <c r="G53" s="80">
        <v>40</v>
      </c>
      <c r="H53" s="78">
        <f t="shared" si="8"/>
        <v>85</v>
      </c>
      <c r="I53" s="78">
        <f t="shared" si="9"/>
        <v>0</v>
      </c>
      <c r="J53" s="80">
        <v>100</v>
      </c>
      <c r="K53" s="80">
        <v>300</v>
      </c>
      <c r="L53" s="78">
        <f t="shared" si="0"/>
        <v>1274</v>
      </c>
      <c r="M53" s="88"/>
      <c r="N53" s="78">
        <f>30</f>
        <v>30</v>
      </c>
      <c r="O53" s="80">
        <v>240</v>
      </c>
      <c r="P53" s="80">
        <v>160</v>
      </c>
      <c r="Q53" s="80">
        <f t="shared" si="2"/>
        <v>195</v>
      </c>
      <c r="R53" s="80">
        <f t="shared" si="3"/>
        <v>100</v>
      </c>
      <c r="S53" s="78">
        <f t="shared" si="4"/>
        <v>695</v>
      </c>
      <c r="T53" s="78">
        <f>50</f>
        <v>50</v>
      </c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 ht="15.75" x14ac:dyDescent="0.25">
      <c r="A54" s="16">
        <v>42552</v>
      </c>
      <c r="B54" s="91">
        <v>31</v>
      </c>
      <c r="C54" s="78">
        <f>194.205</f>
        <v>194.20500000000001</v>
      </c>
      <c r="D54" s="78">
        <f>267.466</f>
        <v>267.46600000000001</v>
      </c>
      <c r="E54" s="86">
        <f>133.845</f>
        <v>133.845</v>
      </c>
      <c r="F54" s="78">
        <f>278.484-40-25-60</f>
        <v>153.48399999999998</v>
      </c>
      <c r="G54" s="80">
        <v>40</v>
      </c>
      <c r="H54" s="78">
        <f t="shared" si="8"/>
        <v>85</v>
      </c>
      <c r="I54" s="78">
        <f t="shared" si="9"/>
        <v>0</v>
      </c>
      <c r="J54" s="80">
        <v>100</v>
      </c>
      <c r="K54" s="80">
        <v>300</v>
      </c>
      <c r="L54" s="78">
        <f t="shared" si="0"/>
        <v>1274</v>
      </c>
      <c r="M54" s="88"/>
      <c r="N54" s="78">
        <f>30</f>
        <v>30</v>
      </c>
      <c r="O54" s="80">
        <v>240</v>
      </c>
      <c r="P54" s="80">
        <v>160</v>
      </c>
      <c r="Q54" s="80">
        <f t="shared" si="2"/>
        <v>195</v>
      </c>
      <c r="R54" s="80">
        <f t="shared" si="3"/>
        <v>100</v>
      </c>
      <c r="S54" s="78">
        <f t="shared" si="4"/>
        <v>695</v>
      </c>
      <c r="T54" s="78">
        <f>0</f>
        <v>0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</row>
    <row r="55" spans="1:30" ht="15.75" x14ac:dyDescent="0.25">
      <c r="A55" s="16">
        <v>42583</v>
      </c>
      <c r="B55" s="91">
        <v>31</v>
      </c>
      <c r="C55" s="78">
        <f>194.205</f>
        <v>194.20500000000001</v>
      </c>
      <c r="D55" s="78">
        <f>267.466</f>
        <v>267.46600000000001</v>
      </c>
      <c r="E55" s="86">
        <f>133.845</f>
        <v>133.845</v>
      </c>
      <c r="F55" s="78">
        <f>278.484-40-25-60</f>
        <v>153.48399999999998</v>
      </c>
      <c r="G55" s="80">
        <v>40</v>
      </c>
      <c r="H55" s="78">
        <f t="shared" si="8"/>
        <v>85</v>
      </c>
      <c r="I55" s="78">
        <f t="shared" si="9"/>
        <v>0</v>
      </c>
      <c r="J55" s="80">
        <v>100</v>
      </c>
      <c r="K55" s="80">
        <v>300</v>
      </c>
      <c r="L55" s="78">
        <f t="shared" si="0"/>
        <v>1274</v>
      </c>
      <c r="M55" s="88"/>
      <c r="N55" s="78">
        <f>30</f>
        <v>30</v>
      </c>
      <c r="O55" s="80">
        <v>240</v>
      </c>
      <c r="P55" s="80">
        <v>160</v>
      </c>
      <c r="Q55" s="80">
        <f t="shared" si="2"/>
        <v>195</v>
      </c>
      <c r="R55" s="80">
        <f t="shared" si="3"/>
        <v>100</v>
      </c>
      <c r="S55" s="78">
        <f t="shared" si="4"/>
        <v>695</v>
      </c>
      <c r="T55" s="78">
        <f>0</f>
        <v>0</v>
      </c>
      <c r="U55" s="76"/>
      <c r="V55" s="76"/>
      <c r="W55" s="76"/>
      <c r="X55" s="76"/>
      <c r="Y55" s="76"/>
      <c r="Z55" s="76"/>
      <c r="AA55" s="76"/>
      <c r="AB55" s="76"/>
      <c r="AC55" s="76"/>
      <c r="AD55" s="76"/>
    </row>
    <row r="56" spans="1:30" ht="15.75" x14ac:dyDescent="0.25">
      <c r="A56" s="16">
        <v>42614</v>
      </c>
      <c r="B56" s="91">
        <v>30</v>
      </c>
      <c r="C56" s="78">
        <f>194.205</f>
        <v>194.20500000000001</v>
      </c>
      <c r="D56" s="78">
        <f>267.466</f>
        <v>267.46600000000001</v>
      </c>
      <c r="E56" s="86">
        <f>133.845</f>
        <v>133.845</v>
      </c>
      <c r="F56" s="78">
        <f>278.484-40-25-60</f>
        <v>153.48399999999998</v>
      </c>
      <c r="G56" s="80">
        <v>40</v>
      </c>
      <c r="H56" s="78">
        <f t="shared" si="8"/>
        <v>85</v>
      </c>
      <c r="I56" s="78">
        <f t="shared" si="9"/>
        <v>0</v>
      </c>
      <c r="J56" s="80">
        <v>100</v>
      </c>
      <c r="K56" s="80">
        <v>300</v>
      </c>
      <c r="L56" s="78">
        <f t="shared" si="0"/>
        <v>1274</v>
      </c>
      <c r="M56" s="88"/>
      <c r="N56" s="78">
        <f>30</f>
        <v>30</v>
      </c>
      <c r="O56" s="80">
        <v>240</v>
      </c>
      <c r="P56" s="80">
        <v>160</v>
      </c>
      <c r="Q56" s="80">
        <f t="shared" si="2"/>
        <v>195</v>
      </c>
      <c r="R56" s="80">
        <f t="shared" si="3"/>
        <v>100</v>
      </c>
      <c r="S56" s="78">
        <f t="shared" si="4"/>
        <v>695</v>
      </c>
      <c r="T56" s="78">
        <f>0</f>
        <v>0</v>
      </c>
      <c r="U56" s="76"/>
      <c r="V56" s="76"/>
      <c r="W56" s="76"/>
      <c r="X56" s="76"/>
      <c r="Y56" s="76"/>
      <c r="Z56" s="76"/>
      <c r="AA56" s="76"/>
      <c r="AB56" s="76"/>
      <c r="AC56" s="76"/>
      <c r="AD56" s="76"/>
    </row>
    <row r="57" spans="1:30" ht="15.75" x14ac:dyDescent="0.25">
      <c r="A57" s="16">
        <v>42644</v>
      </c>
      <c r="B57" s="91">
        <v>31</v>
      </c>
      <c r="C57" s="78">
        <f>131.881</f>
        <v>131.881</v>
      </c>
      <c r="D57" s="78">
        <f>277.167</f>
        <v>277.16699999999997</v>
      </c>
      <c r="E57" s="86">
        <f>79.08</f>
        <v>79.08</v>
      </c>
      <c r="F57" s="78">
        <f>350.872-40-25-60</f>
        <v>225.87200000000001</v>
      </c>
      <c r="G57" s="80">
        <v>40</v>
      </c>
      <c r="H57" s="78">
        <f t="shared" si="8"/>
        <v>85</v>
      </c>
      <c r="I57" s="78">
        <f t="shared" si="9"/>
        <v>0</v>
      </c>
      <c r="J57" s="80">
        <v>100</v>
      </c>
      <c r="K57" s="80">
        <v>300</v>
      </c>
      <c r="L57" s="78">
        <f t="shared" si="0"/>
        <v>1239</v>
      </c>
      <c r="M57" s="88"/>
      <c r="N57" s="78">
        <f>75</f>
        <v>75</v>
      </c>
      <c r="O57" s="80">
        <v>240</v>
      </c>
      <c r="P57" s="80">
        <v>160</v>
      </c>
      <c r="Q57" s="80">
        <f t="shared" si="2"/>
        <v>195</v>
      </c>
      <c r="R57" s="80">
        <f t="shared" si="3"/>
        <v>100</v>
      </c>
      <c r="S57" s="78">
        <f t="shared" si="4"/>
        <v>695</v>
      </c>
      <c r="T57" s="78">
        <f>0</f>
        <v>0</v>
      </c>
      <c r="U57" s="76"/>
      <c r="V57" s="76"/>
      <c r="W57" s="76"/>
      <c r="X57" s="76"/>
      <c r="Y57" s="76"/>
      <c r="Z57" s="76"/>
      <c r="AA57" s="76"/>
      <c r="AB57" s="76"/>
      <c r="AC57" s="76"/>
      <c r="AD57" s="76"/>
    </row>
    <row r="58" spans="1:30" ht="15.75" x14ac:dyDescent="0.25">
      <c r="A58" s="16">
        <v>42675</v>
      </c>
      <c r="B58" s="91">
        <v>30</v>
      </c>
      <c r="C58" s="78">
        <f>122.58</f>
        <v>122.58</v>
      </c>
      <c r="D58" s="78">
        <f>297.941</f>
        <v>297.94099999999997</v>
      </c>
      <c r="E58" s="86">
        <f>89.177</f>
        <v>89.177000000000007</v>
      </c>
      <c r="F58" s="78">
        <f>240.302-40-60</f>
        <v>140.30199999999999</v>
      </c>
      <c r="G58" s="80">
        <v>40</v>
      </c>
      <c r="H58" s="78">
        <v>60</v>
      </c>
      <c r="I58" s="78">
        <f t="shared" si="9"/>
        <v>0</v>
      </c>
      <c r="J58" s="80">
        <v>100</v>
      </c>
      <c r="K58" s="80">
        <v>300</v>
      </c>
      <c r="L58" s="78">
        <f t="shared" si="0"/>
        <v>1150</v>
      </c>
      <c r="M58" s="88"/>
      <c r="N58" s="78">
        <f>100</f>
        <v>100</v>
      </c>
      <c r="O58" s="80">
        <v>240</v>
      </c>
      <c r="P58" s="80">
        <v>40</v>
      </c>
      <c r="Q58" s="80">
        <f t="shared" si="2"/>
        <v>315</v>
      </c>
      <c r="R58" s="80">
        <f t="shared" si="3"/>
        <v>100</v>
      </c>
      <c r="S58" s="78">
        <f t="shared" si="4"/>
        <v>695</v>
      </c>
      <c r="T58" s="78">
        <f>50</f>
        <v>50</v>
      </c>
      <c r="U58" s="76"/>
      <c r="V58" s="76"/>
      <c r="W58" s="76"/>
      <c r="X58" s="76"/>
      <c r="Y58" s="76"/>
      <c r="Z58" s="76"/>
      <c r="AA58" s="76"/>
      <c r="AB58" s="76"/>
      <c r="AC58" s="76"/>
      <c r="AD58" s="76"/>
    </row>
    <row r="59" spans="1:30" ht="15.75" x14ac:dyDescent="0.25">
      <c r="A59" s="16">
        <v>42705</v>
      </c>
      <c r="B59" s="91">
        <v>31</v>
      </c>
      <c r="C59" s="78">
        <f>122.58</f>
        <v>122.58</v>
      </c>
      <c r="D59" s="78">
        <f>297.941</f>
        <v>297.94099999999997</v>
      </c>
      <c r="E59" s="86">
        <f>89.177</f>
        <v>89.177000000000007</v>
      </c>
      <c r="F59" s="78">
        <f>240.302-40-60</f>
        <v>140.30199999999999</v>
      </c>
      <c r="G59" s="80">
        <v>40</v>
      </c>
      <c r="H59" s="78">
        <v>60</v>
      </c>
      <c r="I59" s="78">
        <f t="shared" si="9"/>
        <v>0</v>
      </c>
      <c r="J59" s="80">
        <v>100</v>
      </c>
      <c r="K59" s="80">
        <v>300</v>
      </c>
      <c r="L59" s="78">
        <f t="shared" si="0"/>
        <v>1150</v>
      </c>
      <c r="M59" s="88"/>
      <c r="N59" s="78">
        <f>100</f>
        <v>100</v>
      </c>
      <c r="O59" s="80">
        <v>240</v>
      </c>
      <c r="P59" s="80">
        <v>40</v>
      </c>
      <c r="Q59" s="80">
        <f t="shared" si="2"/>
        <v>315</v>
      </c>
      <c r="R59" s="80">
        <f t="shared" si="3"/>
        <v>100</v>
      </c>
      <c r="S59" s="78">
        <f t="shared" si="4"/>
        <v>695</v>
      </c>
      <c r="T59" s="78">
        <f>50</f>
        <v>50</v>
      </c>
      <c r="U59" s="76"/>
      <c r="V59" s="76"/>
      <c r="W59" s="76"/>
      <c r="X59" s="76"/>
      <c r="Y59" s="76"/>
      <c r="Z59" s="76"/>
      <c r="AA59" s="76"/>
      <c r="AB59" s="76"/>
      <c r="AC59" s="76"/>
      <c r="AD59" s="76"/>
    </row>
    <row r="60" spans="1:30" ht="15.75" x14ac:dyDescent="0.25">
      <c r="A60" s="16">
        <v>42736</v>
      </c>
      <c r="B60" s="91">
        <v>31</v>
      </c>
      <c r="C60" s="78">
        <f>122.58</f>
        <v>122.58</v>
      </c>
      <c r="D60" s="78">
        <f>297.941</f>
        <v>297.94099999999997</v>
      </c>
      <c r="E60" s="86">
        <f>89.177</f>
        <v>89.177000000000007</v>
      </c>
      <c r="F60" s="78">
        <f>240.302-40-60</f>
        <v>140.30199999999999</v>
      </c>
      <c r="G60" s="80">
        <v>40</v>
      </c>
      <c r="H60" s="78">
        <v>60</v>
      </c>
      <c r="I60" s="78">
        <f t="shared" si="9"/>
        <v>0</v>
      </c>
      <c r="J60" s="80">
        <v>100</v>
      </c>
      <c r="K60" s="80">
        <v>300</v>
      </c>
      <c r="L60" s="78">
        <f t="shared" si="0"/>
        <v>1150</v>
      </c>
      <c r="M60" s="88"/>
      <c r="N60" s="78">
        <f>100</f>
        <v>100</v>
      </c>
      <c r="O60" s="80">
        <v>240</v>
      </c>
      <c r="P60" s="80">
        <v>40</v>
      </c>
      <c r="Q60" s="80">
        <f t="shared" si="2"/>
        <v>315</v>
      </c>
      <c r="R60" s="80">
        <f t="shared" si="3"/>
        <v>100</v>
      </c>
      <c r="S60" s="78">
        <f t="shared" si="4"/>
        <v>695</v>
      </c>
      <c r="T60" s="78">
        <f>50</f>
        <v>50</v>
      </c>
      <c r="U60" s="76"/>
      <c r="V60" s="76"/>
      <c r="W60" s="76"/>
      <c r="X60" s="76"/>
      <c r="Y60" s="76"/>
      <c r="Z60" s="76"/>
      <c r="AA60" s="76"/>
      <c r="AB60" s="76"/>
      <c r="AC60" s="76"/>
      <c r="AD60" s="76"/>
    </row>
    <row r="61" spans="1:30" ht="15.75" x14ac:dyDescent="0.25">
      <c r="A61" s="16">
        <v>42767</v>
      </c>
      <c r="B61" s="91">
        <v>28</v>
      </c>
      <c r="C61" s="78">
        <f>122.58</f>
        <v>122.58</v>
      </c>
      <c r="D61" s="78">
        <f>297.941</f>
        <v>297.94099999999997</v>
      </c>
      <c r="E61" s="86">
        <f>89.177</f>
        <v>89.177000000000007</v>
      </c>
      <c r="F61" s="78">
        <f>240.302-40-60</f>
        <v>140.30199999999999</v>
      </c>
      <c r="G61" s="80">
        <v>40</v>
      </c>
      <c r="H61" s="78">
        <v>60</v>
      </c>
      <c r="I61" s="78">
        <f t="shared" si="9"/>
        <v>0</v>
      </c>
      <c r="J61" s="80">
        <v>100</v>
      </c>
      <c r="K61" s="80">
        <v>300</v>
      </c>
      <c r="L61" s="78">
        <f t="shared" si="0"/>
        <v>1150</v>
      </c>
      <c r="M61" s="88"/>
      <c r="N61" s="78">
        <f>100</f>
        <v>100</v>
      </c>
      <c r="O61" s="80">
        <v>240</v>
      </c>
      <c r="P61" s="80">
        <v>40</v>
      </c>
      <c r="Q61" s="80">
        <f t="shared" si="2"/>
        <v>315</v>
      </c>
      <c r="R61" s="80">
        <f t="shared" si="3"/>
        <v>100</v>
      </c>
      <c r="S61" s="78">
        <f t="shared" si="4"/>
        <v>695</v>
      </c>
      <c r="T61" s="78">
        <f>50</f>
        <v>50</v>
      </c>
      <c r="U61" s="76"/>
      <c r="V61" s="76"/>
      <c r="W61" s="76"/>
      <c r="X61" s="76"/>
      <c r="Y61" s="76"/>
      <c r="Z61" s="76"/>
      <c r="AA61" s="76"/>
      <c r="AB61" s="76"/>
      <c r="AC61" s="76"/>
      <c r="AD61" s="76"/>
    </row>
    <row r="62" spans="1:30" ht="15.75" x14ac:dyDescent="0.25">
      <c r="A62" s="16">
        <v>42795</v>
      </c>
      <c r="B62" s="91">
        <v>31</v>
      </c>
      <c r="C62" s="78">
        <f>122.58</f>
        <v>122.58</v>
      </c>
      <c r="D62" s="78">
        <f>297.941</f>
        <v>297.94099999999997</v>
      </c>
      <c r="E62" s="86">
        <f>89.177</f>
        <v>89.177000000000007</v>
      </c>
      <c r="F62" s="78">
        <f>240.302-40-60</f>
        <v>140.30199999999999</v>
      </c>
      <c r="G62" s="80">
        <v>40</v>
      </c>
      <c r="H62" s="78">
        <v>60</v>
      </c>
      <c r="I62" s="78">
        <f t="shared" si="9"/>
        <v>0</v>
      </c>
      <c r="J62" s="80">
        <v>100</v>
      </c>
      <c r="K62" s="80">
        <v>300</v>
      </c>
      <c r="L62" s="78">
        <f t="shared" si="0"/>
        <v>1150</v>
      </c>
      <c r="M62" s="88"/>
      <c r="N62" s="78">
        <f>100</f>
        <v>100</v>
      </c>
      <c r="O62" s="80">
        <v>240</v>
      </c>
      <c r="P62" s="80">
        <v>40</v>
      </c>
      <c r="Q62" s="80">
        <f t="shared" si="2"/>
        <v>315</v>
      </c>
      <c r="R62" s="80">
        <f t="shared" si="3"/>
        <v>100</v>
      </c>
      <c r="S62" s="78">
        <f t="shared" si="4"/>
        <v>695</v>
      </c>
      <c r="T62" s="78">
        <f>50</f>
        <v>50</v>
      </c>
      <c r="U62" s="76"/>
      <c r="V62" s="76"/>
      <c r="W62" s="76"/>
      <c r="X62" s="76"/>
      <c r="Y62" s="76"/>
      <c r="Z62" s="76"/>
      <c r="AA62" s="76"/>
      <c r="AB62" s="76"/>
      <c r="AC62" s="76"/>
      <c r="AD62" s="76"/>
    </row>
    <row r="63" spans="1:30" ht="15.75" x14ac:dyDescent="0.25">
      <c r="A63" s="16">
        <v>42826</v>
      </c>
      <c r="B63" s="91">
        <v>30</v>
      </c>
      <c r="C63" s="78">
        <f>141.293</f>
        <v>141.29300000000001</v>
      </c>
      <c r="D63" s="78">
        <f>267.993</f>
        <v>267.99299999999999</v>
      </c>
      <c r="E63" s="86">
        <f>115.016</f>
        <v>115.01600000000001</v>
      </c>
      <c r="F63" s="78">
        <f>314.698-40-25-60</f>
        <v>189.69799999999998</v>
      </c>
      <c r="G63" s="80">
        <v>40</v>
      </c>
      <c r="H63" s="78">
        <f t="shared" ref="H63:H69" si="10">25+60</f>
        <v>85</v>
      </c>
      <c r="I63" s="78">
        <f t="shared" si="9"/>
        <v>0</v>
      </c>
      <c r="J63" s="80">
        <v>100</v>
      </c>
      <c r="K63" s="80">
        <v>300</v>
      </c>
      <c r="L63" s="78">
        <f t="shared" si="0"/>
        <v>1239</v>
      </c>
      <c r="M63" s="88"/>
      <c r="N63" s="78">
        <f>100</f>
        <v>100</v>
      </c>
      <c r="O63" s="80">
        <v>240</v>
      </c>
      <c r="P63" s="80">
        <v>160</v>
      </c>
      <c r="Q63" s="80">
        <f t="shared" si="2"/>
        <v>195</v>
      </c>
      <c r="R63" s="80">
        <f t="shared" si="3"/>
        <v>100</v>
      </c>
      <c r="S63" s="78">
        <f t="shared" si="4"/>
        <v>695</v>
      </c>
      <c r="T63" s="78">
        <f>50</f>
        <v>50</v>
      </c>
      <c r="U63" s="76"/>
      <c r="V63" s="76"/>
      <c r="W63" s="76"/>
      <c r="X63" s="76"/>
      <c r="Y63" s="76"/>
      <c r="Z63" s="76"/>
      <c r="AA63" s="76"/>
      <c r="AB63" s="76"/>
      <c r="AC63" s="76"/>
      <c r="AD63" s="76"/>
    </row>
    <row r="64" spans="1:30" ht="15.75" x14ac:dyDescent="0.25">
      <c r="A64" s="16">
        <v>42856</v>
      </c>
      <c r="B64" s="91">
        <v>31</v>
      </c>
      <c r="C64" s="78">
        <f>194.205</f>
        <v>194.20500000000001</v>
      </c>
      <c r="D64" s="78">
        <f>267.466</f>
        <v>267.46600000000001</v>
      </c>
      <c r="E64" s="86">
        <f>133.845</f>
        <v>133.845</v>
      </c>
      <c r="F64" s="78">
        <f>278.484-40-25-60</f>
        <v>153.48399999999998</v>
      </c>
      <c r="G64" s="80">
        <v>40</v>
      </c>
      <c r="H64" s="78">
        <f t="shared" si="10"/>
        <v>85</v>
      </c>
      <c r="I64" s="78">
        <f t="shared" si="9"/>
        <v>0</v>
      </c>
      <c r="J64" s="80">
        <v>100</v>
      </c>
      <c r="K64" s="80">
        <v>300</v>
      </c>
      <c r="L64" s="78">
        <f t="shared" si="0"/>
        <v>1274</v>
      </c>
      <c r="M64" s="88">
        <v>400</v>
      </c>
      <c r="N64" s="78">
        <f>75</f>
        <v>75</v>
      </c>
      <c r="O64" s="80">
        <v>240</v>
      </c>
      <c r="P64" s="80">
        <v>160</v>
      </c>
      <c r="Q64" s="80">
        <f t="shared" si="2"/>
        <v>195</v>
      </c>
      <c r="R64" s="80">
        <f t="shared" si="3"/>
        <v>100</v>
      </c>
      <c r="S64" s="78">
        <f t="shared" si="4"/>
        <v>695</v>
      </c>
      <c r="T64" s="78">
        <f>50</f>
        <v>50</v>
      </c>
      <c r="U64" s="76"/>
      <c r="V64" s="76"/>
      <c r="W64" s="76"/>
      <c r="X64" s="76"/>
      <c r="Y64" s="76"/>
      <c r="Z64" s="76"/>
      <c r="AA64" s="76"/>
      <c r="AB64" s="76"/>
      <c r="AC64" s="76"/>
      <c r="AD64" s="76"/>
    </row>
    <row r="65" spans="1:30" ht="15.75" x14ac:dyDescent="0.25">
      <c r="A65" s="16">
        <v>42887</v>
      </c>
      <c r="B65" s="91">
        <v>30</v>
      </c>
      <c r="C65" s="78">
        <f>194.205</f>
        <v>194.20500000000001</v>
      </c>
      <c r="D65" s="78">
        <f>267.466</f>
        <v>267.46600000000001</v>
      </c>
      <c r="E65" s="86">
        <f>133.845</f>
        <v>133.845</v>
      </c>
      <c r="F65" s="78">
        <f>278.484-40-25-60</f>
        <v>153.48399999999998</v>
      </c>
      <c r="G65" s="80">
        <v>40</v>
      </c>
      <c r="H65" s="78">
        <f t="shared" si="10"/>
        <v>85</v>
      </c>
      <c r="I65" s="78">
        <f t="shared" si="9"/>
        <v>0</v>
      </c>
      <c r="J65" s="80">
        <v>100</v>
      </c>
      <c r="K65" s="80">
        <v>300</v>
      </c>
      <c r="L65" s="78">
        <f t="shared" si="0"/>
        <v>1274</v>
      </c>
      <c r="M65" s="88">
        <v>400</v>
      </c>
      <c r="N65" s="78">
        <f>30</f>
        <v>30</v>
      </c>
      <c r="O65" s="80">
        <v>240</v>
      </c>
      <c r="P65" s="80">
        <v>160</v>
      </c>
      <c r="Q65" s="80">
        <f t="shared" si="2"/>
        <v>195</v>
      </c>
      <c r="R65" s="80">
        <f t="shared" si="3"/>
        <v>100</v>
      </c>
      <c r="S65" s="78">
        <f t="shared" si="4"/>
        <v>695</v>
      </c>
      <c r="T65" s="78">
        <f>50</f>
        <v>50</v>
      </c>
      <c r="U65" s="76"/>
      <c r="V65" s="76"/>
      <c r="W65" s="76"/>
      <c r="X65" s="76"/>
      <c r="Y65" s="76"/>
      <c r="Z65" s="76"/>
      <c r="AA65" s="76"/>
      <c r="AB65" s="76"/>
      <c r="AC65" s="76"/>
      <c r="AD65" s="76"/>
    </row>
    <row r="66" spans="1:30" ht="15.75" x14ac:dyDescent="0.25">
      <c r="A66" s="16">
        <v>42917</v>
      </c>
      <c r="B66" s="91">
        <v>31</v>
      </c>
      <c r="C66" s="78">
        <f>194.205</f>
        <v>194.20500000000001</v>
      </c>
      <c r="D66" s="78">
        <f>267.466</f>
        <v>267.46600000000001</v>
      </c>
      <c r="E66" s="86">
        <f>133.845</f>
        <v>133.845</v>
      </c>
      <c r="F66" s="78">
        <f>278.484-40-25-60</f>
        <v>153.48399999999998</v>
      </c>
      <c r="G66" s="80">
        <v>40</v>
      </c>
      <c r="H66" s="78">
        <f t="shared" si="10"/>
        <v>85</v>
      </c>
      <c r="I66" s="78">
        <f t="shared" si="9"/>
        <v>0</v>
      </c>
      <c r="J66" s="80">
        <v>100</v>
      </c>
      <c r="K66" s="80">
        <v>300</v>
      </c>
      <c r="L66" s="78">
        <f t="shared" si="0"/>
        <v>1274</v>
      </c>
      <c r="M66" s="88">
        <v>400</v>
      </c>
      <c r="N66" s="78">
        <f>30</f>
        <v>30</v>
      </c>
      <c r="O66" s="80">
        <v>240</v>
      </c>
      <c r="P66" s="80">
        <v>160</v>
      </c>
      <c r="Q66" s="80">
        <f t="shared" si="2"/>
        <v>195</v>
      </c>
      <c r="R66" s="80">
        <f t="shared" si="3"/>
        <v>100</v>
      </c>
      <c r="S66" s="78">
        <f t="shared" si="4"/>
        <v>695</v>
      </c>
      <c r="T66" s="78">
        <f>0</f>
        <v>0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</row>
    <row r="67" spans="1:30" ht="15.75" x14ac:dyDescent="0.25">
      <c r="A67" s="16">
        <v>42948</v>
      </c>
      <c r="B67" s="91">
        <v>31</v>
      </c>
      <c r="C67" s="78">
        <f>194.205</f>
        <v>194.20500000000001</v>
      </c>
      <c r="D67" s="78">
        <f>267.466</f>
        <v>267.46600000000001</v>
      </c>
      <c r="E67" s="86">
        <f>133.845</f>
        <v>133.845</v>
      </c>
      <c r="F67" s="78">
        <f>278.484-40-25-60</f>
        <v>153.48399999999998</v>
      </c>
      <c r="G67" s="80">
        <v>40</v>
      </c>
      <c r="H67" s="78">
        <f t="shared" si="10"/>
        <v>85</v>
      </c>
      <c r="I67" s="78">
        <f t="shared" si="9"/>
        <v>0</v>
      </c>
      <c r="J67" s="80">
        <v>100</v>
      </c>
      <c r="K67" s="80">
        <v>300</v>
      </c>
      <c r="L67" s="78">
        <f t="shared" si="0"/>
        <v>1274</v>
      </c>
      <c r="M67" s="88">
        <v>400</v>
      </c>
      <c r="N67" s="78">
        <f>30</f>
        <v>30</v>
      </c>
      <c r="O67" s="80">
        <v>240</v>
      </c>
      <c r="P67" s="80">
        <v>160</v>
      </c>
      <c r="Q67" s="80">
        <f t="shared" si="2"/>
        <v>195</v>
      </c>
      <c r="R67" s="80">
        <f t="shared" si="3"/>
        <v>100</v>
      </c>
      <c r="S67" s="78">
        <f t="shared" si="4"/>
        <v>695</v>
      </c>
      <c r="T67" s="78">
        <f>0</f>
        <v>0</v>
      </c>
      <c r="U67" s="76"/>
      <c r="V67" s="76"/>
      <c r="W67" s="76"/>
      <c r="X67" s="76"/>
      <c r="Y67" s="76"/>
      <c r="Z67" s="76"/>
      <c r="AA67" s="76"/>
      <c r="AB67" s="76"/>
      <c r="AC67" s="76"/>
      <c r="AD67" s="76"/>
    </row>
    <row r="68" spans="1:30" ht="15.75" x14ac:dyDescent="0.25">
      <c r="A68" s="16">
        <v>42979</v>
      </c>
      <c r="B68" s="91">
        <v>30</v>
      </c>
      <c r="C68" s="78">
        <f>194.205</f>
        <v>194.20500000000001</v>
      </c>
      <c r="D68" s="78">
        <f>267.466</f>
        <v>267.46600000000001</v>
      </c>
      <c r="E68" s="86">
        <f>133.845</f>
        <v>133.845</v>
      </c>
      <c r="F68" s="78">
        <f>278.484-40-25-60</f>
        <v>153.48399999999998</v>
      </c>
      <c r="G68" s="80">
        <v>40</v>
      </c>
      <c r="H68" s="78">
        <f t="shared" si="10"/>
        <v>85</v>
      </c>
      <c r="I68" s="78">
        <f t="shared" si="9"/>
        <v>0</v>
      </c>
      <c r="J68" s="80">
        <v>100</v>
      </c>
      <c r="K68" s="80">
        <v>300</v>
      </c>
      <c r="L68" s="78">
        <f t="shared" si="0"/>
        <v>1274</v>
      </c>
      <c r="M68" s="88">
        <v>400</v>
      </c>
      <c r="N68" s="78">
        <f>30</f>
        <v>30</v>
      </c>
      <c r="O68" s="80">
        <v>240</v>
      </c>
      <c r="P68" s="80">
        <v>160</v>
      </c>
      <c r="Q68" s="80">
        <f t="shared" si="2"/>
        <v>195</v>
      </c>
      <c r="R68" s="80">
        <f t="shared" si="3"/>
        <v>100</v>
      </c>
      <c r="S68" s="78">
        <f t="shared" si="4"/>
        <v>695</v>
      </c>
      <c r="T68" s="78">
        <f>0</f>
        <v>0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</row>
    <row r="69" spans="1:30" ht="15.75" x14ac:dyDescent="0.25">
      <c r="A69" s="16">
        <v>43009</v>
      </c>
      <c r="B69" s="91">
        <v>31</v>
      </c>
      <c r="C69" s="78">
        <f>131.881</f>
        <v>131.881</v>
      </c>
      <c r="D69" s="78">
        <f>277.167</f>
        <v>277.16699999999997</v>
      </c>
      <c r="E69" s="86">
        <f>79.08</f>
        <v>79.08</v>
      </c>
      <c r="F69" s="78">
        <f>350.872-40-25-60</f>
        <v>225.87200000000001</v>
      </c>
      <c r="G69" s="80">
        <v>40</v>
      </c>
      <c r="H69" s="78">
        <f t="shared" si="10"/>
        <v>85</v>
      </c>
      <c r="I69" s="78">
        <f t="shared" si="9"/>
        <v>0</v>
      </c>
      <c r="J69" s="80">
        <v>100</v>
      </c>
      <c r="K69" s="80">
        <v>300</v>
      </c>
      <c r="L69" s="78">
        <f t="shared" si="0"/>
        <v>1239</v>
      </c>
      <c r="M69" s="88">
        <v>400</v>
      </c>
      <c r="N69" s="78">
        <f>75</f>
        <v>75</v>
      </c>
      <c r="O69" s="80">
        <v>240</v>
      </c>
      <c r="P69" s="80">
        <v>160</v>
      </c>
      <c r="Q69" s="80">
        <f t="shared" si="2"/>
        <v>195</v>
      </c>
      <c r="R69" s="80">
        <f t="shared" si="3"/>
        <v>100</v>
      </c>
      <c r="S69" s="78">
        <f t="shared" si="4"/>
        <v>695</v>
      </c>
      <c r="T69" s="78">
        <f>0</f>
        <v>0</v>
      </c>
      <c r="U69" s="76"/>
      <c r="V69" s="76"/>
      <c r="W69" s="76"/>
      <c r="X69" s="76"/>
      <c r="Y69" s="76"/>
      <c r="Z69" s="76"/>
      <c r="AA69" s="76"/>
      <c r="AB69" s="76"/>
      <c r="AC69" s="76"/>
      <c r="AD69" s="76"/>
    </row>
    <row r="70" spans="1:30" ht="15.75" x14ac:dyDescent="0.25">
      <c r="A70" s="16">
        <v>43040</v>
      </c>
      <c r="B70" s="91">
        <v>30</v>
      </c>
      <c r="C70" s="78">
        <f>122.58</f>
        <v>122.58</v>
      </c>
      <c r="D70" s="78">
        <f>297.941</f>
        <v>297.94099999999997</v>
      </c>
      <c r="E70" s="86">
        <f>89.177</f>
        <v>89.177000000000007</v>
      </c>
      <c r="F70" s="78">
        <f>240.302-40-60</f>
        <v>140.30199999999999</v>
      </c>
      <c r="G70" s="80">
        <v>40</v>
      </c>
      <c r="H70" s="78">
        <v>60</v>
      </c>
      <c r="I70" s="78">
        <f t="shared" si="9"/>
        <v>0</v>
      </c>
      <c r="J70" s="80">
        <v>100</v>
      </c>
      <c r="K70" s="80">
        <v>300</v>
      </c>
      <c r="L70" s="78">
        <f t="shared" si="0"/>
        <v>1150</v>
      </c>
      <c r="M70" s="88">
        <v>400</v>
      </c>
      <c r="N70" s="78">
        <f>100</f>
        <v>100</v>
      </c>
      <c r="O70" s="80">
        <v>240</v>
      </c>
      <c r="P70" s="80">
        <v>40</v>
      </c>
      <c r="Q70" s="80">
        <f t="shared" si="2"/>
        <v>315</v>
      </c>
      <c r="R70" s="80">
        <f t="shared" si="3"/>
        <v>100</v>
      </c>
      <c r="S70" s="78">
        <f t="shared" si="4"/>
        <v>695</v>
      </c>
      <c r="T70" s="78">
        <f>50</f>
        <v>50</v>
      </c>
      <c r="U70" s="76"/>
      <c r="V70" s="76"/>
      <c r="W70" s="76"/>
      <c r="X70" s="76"/>
      <c r="Y70" s="76"/>
      <c r="Z70" s="76"/>
      <c r="AA70" s="76"/>
      <c r="AB70" s="76"/>
      <c r="AC70" s="76"/>
      <c r="AD70" s="76"/>
    </row>
    <row r="71" spans="1:30" ht="15.75" x14ac:dyDescent="0.25">
      <c r="A71" s="16">
        <v>43070</v>
      </c>
      <c r="B71" s="91">
        <v>31</v>
      </c>
      <c r="C71" s="78">
        <f>122.58</f>
        <v>122.58</v>
      </c>
      <c r="D71" s="78">
        <f>297.941</f>
        <v>297.94099999999997</v>
      </c>
      <c r="E71" s="86">
        <f>89.177</f>
        <v>89.177000000000007</v>
      </c>
      <c r="F71" s="78">
        <f>240.302-40-60</f>
        <v>140.30199999999999</v>
      </c>
      <c r="G71" s="80">
        <v>40</v>
      </c>
      <c r="H71" s="78">
        <v>60</v>
      </c>
      <c r="I71" s="78">
        <f t="shared" si="9"/>
        <v>0</v>
      </c>
      <c r="J71" s="80">
        <v>100</v>
      </c>
      <c r="K71" s="80">
        <v>300</v>
      </c>
      <c r="L71" s="78">
        <f t="shared" si="0"/>
        <v>1150</v>
      </c>
      <c r="M71" s="88">
        <v>400</v>
      </c>
      <c r="N71" s="78">
        <f>100</f>
        <v>100</v>
      </c>
      <c r="O71" s="80">
        <v>240</v>
      </c>
      <c r="P71" s="80">
        <v>40</v>
      </c>
      <c r="Q71" s="80">
        <f t="shared" si="2"/>
        <v>315</v>
      </c>
      <c r="R71" s="80">
        <f t="shared" si="3"/>
        <v>100</v>
      </c>
      <c r="S71" s="78">
        <f t="shared" si="4"/>
        <v>695</v>
      </c>
      <c r="T71" s="78">
        <f>50</f>
        <v>50</v>
      </c>
      <c r="U71" s="76"/>
      <c r="V71" s="76"/>
      <c r="W71" s="76"/>
      <c r="X71" s="76"/>
      <c r="Y71" s="76"/>
      <c r="Z71" s="76"/>
      <c r="AA71" s="76"/>
      <c r="AB71" s="76"/>
      <c r="AC71" s="76"/>
      <c r="AD71" s="76"/>
    </row>
    <row r="72" spans="1:30" ht="15.75" x14ac:dyDescent="0.25">
      <c r="A72" s="16">
        <v>43101</v>
      </c>
      <c r="B72" s="91">
        <v>31</v>
      </c>
      <c r="C72" s="78">
        <f>122.58</f>
        <v>122.58</v>
      </c>
      <c r="D72" s="78">
        <f>297.941</f>
        <v>297.94099999999997</v>
      </c>
      <c r="E72" s="86">
        <f>89.177</f>
        <v>89.177000000000007</v>
      </c>
      <c r="F72" s="78">
        <f>240.302-40-60</f>
        <v>140.30199999999999</v>
      </c>
      <c r="G72" s="80">
        <v>40</v>
      </c>
      <c r="H72" s="78">
        <v>60</v>
      </c>
      <c r="I72" s="78">
        <f t="shared" si="9"/>
        <v>0</v>
      </c>
      <c r="J72" s="80">
        <v>100</v>
      </c>
      <c r="K72" s="80">
        <v>300</v>
      </c>
      <c r="L72" s="78">
        <f t="shared" si="0"/>
        <v>1150</v>
      </c>
      <c r="M72" s="88">
        <v>400</v>
      </c>
      <c r="N72" s="78">
        <f>100</f>
        <v>100</v>
      </c>
      <c r="O72" s="80">
        <v>240</v>
      </c>
      <c r="P72" s="80">
        <v>40</v>
      </c>
      <c r="Q72" s="80">
        <f t="shared" si="2"/>
        <v>315</v>
      </c>
      <c r="R72" s="80">
        <f t="shared" si="3"/>
        <v>100</v>
      </c>
      <c r="S72" s="78">
        <f t="shared" si="4"/>
        <v>695</v>
      </c>
      <c r="T72" s="78">
        <f>50</f>
        <v>50</v>
      </c>
      <c r="U72" s="76"/>
      <c r="V72" s="76"/>
      <c r="W72" s="76"/>
      <c r="X72" s="76"/>
      <c r="Y72" s="76"/>
      <c r="Z72" s="76"/>
      <c r="AA72" s="76"/>
      <c r="AB72" s="76"/>
      <c r="AC72" s="76"/>
      <c r="AD72" s="76"/>
    </row>
    <row r="73" spans="1:30" ht="15.75" x14ac:dyDescent="0.25">
      <c r="A73" s="16">
        <v>43132</v>
      </c>
      <c r="B73" s="91">
        <v>28</v>
      </c>
      <c r="C73" s="78">
        <f>122.58</f>
        <v>122.58</v>
      </c>
      <c r="D73" s="78">
        <f>297.941</f>
        <v>297.94099999999997</v>
      </c>
      <c r="E73" s="86">
        <f>89.177</f>
        <v>89.177000000000007</v>
      </c>
      <c r="F73" s="78">
        <f>240.302-40-60</f>
        <v>140.30199999999999</v>
      </c>
      <c r="G73" s="80">
        <v>40</v>
      </c>
      <c r="H73" s="78">
        <v>60</v>
      </c>
      <c r="I73" s="78">
        <f t="shared" si="9"/>
        <v>0</v>
      </c>
      <c r="J73" s="80">
        <v>100</v>
      </c>
      <c r="K73" s="80">
        <v>300</v>
      </c>
      <c r="L73" s="78">
        <f t="shared" si="0"/>
        <v>1150</v>
      </c>
      <c r="M73" s="88">
        <v>400</v>
      </c>
      <c r="N73" s="78">
        <f>100</f>
        <v>100</v>
      </c>
      <c r="O73" s="80">
        <v>240</v>
      </c>
      <c r="P73" s="80">
        <v>40</v>
      </c>
      <c r="Q73" s="80">
        <f t="shared" si="2"/>
        <v>315</v>
      </c>
      <c r="R73" s="80">
        <f t="shared" si="3"/>
        <v>100</v>
      </c>
      <c r="S73" s="78">
        <f t="shared" si="4"/>
        <v>695</v>
      </c>
      <c r="T73" s="78">
        <f>50</f>
        <v>50</v>
      </c>
      <c r="U73" s="76"/>
      <c r="V73" s="76"/>
      <c r="W73" s="76"/>
      <c r="X73" s="76"/>
      <c r="Y73" s="76"/>
      <c r="Z73" s="76"/>
      <c r="AA73" s="76"/>
      <c r="AB73" s="76"/>
      <c r="AC73" s="76"/>
      <c r="AD73" s="76"/>
    </row>
    <row r="74" spans="1:30" ht="15.75" x14ac:dyDescent="0.25">
      <c r="A74" s="16">
        <v>43160</v>
      </c>
      <c r="B74" s="91">
        <v>31</v>
      </c>
      <c r="C74" s="78">
        <f>122.58</f>
        <v>122.58</v>
      </c>
      <c r="D74" s="78">
        <f>297.941</f>
        <v>297.94099999999997</v>
      </c>
      <c r="E74" s="86">
        <f>89.177</f>
        <v>89.177000000000007</v>
      </c>
      <c r="F74" s="78">
        <f>240.302-40-60</f>
        <v>140.30199999999999</v>
      </c>
      <c r="G74" s="80">
        <v>40</v>
      </c>
      <c r="H74" s="78">
        <v>60</v>
      </c>
      <c r="I74" s="78">
        <f t="shared" si="9"/>
        <v>0</v>
      </c>
      <c r="J74" s="80">
        <v>100</v>
      </c>
      <c r="K74" s="80">
        <v>300</v>
      </c>
      <c r="L74" s="78">
        <f t="shared" si="0"/>
        <v>1150</v>
      </c>
      <c r="M74" s="88">
        <v>400</v>
      </c>
      <c r="N74" s="78">
        <f>100</f>
        <v>100</v>
      </c>
      <c r="O74" s="80">
        <v>240</v>
      </c>
      <c r="P74" s="80">
        <v>40</v>
      </c>
      <c r="Q74" s="80">
        <f t="shared" si="2"/>
        <v>315</v>
      </c>
      <c r="R74" s="80">
        <f t="shared" si="3"/>
        <v>100</v>
      </c>
      <c r="S74" s="78">
        <f t="shared" si="4"/>
        <v>695</v>
      </c>
      <c r="T74" s="78">
        <f>50</f>
        <v>50</v>
      </c>
      <c r="U74" s="76"/>
      <c r="V74" s="76"/>
      <c r="W74" s="76"/>
      <c r="X74" s="76"/>
      <c r="Y74" s="76"/>
      <c r="Z74" s="76"/>
      <c r="AA74" s="76"/>
      <c r="AB74" s="76"/>
      <c r="AC74" s="76"/>
      <c r="AD74" s="76"/>
    </row>
    <row r="75" spans="1:30" ht="15.75" x14ac:dyDescent="0.25">
      <c r="A75" s="16">
        <v>43191</v>
      </c>
      <c r="B75" s="91">
        <v>30</v>
      </c>
      <c r="C75" s="78">
        <f>141.293</f>
        <v>141.29300000000001</v>
      </c>
      <c r="D75" s="78">
        <f>267.993</f>
        <v>267.99299999999999</v>
      </c>
      <c r="E75" s="86">
        <f>115.016</f>
        <v>115.01600000000001</v>
      </c>
      <c r="F75" s="78">
        <f>314.698-40-25-60</f>
        <v>189.69799999999998</v>
      </c>
      <c r="G75" s="80">
        <v>40</v>
      </c>
      <c r="H75" s="78">
        <f t="shared" ref="H75:H81" si="11">25+60</f>
        <v>85</v>
      </c>
      <c r="I75" s="78">
        <f t="shared" si="9"/>
        <v>0</v>
      </c>
      <c r="J75" s="80">
        <v>100</v>
      </c>
      <c r="K75" s="80">
        <v>300</v>
      </c>
      <c r="L75" s="78">
        <f t="shared" si="0"/>
        <v>1239</v>
      </c>
      <c r="M75" s="88">
        <v>400</v>
      </c>
      <c r="N75" s="78">
        <f>100</f>
        <v>100</v>
      </c>
      <c r="O75" s="80">
        <v>240</v>
      </c>
      <c r="P75" s="80">
        <v>160</v>
      </c>
      <c r="Q75" s="80">
        <f t="shared" si="2"/>
        <v>195</v>
      </c>
      <c r="R75" s="80">
        <f t="shared" si="3"/>
        <v>100</v>
      </c>
      <c r="S75" s="78">
        <f t="shared" si="4"/>
        <v>695</v>
      </c>
      <c r="T75" s="78">
        <f>50</f>
        <v>50</v>
      </c>
      <c r="U75" s="76"/>
      <c r="V75" s="76"/>
      <c r="W75" s="76"/>
      <c r="X75" s="76"/>
      <c r="Y75" s="76"/>
      <c r="Z75" s="76"/>
      <c r="AA75" s="76"/>
      <c r="AB75" s="76"/>
      <c r="AC75" s="76"/>
      <c r="AD75" s="76"/>
    </row>
    <row r="76" spans="1:30" ht="15.75" x14ac:dyDescent="0.25">
      <c r="A76" s="16">
        <v>43221</v>
      </c>
      <c r="B76" s="91">
        <v>31</v>
      </c>
      <c r="C76" s="78">
        <f>194.205</f>
        <v>194.20500000000001</v>
      </c>
      <c r="D76" s="78">
        <f>267.466</f>
        <v>267.46600000000001</v>
      </c>
      <c r="E76" s="86">
        <f>133.845</f>
        <v>133.845</v>
      </c>
      <c r="F76" s="78">
        <f>278.484-40-25-60</f>
        <v>153.48399999999998</v>
      </c>
      <c r="G76" s="80">
        <v>40</v>
      </c>
      <c r="H76" s="78">
        <f t="shared" si="11"/>
        <v>85</v>
      </c>
      <c r="I76" s="78">
        <f t="shared" si="9"/>
        <v>0</v>
      </c>
      <c r="J76" s="80">
        <v>100</v>
      </c>
      <c r="K76" s="80">
        <v>300</v>
      </c>
      <c r="L76" s="78">
        <f t="shared" si="0"/>
        <v>1274</v>
      </c>
      <c r="M76" s="88">
        <v>400</v>
      </c>
      <c r="N76" s="78">
        <f>75</f>
        <v>75</v>
      </c>
      <c r="O76" s="80">
        <v>240</v>
      </c>
      <c r="P76" s="80">
        <v>160</v>
      </c>
      <c r="Q76" s="80">
        <f t="shared" si="2"/>
        <v>195</v>
      </c>
      <c r="R76" s="80">
        <f t="shared" si="3"/>
        <v>100</v>
      </c>
      <c r="S76" s="78">
        <f t="shared" si="4"/>
        <v>695</v>
      </c>
      <c r="T76" s="78">
        <f>50</f>
        <v>50</v>
      </c>
      <c r="U76" s="76"/>
      <c r="V76" s="76"/>
      <c r="W76" s="76"/>
      <c r="X76" s="76"/>
      <c r="Y76" s="76"/>
      <c r="Z76" s="76"/>
      <c r="AA76" s="76"/>
      <c r="AB76" s="76"/>
      <c r="AC76" s="76"/>
      <c r="AD76" s="76"/>
    </row>
    <row r="77" spans="1:30" ht="15.75" x14ac:dyDescent="0.25">
      <c r="A77" s="16">
        <v>43252</v>
      </c>
      <c r="B77" s="91">
        <v>30</v>
      </c>
      <c r="C77" s="78">
        <f>194.205</f>
        <v>194.20500000000001</v>
      </c>
      <c r="D77" s="78">
        <f>267.466</f>
        <v>267.46600000000001</v>
      </c>
      <c r="E77" s="86">
        <f>133.845</f>
        <v>133.845</v>
      </c>
      <c r="F77" s="78">
        <f>278.484-40-25-60</f>
        <v>153.48399999999998</v>
      </c>
      <c r="G77" s="80">
        <v>40</v>
      </c>
      <c r="H77" s="78">
        <f t="shared" si="11"/>
        <v>85</v>
      </c>
      <c r="I77" s="78">
        <f t="shared" si="9"/>
        <v>0</v>
      </c>
      <c r="J77" s="80">
        <v>100</v>
      </c>
      <c r="K77" s="80">
        <v>300</v>
      </c>
      <c r="L77" s="78">
        <f t="shared" si="0"/>
        <v>1274</v>
      </c>
      <c r="M77" s="88">
        <v>400</v>
      </c>
      <c r="N77" s="78">
        <f>30</f>
        <v>30</v>
      </c>
      <c r="O77" s="80">
        <v>240</v>
      </c>
      <c r="P77" s="80">
        <v>160</v>
      </c>
      <c r="Q77" s="80">
        <f t="shared" si="2"/>
        <v>195</v>
      </c>
      <c r="R77" s="80">
        <f t="shared" si="3"/>
        <v>100</v>
      </c>
      <c r="S77" s="78">
        <f t="shared" si="4"/>
        <v>695</v>
      </c>
      <c r="T77" s="78">
        <f>50</f>
        <v>50</v>
      </c>
      <c r="U77" s="76"/>
      <c r="V77" s="76"/>
      <c r="W77" s="76"/>
      <c r="X77" s="76"/>
      <c r="Y77" s="76"/>
      <c r="Z77" s="76"/>
      <c r="AA77" s="76"/>
      <c r="AB77" s="76"/>
      <c r="AC77" s="76"/>
      <c r="AD77" s="76"/>
    </row>
    <row r="78" spans="1:30" ht="15.75" x14ac:dyDescent="0.25">
      <c r="A78" s="16">
        <v>43282</v>
      </c>
      <c r="B78" s="91">
        <v>31</v>
      </c>
      <c r="C78" s="78">
        <f>194.205</f>
        <v>194.20500000000001</v>
      </c>
      <c r="D78" s="78">
        <f>267.466</f>
        <v>267.46600000000001</v>
      </c>
      <c r="E78" s="86">
        <f>133.845</f>
        <v>133.845</v>
      </c>
      <c r="F78" s="78">
        <f>278.484-40-25-60</f>
        <v>153.48399999999998</v>
      </c>
      <c r="G78" s="80">
        <v>40</v>
      </c>
      <c r="H78" s="78">
        <f t="shared" si="11"/>
        <v>85</v>
      </c>
      <c r="I78" s="78">
        <f t="shared" si="9"/>
        <v>0</v>
      </c>
      <c r="J78" s="80">
        <v>100</v>
      </c>
      <c r="K78" s="80">
        <v>300</v>
      </c>
      <c r="L78" s="78">
        <f t="shared" si="0"/>
        <v>1274</v>
      </c>
      <c r="M78" s="88">
        <v>400</v>
      </c>
      <c r="N78" s="78">
        <f>30</f>
        <v>30</v>
      </c>
      <c r="O78" s="80">
        <v>240</v>
      </c>
      <c r="P78" s="80">
        <v>160</v>
      </c>
      <c r="Q78" s="80">
        <f t="shared" si="2"/>
        <v>195</v>
      </c>
      <c r="R78" s="80">
        <f t="shared" si="3"/>
        <v>100</v>
      </c>
      <c r="S78" s="78">
        <f t="shared" si="4"/>
        <v>695</v>
      </c>
      <c r="T78" s="78">
        <f>0</f>
        <v>0</v>
      </c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 ht="15.75" x14ac:dyDescent="0.25">
      <c r="A79" s="16">
        <v>43313</v>
      </c>
      <c r="B79" s="91">
        <v>31</v>
      </c>
      <c r="C79" s="78">
        <f>194.205</f>
        <v>194.20500000000001</v>
      </c>
      <c r="D79" s="78">
        <f>267.466</f>
        <v>267.46600000000001</v>
      </c>
      <c r="E79" s="86">
        <f>133.845</f>
        <v>133.845</v>
      </c>
      <c r="F79" s="78">
        <f>278.484-40-25-60</f>
        <v>153.48399999999998</v>
      </c>
      <c r="G79" s="80">
        <v>40</v>
      </c>
      <c r="H79" s="78">
        <f t="shared" si="11"/>
        <v>85</v>
      </c>
      <c r="I79" s="78">
        <f t="shared" si="9"/>
        <v>0</v>
      </c>
      <c r="J79" s="80">
        <v>100</v>
      </c>
      <c r="K79" s="80">
        <v>300</v>
      </c>
      <c r="L79" s="78">
        <f t="shared" ref="L79:L142" si="12">SUM(C79:K79)</f>
        <v>1274</v>
      </c>
      <c r="M79" s="88">
        <v>400</v>
      </c>
      <c r="N79" s="78">
        <f>30</f>
        <v>30</v>
      </c>
      <c r="O79" s="80">
        <v>240</v>
      </c>
      <c r="P79" s="80">
        <v>160</v>
      </c>
      <c r="Q79" s="80">
        <f t="shared" ref="Q79:Q142" si="13">695-R79-O79-P79</f>
        <v>195</v>
      </c>
      <c r="R79" s="80">
        <f t="shared" ref="R79:R142" si="14">200-J79</f>
        <v>100</v>
      </c>
      <c r="S79" s="78">
        <f t="shared" ref="S79:S142" si="15">SUM(O79:R79)</f>
        <v>695</v>
      </c>
      <c r="T79" s="78">
        <f>0</f>
        <v>0</v>
      </c>
      <c r="U79" s="76"/>
      <c r="V79" s="76"/>
      <c r="W79" s="76"/>
      <c r="X79" s="76"/>
      <c r="Y79" s="76"/>
      <c r="Z79" s="76"/>
      <c r="AA79" s="76"/>
      <c r="AB79" s="76"/>
      <c r="AC79" s="76"/>
      <c r="AD79" s="76"/>
    </row>
    <row r="80" spans="1:30" ht="15.75" x14ac:dyDescent="0.25">
      <c r="A80" s="16">
        <v>43344</v>
      </c>
      <c r="B80" s="91">
        <v>30</v>
      </c>
      <c r="C80" s="78">
        <f>194.205</f>
        <v>194.20500000000001</v>
      </c>
      <c r="D80" s="78">
        <f>267.466</f>
        <v>267.46600000000001</v>
      </c>
      <c r="E80" s="86">
        <f>133.845</f>
        <v>133.845</v>
      </c>
      <c r="F80" s="78">
        <f>278.484-40-25-60</f>
        <v>153.48399999999998</v>
      </c>
      <c r="G80" s="80">
        <v>40</v>
      </c>
      <c r="H80" s="78">
        <f t="shared" si="11"/>
        <v>85</v>
      </c>
      <c r="I80" s="78">
        <f t="shared" si="9"/>
        <v>0</v>
      </c>
      <c r="J80" s="80">
        <v>100</v>
      </c>
      <c r="K80" s="80">
        <v>300</v>
      </c>
      <c r="L80" s="78">
        <f t="shared" si="12"/>
        <v>1274</v>
      </c>
      <c r="M80" s="88">
        <v>400</v>
      </c>
      <c r="N80" s="78">
        <f>30</f>
        <v>30</v>
      </c>
      <c r="O80" s="80">
        <v>240</v>
      </c>
      <c r="P80" s="80">
        <v>160</v>
      </c>
      <c r="Q80" s="80">
        <f t="shared" si="13"/>
        <v>195</v>
      </c>
      <c r="R80" s="80">
        <f t="shared" si="14"/>
        <v>100</v>
      </c>
      <c r="S80" s="78">
        <f t="shared" si="15"/>
        <v>695</v>
      </c>
      <c r="T80" s="78">
        <f>0</f>
        <v>0</v>
      </c>
      <c r="U80" s="76"/>
      <c r="V80" s="76"/>
      <c r="W80" s="76"/>
      <c r="X80" s="76"/>
      <c r="Y80" s="76"/>
      <c r="Z80" s="76"/>
      <c r="AA80" s="76"/>
      <c r="AB80" s="76"/>
      <c r="AC80" s="76"/>
      <c r="AD80" s="76"/>
    </row>
    <row r="81" spans="1:30" ht="15.75" x14ac:dyDescent="0.25">
      <c r="A81" s="16">
        <v>43374</v>
      </c>
      <c r="B81" s="91">
        <v>31</v>
      </c>
      <c r="C81" s="78">
        <f>131.881</f>
        <v>131.881</v>
      </c>
      <c r="D81" s="78">
        <f>277.167</f>
        <v>277.16699999999997</v>
      </c>
      <c r="E81" s="86">
        <f>79.08</f>
        <v>79.08</v>
      </c>
      <c r="F81" s="78">
        <f>350.872-40-25-60</f>
        <v>225.87200000000001</v>
      </c>
      <c r="G81" s="80">
        <v>40</v>
      </c>
      <c r="H81" s="78">
        <f t="shared" si="11"/>
        <v>85</v>
      </c>
      <c r="I81" s="78">
        <f t="shared" si="9"/>
        <v>0</v>
      </c>
      <c r="J81" s="80">
        <v>100</v>
      </c>
      <c r="K81" s="80">
        <v>300</v>
      </c>
      <c r="L81" s="78">
        <f t="shared" si="12"/>
        <v>1239</v>
      </c>
      <c r="M81" s="88">
        <v>400</v>
      </c>
      <c r="N81" s="78">
        <f>75</f>
        <v>75</v>
      </c>
      <c r="O81" s="80">
        <v>240</v>
      </c>
      <c r="P81" s="80">
        <v>160</v>
      </c>
      <c r="Q81" s="80">
        <f t="shared" si="13"/>
        <v>195</v>
      </c>
      <c r="R81" s="80">
        <f t="shared" si="14"/>
        <v>100</v>
      </c>
      <c r="S81" s="78">
        <f t="shared" si="15"/>
        <v>695</v>
      </c>
      <c r="T81" s="78">
        <f>0</f>
        <v>0</v>
      </c>
      <c r="U81" s="76"/>
      <c r="V81" s="76"/>
      <c r="W81" s="76"/>
      <c r="X81" s="76"/>
      <c r="Y81" s="76"/>
      <c r="Z81" s="76"/>
      <c r="AA81" s="76"/>
      <c r="AB81" s="76"/>
      <c r="AC81" s="76"/>
      <c r="AD81" s="76"/>
    </row>
    <row r="82" spans="1:30" ht="15.75" x14ac:dyDescent="0.25">
      <c r="A82" s="16">
        <v>43405</v>
      </c>
      <c r="B82" s="91">
        <v>30</v>
      </c>
      <c r="C82" s="78">
        <f>122.58</f>
        <v>122.58</v>
      </c>
      <c r="D82" s="78">
        <f>297.941</f>
        <v>297.94099999999997</v>
      </c>
      <c r="E82" s="86">
        <f>89.177</f>
        <v>89.177000000000007</v>
      </c>
      <c r="F82" s="78">
        <f>240.302-40-60</f>
        <v>140.30199999999999</v>
      </c>
      <c r="G82" s="80">
        <v>40</v>
      </c>
      <c r="H82" s="78">
        <v>60</v>
      </c>
      <c r="I82" s="78">
        <f t="shared" si="9"/>
        <v>0</v>
      </c>
      <c r="J82" s="80">
        <v>100</v>
      </c>
      <c r="K82" s="80">
        <v>300</v>
      </c>
      <c r="L82" s="78">
        <f t="shared" si="12"/>
        <v>1150</v>
      </c>
      <c r="M82" s="88">
        <v>400</v>
      </c>
      <c r="N82" s="78">
        <f>100</f>
        <v>100</v>
      </c>
      <c r="O82" s="80">
        <v>240</v>
      </c>
      <c r="P82" s="80">
        <v>40</v>
      </c>
      <c r="Q82" s="80">
        <f t="shared" si="13"/>
        <v>315</v>
      </c>
      <c r="R82" s="80">
        <f t="shared" si="14"/>
        <v>100</v>
      </c>
      <c r="S82" s="78">
        <f t="shared" si="15"/>
        <v>695</v>
      </c>
      <c r="T82" s="78">
        <f>50</f>
        <v>50</v>
      </c>
      <c r="U82" s="76"/>
      <c r="V82" s="76"/>
      <c r="W82" s="76"/>
      <c r="X82" s="76"/>
      <c r="Y82" s="76"/>
      <c r="Z82" s="76"/>
      <c r="AA82" s="76"/>
      <c r="AB82" s="76"/>
      <c r="AC82" s="76"/>
      <c r="AD82" s="76"/>
    </row>
    <row r="83" spans="1:30" ht="15.75" x14ac:dyDescent="0.25">
      <c r="A83" s="16">
        <v>43435</v>
      </c>
      <c r="B83" s="91">
        <v>31</v>
      </c>
      <c r="C83" s="78">
        <f>122.58</f>
        <v>122.58</v>
      </c>
      <c r="D83" s="78">
        <f>297.941</f>
        <v>297.94099999999997</v>
      </c>
      <c r="E83" s="86">
        <f>89.177</f>
        <v>89.177000000000007</v>
      </c>
      <c r="F83" s="78">
        <f>240.302-40-60</f>
        <v>140.30199999999999</v>
      </c>
      <c r="G83" s="80">
        <v>40</v>
      </c>
      <c r="H83" s="78">
        <v>60</v>
      </c>
      <c r="I83" s="78">
        <f t="shared" si="9"/>
        <v>0</v>
      </c>
      <c r="J83" s="80">
        <v>100</v>
      </c>
      <c r="K83" s="80">
        <v>300</v>
      </c>
      <c r="L83" s="78">
        <f t="shared" si="12"/>
        <v>1150</v>
      </c>
      <c r="M83" s="88">
        <v>400</v>
      </c>
      <c r="N83" s="78">
        <f>100</f>
        <v>100</v>
      </c>
      <c r="O83" s="80">
        <v>240</v>
      </c>
      <c r="P83" s="80">
        <v>40</v>
      </c>
      <c r="Q83" s="80">
        <f t="shared" si="13"/>
        <v>315</v>
      </c>
      <c r="R83" s="80">
        <f t="shared" si="14"/>
        <v>100</v>
      </c>
      <c r="S83" s="78">
        <f t="shared" si="15"/>
        <v>695</v>
      </c>
      <c r="T83" s="78">
        <f>50</f>
        <v>50</v>
      </c>
      <c r="U83" s="76"/>
      <c r="V83" s="76"/>
      <c r="W83" s="76"/>
      <c r="X83" s="76"/>
      <c r="Y83" s="76"/>
      <c r="Z83" s="76"/>
      <c r="AA83" s="76"/>
      <c r="AB83" s="76"/>
      <c r="AC83" s="76"/>
      <c r="AD83" s="76"/>
    </row>
    <row r="84" spans="1:30" ht="15.75" x14ac:dyDescent="0.25">
      <c r="A84" s="16">
        <v>43466</v>
      </c>
      <c r="B84" s="91">
        <v>31</v>
      </c>
      <c r="C84" s="78">
        <f>122.58</f>
        <v>122.58</v>
      </c>
      <c r="D84" s="78">
        <f>297.941</f>
        <v>297.94099999999997</v>
      </c>
      <c r="E84" s="86">
        <f>89.177</f>
        <v>89.177000000000007</v>
      </c>
      <c r="F84" s="78">
        <f>240.302-40-60</f>
        <v>140.30199999999999</v>
      </c>
      <c r="G84" s="80">
        <v>40</v>
      </c>
      <c r="H84" s="78">
        <v>60</v>
      </c>
      <c r="I84" s="78">
        <f t="shared" si="9"/>
        <v>0</v>
      </c>
      <c r="J84" s="80">
        <v>100</v>
      </c>
      <c r="K84" s="80">
        <v>300</v>
      </c>
      <c r="L84" s="78">
        <f t="shared" si="12"/>
        <v>1150</v>
      </c>
      <c r="M84" s="88">
        <v>400</v>
      </c>
      <c r="N84" s="78">
        <f>100</f>
        <v>100</v>
      </c>
      <c r="O84" s="80">
        <v>240</v>
      </c>
      <c r="P84" s="80">
        <v>40</v>
      </c>
      <c r="Q84" s="80">
        <f t="shared" si="13"/>
        <v>315</v>
      </c>
      <c r="R84" s="80">
        <f t="shared" si="14"/>
        <v>100</v>
      </c>
      <c r="S84" s="78">
        <f t="shared" si="15"/>
        <v>695</v>
      </c>
      <c r="T84" s="78">
        <f>50</f>
        <v>50</v>
      </c>
      <c r="U84" s="76"/>
      <c r="V84" s="76"/>
      <c r="W84" s="76"/>
      <c r="X84" s="76"/>
      <c r="Y84" s="76"/>
      <c r="Z84" s="76"/>
      <c r="AA84" s="76"/>
      <c r="AB84" s="76"/>
      <c r="AC84" s="76"/>
      <c r="AD84" s="76"/>
    </row>
    <row r="85" spans="1:30" ht="15.75" x14ac:dyDescent="0.25">
      <c r="A85" s="16">
        <v>43497</v>
      </c>
      <c r="B85" s="91">
        <v>28</v>
      </c>
      <c r="C85" s="78">
        <f>122.58</f>
        <v>122.58</v>
      </c>
      <c r="D85" s="78">
        <f>297.941</f>
        <v>297.94099999999997</v>
      </c>
      <c r="E85" s="86">
        <f>89.177</f>
        <v>89.177000000000007</v>
      </c>
      <c r="F85" s="78">
        <f>240.302-40-60</f>
        <v>140.30199999999999</v>
      </c>
      <c r="G85" s="80">
        <v>40</v>
      </c>
      <c r="H85" s="78">
        <v>60</v>
      </c>
      <c r="I85" s="78">
        <f t="shared" si="9"/>
        <v>0</v>
      </c>
      <c r="J85" s="80">
        <v>100</v>
      </c>
      <c r="K85" s="80">
        <v>300</v>
      </c>
      <c r="L85" s="78">
        <f t="shared" si="12"/>
        <v>1150</v>
      </c>
      <c r="M85" s="88">
        <v>400</v>
      </c>
      <c r="N85" s="78">
        <f>100</f>
        <v>100</v>
      </c>
      <c r="O85" s="80">
        <v>240</v>
      </c>
      <c r="P85" s="80">
        <v>40</v>
      </c>
      <c r="Q85" s="80">
        <f t="shared" si="13"/>
        <v>315</v>
      </c>
      <c r="R85" s="80">
        <f t="shared" si="14"/>
        <v>100</v>
      </c>
      <c r="S85" s="78">
        <f t="shared" si="15"/>
        <v>695</v>
      </c>
      <c r="T85" s="78">
        <f>50</f>
        <v>50</v>
      </c>
      <c r="U85" s="76"/>
      <c r="V85" s="76"/>
      <c r="W85" s="76"/>
      <c r="X85" s="76"/>
      <c r="Y85" s="76"/>
      <c r="Z85" s="76"/>
      <c r="AA85" s="76"/>
      <c r="AB85" s="76"/>
      <c r="AC85" s="76"/>
      <c r="AD85" s="76"/>
    </row>
    <row r="86" spans="1:30" ht="15.75" x14ac:dyDescent="0.25">
      <c r="A86" s="16">
        <v>43525</v>
      </c>
      <c r="B86" s="91">
        <v>31</v>
      </c>
      <c r="C86" s="78">
        <f>122.58</f>
        <v>122.58</v>
      </c>
      <c r="D86" s="78">
        <f>297.941</f>
        <v>297.94099999999997</v>
      </c>
      <c r="E86" s="86">
        <f>89.177</f>
        <v>89.177000000000007</v>
      </c>
      <c r="F86" s="78">
        <f>240.302-40-60</f>
        <v>140.30199999999999</v>
      </c>
      <c r="G86" s="80">
        <v>40</v>
      </c>
      <c r="H86" s="78">
        <v>60</v>
      </c>
      <c r="I86" s="78">
        <f t="shared" si="9"/>
        <v>0</v>
      </c>
      <c r="J86" s="80">
        <v>100</v>
      </c>
      <c r="K86" s="80">
        <v>300</v>
      </c>
      <c r="L86" s="78">
        <f t="shared" si="12"/>
        <v>1150</v>
      </c>
      <c r="M86" s="88">
        <v>400</v>
      </c>
      <c r="N86" s="78">
        <f>100</f>
        <v>100</v>
      </c>
      <c r="O86" s="80">
        <v>240</v>
      </c>
      <c r="P86" s="80">
        <v>40</v>
      </c>
      <c r="Q86" s="80">
        <f t="shared" si="13"/>
        <v>315</v>
      </c>
      <c r="R86" s="80">
        <f t="shared" si="14"/>
        <v>100</v>
      </c>
      <c r="S86" s="78">
        <f t="shared" si="15"/>
        <v>695</v>
      </c>
      <c r="T86" s="78">
        <f>50</f>
        <v>50</v>
      </c>
      <c r="U86" s="76"/>
      <c r="V86" s="76"/>
      <c r="W86" s="76"/>
      <c r="X86" s="76"/>
      <c r="Y86" s="76"/>
      <c r="Z86" s="76"/>
      <c r="AA86" s="76"/>
      <c r="AB86" s="76"/>
      <c r="AC86" s="76"/>
      <c r="AD86" s="76"/>
    </row>
    <row r="87" spans="1:30" ht="15.75" x14ac:dyDescent="0.25">
      <c r="A87" s="16">
        <v>43556</v>
      </c>
      <c r="B87" s="91">
        <v>30</v>
      </c>
      <c r="C87" s="78">
        <f>141.293</f>
        <v>141.29300000000001</v>
      </c>
      <c r="D87" s="78">
        <f>267.993</f>
        <v>267.99299999999999</v>
      </c>
      <c r="E87" s="86">
        <f>115.016</f>
        <v>115.01600000000001</v>
      </c>
      <c r="F87" s="78">
        <f>314.698-40-25-60</f>
        <v>189.69799999999998</v>
      </c>
      <c r="G87" s="80">
        <v>40</v>
      </c>
      <c r="H87" s="78">
        <f t="shared" ref="H87:H93" si="16">25+60</f>
        <v>85</v>
      </c>
      <c r="I87" s="78">
        <f t="shared" si="9"/>
        <v>0</v>
      </c>
      <c r="J87" s="80">
        <v>100</v>
      </c>
      <c r="K87" s="80">
        <v>300</v>
      </c>
      <c r="L87" s="78">
        <f t="shared" si="12"/>
        <v>1239</v>
      </c>
      <c r="M87" s="88">
        <v>400</v>
      </c>
      <c r="N87" s="78">
        <f>100</f>
        <v>100</v>
      </c>
      <c r="O87" s="80">
        <v>240</v>
      </c>
      <c r="P87" s="80">
        <v>160</v>
      </c>
      <c r="Q87" s="80">
        <f t="shared" si="13"/>
        <v>195</v>
      </c>
      <c r="R87" s="80">
        <f t="shared" si="14"/>
        <v>100</v>
      </c>
      <c r="S87" s="78">
        <f t="shared" si="15"/>
        <v>695</v>
      </c>
      <c r="T87" s="78">
        <f>50</f>
        <v>50</v>
      </c>
      <c r="U87" s="76"/>
      <c r="V87" s="76"/>
      <c r="W87" s="76"/>
      <c r="X87" s="76"/>
      <c r="Y87" s="76"/>
      <c r="Z87" s="76"/>
      <c r="AA87" s="76"/>
      <c r="AB87" s="76"/>
      <c r="AC87" s="76"/>
      <c r="AD87" s="76"/>
    </row>
    <row r="88" spans="1:30" ht="15.75" x14ac:dyDescent="0.25">
      <c r="A88" s="16">
        <v>43586</v>
      </c>
      <c r="B88" s="91">
        <v>31</v>
      </c>
      <c r="C88" s="78">
        <f>194.205</f>
        <v>194.20500000000001</v>
      </c>
      <c r="D88" s="78">
        <f>267.466</f>
        <v>267.46600000000001</v>
      </c>
      <c r="E88" s="86">
        <f>133.845</f>
        <v>133.845</v>
      </c>
      <c r="F88" s="78">
        <f>278.484-40-25-60</f>
        <v>153.48399999999998</v>
      </c>
      <c r="G88" s="80">
        <v>40</v>
      </c>
      <c r="H88" s="78">
        <f t="shared" si="16"/>
        <v>85</v>
      </c>
      <c r="I88" s="78">
        <f t="shared" si="9"/>
        <v>0</v>
      </c>
      <c r="J88" s="80">
        <v>100</v>
      </c>
      <c r="K88" s="80">
        <v>300</v>
      </c>
      <c r="L88" s="78">
        <f t="shared" si="12"/>
        <v>1274</v>
      </c>
      <c r="M88" s="88">
        <v>400</v>
      </c>
      <c r="N88" s="78">
        <f>75</f>
        <v>75</v>
      </c>
      <c r="O88" s="80">
        <v>240</v>
      </c>
      <c r="P88" s="80">
        <v>160</v>
      </c>
      <c r="Q88" s="80">
        <f t="shared" si="13"/>
        <v>195</v>
      </c>
      <c r="R88" s="80">
        <f t="shared" si="14"/>
        <v>100</v>
      </c>
      <c r="S88" s="78">
        <f t="shared" si="15"/>
        <v>695</v>
      </c>
      <c r="T88" s="78">
        <f>50</f>
        <v>50</v>
      </c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 ht="15.75" x14ac:dyDescent="0.25">
      <c r="A89" s="16">
        <v>43617</v>
      </c>
      <c r="B89" s="91">
        <v>30</v>
      </c>
      <c r="C89" s="78">
        <f>194.205</f>
        <v>194.20500000000001</v>
      </c>
      <c r="D89" s="78">
        <f>267.466</f>
        <v>267.46600000000001</v>
      </c>
      <c r="E89" s="86">
        <f>133.845</f>
        <v>133.845</v>
      </c>
      <c r="F89" s="78">
        <f>278.484-40-25-60</f>
        <v>153.48399999999998</v>
      </c>
      <c r="G89" s="80">
        <v>40</v>
      </c>
      <c r="H89" s="78">
        <f t="shared" si="16"/>
        <v>85</v>
      </c>
      <c r="I89" s="78">
        <f t="shared" si="9"/>
        <v>0</v>
      </c>
      <c r="J89" s="80">
        <v>100</v>
      </c>
      <c r="K89" s="80">
        <v>300</v>
      </c>
      <c r="L89" s="78">
        <f t="shared" si="12"/>
        <v>1274</v>
      </c>
      <c r="M89" s="88">
        <v>400</v>
      </c>
      <c r="N89" s="78">
        <f>30</f>
        <v>30</v>
      </c>
      <c r="O89" s="80">
        <v>240</v>
      </c>
      <c r="P89" s="80">
        <v>160</v>
      </c>
      <c r="Q89" s="80">
        <f t="shared" si="13"/>
        <v>195</v>
      </c>
      <c r="R89" s="80">
        <f t="shared" si="14"/>
        <v>100</v>
      </c>
      <c r="S89" s="78">
        <f t="shared" si="15"/>
        <v>695</v>
      </c>
      <c r="T89" s="78">
        <f>50</f>
        <v>50</v>
      </c>
      <c r="U89" s="76"/>
      <c r="V89" s="76"/>
      <c r="W89" s="76"/>
      <c r="X89" s="76"/>
      <c r="Y89" s="76"/>
      <c r="Z89" s="76"/>
      <c r="AA89" s="76"/>
      <c r="AB89" s="76"/>
      <c r="AC89" s="76"/>
      <c r="AD89" s="76"/>
    </row>
    <row r="90" spans="1:30" ht="15.75" x14ac:dyDescent="0.25">
      <c r="A90" s="16">
        <v>43647</v>
      </c>
      <c r="B90" s="91">
        <v>31</v>
      </c>
      <c r="C90" s="78">
        <f>194.205</f>
        <v>194.20500000000001</v>
      </c>
      <c r="D90" s="78">
        <f>267.466</f>
        <v>267.46600000000001</v>
      </c>
      <c r="E90" s="86">
        <f>133.845</f>
        <v>133.845</v>
      </c>
      <c r="F90" s="78">
        <f>278.484-40-25-60</f>
        <v>153.48399999999998</v>
      </c>
      <c r="G90" s="80">
        <v>40</v>
      </c>
      <c r="H90" s="78">
        <f t="shared" si="16"/>
        <v>85</v>
      </c>
      <c r="I90" s="78">
        <f t="shared" si="9"/>
        <v>0</v>
      </c>
      <c r="J90" s="80">
        <v>100</v>
      </c>
      <c r="K90" s="80">
        <v>300</v>
      </c>
      <c r="L90" s="78">
        <f t="shared" si="12"/>
        <v>1274</v>
      </c>
      <c r="M90" s="88">
        <v>400</v>
      </c>
      <c r="N90" s="78">
        <f>30</f>
        <v>30</v>
      </c>
      <c r="O90" s="80">
        <v>240</v>
      </c>
      <c r="P90" s="80">
        <v>160</v>
      </c>
      <c r="Q90" s="80">
        <f t="shared" si="13"/>
        <v>195</v>
      </c>
      <c r="R90" s="80">
        <f t="shared" si="14"/>
        <v>100</v>
      </c>
      <c r="S90" s="78">
        <f t="shared" si="15"/>
        <v>695</v>
      </c>
      <c r="T90" s="78">
        <f>0</f>
        <v>0</v>
      </c>
      <c r="U90" s="76"/>
      <c r="V90" s="76"/>
      <c r="W90" s="76"/>
      <c r="X90" s="76"/>
      <c r="Y90" s="76"/>
      <c r="Z90" s="76"/>
      <c r="AA90" s="76"/>
      <c r="AB90" s="76"/>
      <c r="AC90" s="76"/>
      <c r="AD90" s="76"/>
    </row>
    <row r="91" spans="1:30" ht="15.75" x14ac:dyDescent="0.25">
      <c r="A91" s="16">
        <v>43678</v>
      </c>
      <c r="B91" s="91">
        <v>31</v>
      </c>
      <c r="C91" s="78">
        <f>194.205</f>
        <v>194.20500000000001</v>
      </c>
      <c r="D91" s="78">
        <f>267.466</f>
        <v>267.46600000000001</v>
      </c>
      <c r="E91" s="86">
        <f>133.845</f>
        <v>133.845</v>
      </c>
      <c r="F91" s="78">
        <f>278.484-40-25-60</f>
        <v>153.48399999999998</v>
      </c>
      <c r="G91" s="80">
        <v>40</v>
      </c>
      <c r="H91" s="78">
        <f t="shared" si="16"/>
        <v>85</v>
      </c>
      <c r="I91" s="78">
        <f t="shared" si="9"/>
        <v>0</v>
      </c>
      <c r="J91" s="80">
        <v>100</v>
      </c>
      <c r="K91" s="80">
        <v>300</v>
      </c>
      <c r="L91" s="78">
        <f t="shared" si="12"/>
        <v>1274</v>
      </c>
      <c r="M91" s="88">
        <v>400</v>
      </c>
      <c r="N91" s="78">
        <f>30</f>
        <v>30</v>
      </c>
      <c r="O91" s="80">
        <v>240</v>
      </c>
      <c r="P91" s="80">
        <v>160</v>
      </c>
      <c r="Q91" s="80">
        <f t="shared" si="13"/>
        <v>195</v>
      </c>
      <c r="R91" s="80">
        <f t="shared" si="14"/>
        <v>100</v>
      </c>
      <c r="S91" s="78">
        <f t="shared" si="15"/>
        <v>695</v>
      </c>
      <c r="T91" s="78">
        <f>0</f>
        <v>0</v>
      </c>
      <c r="U91" s="76"/>
      <c r="V91" s="76"/>
      <c r="W91" s="76"/>
      <c r="X91" s="76"/>
      <c r="Y91" s="76"/>
      <c r="Z91" s="76"/>
      <c r="AA91" s="76"/>
      <c r="AB91" s="76"/>
      <c r="AC91" s="76"/>
      <c r="AD91" s="76"/>
    </row>
    <row r="92" spans="1:30" ht="15.75" x14ac:dyDescent="0.25">
      <c r="A92" s="16">
        <v>43709</v>
      </c>
      <c r="B92" s="91">
        <v>30</v>
      </c>
      <c r="C92" s="78">
        <f>194.205</f>
        <v>194.20500000000001</v>
      </c>
      <c r="D92" s="78">
        <f>267.466</f>
        <v>267.46600000000001</v>
      </c>
      <c r="E92" s="86">
        <f>133.845</f>
        <v>133.845</v>
      </c>
      <c r="F92" s="78">
        <f>278.484-40-25-60</f>
        <v>153.48399999999998</v>
      </c>
      <c r="G92" s="80">
        <v>40</v>
      </c>
      <c r="H92" s="78">
        <f t="shared" si="16"/>
        <v>85</v>
      </c>
      <c r="I92" s="78">
        <f t="shared" si="9"/>
        <v>0</v>
      </c>
      <c r="J92" s="80">
        <v>100</v>
      </c>
      <c r="K92" s="80">
        <v>300</v>
      </c>
      <c r="L92" s="78">
        <f t="shared" si="12"/>
        <v>1274</v>
      </c>
      <c r="M92" s="88">
        <v>400</v>
      </c>
      <c r="N92" s="78">
        <f>30</f>
        <v>30</v>
      </c>
      <c r="O92" s="80">
        <v>240</v>
      </c>
      <c r="P92" s="80">
        <v>160</v>
      </c>
      <c r="Q92" s="80">
        <f t="shared" si="13"/>
        <v>195</v>
      </c>
      <c r="R92" s="80">
        <f t="shared" si="14"/>
        <v>100</v>
      </c>
      <c r="S92" s="78">
        <f t="shared" si="15"/>
        <v>695</v>
      </c>
      <c r="T92" s="78">
        <f>0</f>
        <v>0</v>
      </c>
      <c r="U92" s="76"/>
      <c r="V92" s="76"/>
      <c r="W92" s="76"/>
      <c r="X92" s="76"/>
      <c r="Y92" s="76"/>
      <c r="Z92" s="76"/>
      <c r="AA92" s="76"/>
      <c r="AB92" s="76"/>
      <c r="AC92" s="76"/>
      <c r="AD92" s="76"/>
    </row>
    <row r="93" spans="1:30" ht="15.75" x14ac:dyDescent="0.25">
      <c r="A93" s="16">
        <v>43739</v>
      </c>
      <c r="B93" s="91">
        <v>31</v>
      </c>
      <c r="C93" s="78">
        <f>131.881</f>
        <v>131.881</v>
      </c>
      <c r="D93" s="78">
        <f>277.167</f>
        <v>277.16699999999997</v>
      </c>
      <c r="E93" s="86">
        <f>79.08</f>
        <v>79.08</v>
      </c>
      <c r="F93" s="78">
        <f>350.872-40-25-60</f>
        <v>225.87200000000001</v>
      </c>
      <c r="G93" s="80">
        <v>40</v>
      </c>
      <c r="H93" s="78">
        <f t="shared" si="16"/>
        <v>85</v>
      </c>
      <c r="I93" s="78">
        <f t="shared" si="9"/>
        <v>0</v>
      </c>
      <c r="J93" s="80">
        <v>100</v>
      </c>
      <c r="K93" s="80">
        <v>300</v>
      </c>
      <c r="L93" s="78">
        <f t="shared" si="12"/>
        <v>1239</v>
      </c>
      <c r="M93" s="88">
        <v>400</v>
      </c>
      <c r="N93" s="78">
        <f>75</f>
        <v>75</v>
      </c>
      <c r="O93" s="80">
        <v>240</v>
      </c>
      <c r="P93" s="80">
        <v>160</v>
      </c>
      <c r="Q93" s="80">
        <f t="shared" si="13"/>
        <v>195</v>
      </c>
      <c r="R93" s="80">
        <f t="shared" si="14"/>
        <v>100</v>
      </c>
      <c r="S93" s="78">
        <f t="shared" si="15"/>
        <v>695</v>
      </c>
      <c r="T93" s="78">
        <f>0</f>
        <v>0</v>
      </c>
      <c r="U93" s="76"/>
      <c r="V93" s="76"/>
      <c r="W93" s="76"/>
      <c r="X93" s="76"/>
      <c r="Y93" s="76"/>
      <c r="Z93" s="76"/>
      <c r="AA93" s="76"/>
      <c r="AB93" s="76"/>
      <c r="AC93" s="76"/>
      <c r="AD93" s="76"/>
    </row>
    <row r="94" spans="1:30" ht="15.75" x14ac:dyDescent="0.25">
      <c r="A94" s="16">
        <v>43770</v>
      </c>
      <c r="B94" s="91">
        <v>30</v>
      </c>
      <c r="C94" s="78">
        <f>122.58</f>
        <v>122.58</v>
      </c>
      <c r="D94" s="78">
        <f>297.941</f>
        <v>297.94099999999997</v>
      </c>
      <c r="E94" s="86">
        <f>89.177</f>
        <v>89.177000000000007</v>
      </c>
      <c r="F94" s="78">
        <f>240.302-40-60</f>
        <v>140.30199999999999</v>
      </c>
      <c r="G94" s="80">
        <v>40</v>
      </c>
      <c r="H94" s="78">
        <v>60</v>
      </c>
      <c r="I94" s="78">
        <f t="shared" si="9"/>
        <v>0</v>
      </c>
      <c r="J94" s="80">
        <v>100</v>
      </c>
      <c r="K94" s="80">
        <v>300</v>
      </c>
      <c r="L94" s="78">
        <f t="shared" si="12"/>
        <v>1150</v>
      </c>
      <c r="M94" s="88">
        <v>400</v>
      </c>
      <c r="N94" s="78">
        <f>100</f>
        <v>100</v>
      </c>
      <c r="O94" s="80">
        <v>240</v>
      </c>
      <c r="P94" s="80">
        <v>40</v>
      </c>
      <c r="Q94" s="80">
        <f t="shared" si="13"/>
        <v>315</v>
      </c>
      <c r="R94" s="80">
        <f t="shared" si="14"/>
        <v>100</v>
      </c>
      <c r="S94" s="78">
        <f t="shared" si="15"/>
        <v>695</v>
      </c>
      <c r="T94" s="78">
        <f>50</f>
        <v>50</v>
      </c>
      <c r="U94" s="76"/>
      <c r="V94" s="76"/>
      <c r="W94" s="76"/>
      <c r="X94" s="76"/>
      <c r="Y94" s="76"/>
      <c r="Z94" s="76"/>
      <c r="AA94" s="76"/>
      <c r="AB94" s="76"/>
      <c r="AC94" s="76"/>
      <c r="AD94" s="76"/>
    </row>
    <row r="95" spans="1:30" ht="15.75" x14ac:dyDescent="0.25">
      <c r="A95" s="16">
        <v>43800</v>
      </c>
      <c r="B95" s="91">
        <v>31</v>
      </c>
      <c r="C95" s="78">
        <f>122.58</f>
        <v>122.58</v>
      </c>
      <c r="D95" s="78">
        <f>297.941</f>
        <v>297.94099999999997</v>
      </c>
      <c r="E95" s="86">
        <f>89.177</f>
        <v>89.177000000000007</v>
      </c>
      <c r="F95" s="78">
        <f>240.302-40-60</f>
        <v>140.30199999999999</v>
      </c>
      <c r="G95" s="80">
        <v>40</v>
      </c>
      <c r="H95" s="78">
        <v>60</v>
      </c>
      <c r="I95" s="78">
        <f t="shared" si="9"/>
        <v>0</v>
      </c>
      <c r="J95" s="80">
        <v>100</v>
      </c>
      <c r="K95" s="80">
        <v>300</v>
      </c>
      <c r="L95" s="78">
        <f t="shared" si="12"/>
        <v>1150</v>
      </c>
      <c r="M95" s="88">
        <v>400</v>
      </c>
      <c r="N95" s="78">
        <f>100</f>
        <v>100</v>
      </c>
      <c r="O95" s="80">
        <v>240</v>
      </c>
      <c r="P95" s="80">
        <v>40</v>
      </c>
      <c r="Q95" s="80">
        <f t="shared" si="13"/>
        <v>315</v>
      </c>
      <c r="R95" s="80">
        <f t="shared" si="14"/>
        <v>100</v>
      </c>
      <c r="S95" s="78">
        <f t="shared" si="15"/>
        <v>695</v>
      </c>
      <c r="T95" s="78">
        <f>50</f>
        <v>50</v>
      </c>
      <c r="U95" s="76"/>
      <c r="V95" s="76"/>
      <c r="W95" s="76"/>
      <c r="X95" s="76"/>
      <c r="Y95" s="76"/>
      <c r="Z95" s="76"/>
      <c r="AA95" s="76"/>
      <c r="AB95" s="76"/>
      <c r="AC95" s="76"/>
      <c r="AD95" s="76"/>
    </row>
    <row r="96" spans="1:30" ht="15.75" x14ac:dyDescent="0.25">
      <c r="A96" s="16">
        <v>43831</v>
      </c>
      <c r="B96" s="91">
        <v>31</v>
      </c>
      <c r="C96" s="78">
        <f>122.58</f>
        <v>122.58</v>
      </c>
      <c r="D96" s="78">
        <f>297.941</f>
        <v>297.94099999999997</v>
      </c>
      <c r="E96" s="86">
        <f>89.177</f>
        <v>89.177000000000007</v>
      </c>
      <c r="F96" s="78">
        <f>240.302-40-60</f>
        <v>140.30199999999999</v>
      </c>
      <c r="G96" s="80">
        <v>40</v>
      </c>
      <c r="H96" s="78">
        <v>60</v>
      </c>
      <c r="I96" s="78">
        <f t="shared" si="9"/>
        <v>0</v>
      </c>
      <c r="J96" s="80">
        <v>100</v>
      </c>
      <c r="K96" s="80">
        <v>300</v>
      </c>
      <c r="L96" s="78">
        <f t="shared" si="12"/>
        <v>1150</v>
      </c>
      <c r="M96" s="88">
        <v>400</v>
      </c>
      <c r="N96" s="78">
        <f>100</f>
        <v>100</v>
      </c>
      <c r="O96" s="80">
        <v>240</v>
      </c>
      <c r="P96" s="80">
        <v>40</v>
      </c>
      <c r="Q96" s="80">
        <f t="shared" si="13"/>
        <v>315</v>
      </c>
      <c r="R96" s="80">
        <f t="shared" si="14"/>
        <v>100</v>
      </c>
      <c r="S96" s="78">
        <f t="shared" si="15"/>
        <v>695</v>
      </c>
      <c r="T96" s="78">
        <f>50</f>
        <v>50</v>
      </c>
      <c r="U96" s="76"/>
      <c r="V96" s="76"/>
      <c r="W96" s="76"/>
      <c r="X96" s="76"/>
      <c r="Y96" s="76"/>
      <c r="Z96" s="76"/>
      <c r="AA96" s="76"/>
      <c r="AB96" s="76"/>
      <c r="AC96" s="76"/>
      <c r="AD96" s="76"/>
    </row>
    <row r="97" spans="1:30" ht="15.75" x14ac:dyDescent="0.25">
      <c r="A97" s="16">
        <v>43862</v>
      </c>
      <c r="B97" s="91">
        <v>29</v>
      </c>
      <c r="C97" s="78">
        <f>122.58</f>
        <v>122.58</v>
      </c>
      <c r="D97" s="78">
        <f>297.941</f>
        <v>297.94099999999997</v>
      </c>
      <c r="E97" s="86">
        <f>89.177</f>
        <v>89.177000000000007</v>
      </c>
      <c r="F97" s="78">
        <f>240.302-40-60</f>
        <v>140.30199999999999</v>
      </c>
      <c r="G97" s="80">
        <v>40</v>
      </c>
      <c r="H97" s="78">
        <v>60</v>
      </c>
      <c r="I97" s="78">
        <f t="shared" si="9"/>
        <v>0</v>
      </c>
      <c r="J97" s="80">
        <v>100</v>
      </c>
      <c r="K97" s="80">
        <v>300</v>
      </c>
      <c r="L97" s="78">
        <f t="shared" si="12"/>
        <v>1150</v>
      </c>
      <c r="M97" s="88">
        <v>400</v>
      </c>
      <c r="N97" s="78">
        <f>100</f>
        <v>100</v>
      </c>
      <c r="O97" s="80">
        <v>240</v>
      </c>
      <c r="P97" s="80">
        <v>40</v>
      </c>
      <c r="Q97" s="80">
        <f t="shared" si="13"/>
        <v>315</v>
      </c>
      <c r="R97" s="80">
        <f t="shared" si="14"/>
        <v>100</v>
      </c>
      <c r="S97" s="78">
        <f t="shared" si="15"/>
        <v>695</v>
      </c>
      <c r="T97" s="78">
        <f>50</f>
        <v>50</v>
      </c>
      <c r="U97" s="76"/>
      <c r="V97" s="76"/>
      <c r="W97" s="76"/>
      <c r="X97" s="76"/>
      <c r="Y97" s="76"/>
      <c r="Z97" s="76"/>
      <c r="AA97" s="76"/>
      <c r="AB97" s="76"/>
      <c r="AC97" s="76"/>
      <c r="AD97" s="76"/>
    </row>
    <row r="98" spans="1:30" ht="15.75" x14ac:dyDescent="0.25">
      <c r="A98" s="16">
        <v>43891</v>
      </c>
      <c r="B98" s="91">
        <v>31</v>
      </c>
      <c r="C98" s="78">
        <f>122.58</f>
        <v>122.58</v>
      </c>
      <c r="D98" s="78">
        <f>297.941</f>
        <v>297.94099999999997</v>
      </c>
      <c r="E98" s="86">
        <f>89.177</f>
        <v>89.177000000000007</v>
      </c>
      <c r="F98" s="78">
        <f>240.302-40-60</f>
        <v>140.30199999999999</v>
      </c>
      <c r="G98" s="80">
        <v>40</v>
      </c>
      <c r="H98" s="78">
        <v>60</v>
      </c>
      <c r="I98" s="78">
        <f t="shared" si="9"/>
        <v>0</v>
      </c>
      <c r="J98" s="80">
        <v>100</v>
      </c>
      <c r="K98" s="80">
        <v>300</v>
      </c>
      <c r="L98" s="78">
        <f t="shared" si="12"/>
        <v>1150</v>
      </c>
      <c r="M98" s="88">
        <v>400</v>
      </c>
      <c r="N98" s="78">
        <f>100</f>
        <v>100</v>
      </c>
      <c r="O98" s="80">
        <v>240</v>
      </c>
      <c r="P98" s="80">
        <v>40</v>
      </c>
      <c r="Q98" s="80">
        <f t="shared" si="13"/>
        <v>315</v>
      </c>
      <c r="R98" s="80">
        <f t="shared" si="14"/>
        <v>100</v>
      </c>
      <c r="S98" s="78">
        <f t="shared" si="15"/>
        <v>695</v>
      </c>
      <c r="T98" s="78">
        <f>50</f>
        <v>50</v>
      </c>
      <c r="U98" s="76"/>
      <c r="V98" s="76"/>
      <c r="W98" s="76"/>
      <c r="X98" s="76"/>
      <c r="Y98" s="76"/>
      <c r="Z98" s="76"/>
      <c r="AA98" s="76"/>
      <c r="AB98" s="76"/>
      <c r="AC98" s="76"/>
      <c r="AD98" s="76"/>
    </row>
    <row r="99" spans="1:30" ht="15.75" x14ac:dyDescent="0.25">
      <c r="A99" s="16">
        <v>43922</v>
      </c>
      <c r="B99" s="91">
        <v>30</v>
      </c>
      <c r="C99" s="78">
        <f>141.293</f>
        <v>141.29300000000001</v>
      </c>
      <c r="D99" s="78">
        <f>267.993</f>
        <v>267.99299999999999</v>
      </c>
      <c r="E99" s="86">
        <f>115.016</f>
        <v>115.01600000000001</v>
      </c>
      <c r="F99" s="78">
        <f>314.698-40-25-60</f>
        <v>189.69799999999998</v>
      </c>
      <c r="G99" s="80">
        <v>40</v>
      </c>
      <c r="H99" s="78">
        <f t="shared" ref="H99:H105" si="17">25+60</f>
        <v>85</v>
      </c>
      <c r="I99" s="78">
        <f t="shared" si="9"/>
        <v>0</v>
      </c>
      <c r="J99" s="80">
        <v>100</v>
      </c>
      <c r="K99" s="80">
        <v>300</v>
      </c>
      <c r="L99" s="78">
        <f t="shared" si="12"/>
        <v>1239</v>
      </c>
      <c r="M99" s="88">
        <v>400</v>
      </c>
      <c r="N99" s="78">
        <f>100</f>
        <v>100</v>
      </c>
      <c r="O99" s="80">
        <v>240</v>
      </c>
      <c r="P99" s="80">
        <v>160</v>
      </c>
      <c r="Q99" s="80">
        <f t="shared" si="13"/>
        <v>195</v>
      </c>
      <c r="R99" s="80">
        <f t="shared" si="14"/>
        <v>100</v>
      </c>
      <c r="S99" s="78">
        <f t="shared" si="15"/>
        <v>695</v>
      </c>
      <c r="T99" s="78">
        <f>50</f>
        <v>50</v>
      </c>
      <c r="U99" s="76"/>
      <c r="V99" s="76"/>
      <c r="W99" s="76"/>
      <c r="X99" s="76"/>
      <c r="Y99" s="76"/>
      <c r="Z99" s="76"/>
      <c r="AA99" s="76"/>
      <c r="AB99" s="76"/>
      <c r="AC99" s="76"/>
      <c r="AD99" s="76"/>
    </row>
    <row r="100" spans="1:30" ht="15.75" x14ac:dyDescent="0.25">
      <c r="A100" s="16">
        <v>43952</v>
      </c>
      <c r="B100" s="91">
        <v>31</v>
      </c>
      <c r="C100" s="78">
        <f>194.205</f>
        <v>194.20500000000001</v>
      </c>
      <c r="D100" s="78">
        <f>267.466</f>
        <v>267.46600000000001</v>
      </c>
      <c r="E100" s="86">
        <f>133.845</f>
        <v>133.845</v>
      </c>
      <c r="F100" s="78">
        <f>278.484-40-25-60</f>
        <v>153.48399999999998</v>
      </c>
      <c r="G100" s="80">
        <v>40</v>
      </c>
      <c r="H100" s="78">
        <f t="shared" si="17"/>
        <v>85</v>
      </c>
      <c r="I100" s="78">
        <f t="shared" si="9"/>
        <v>0</v>
      </c>
      <c r="J100" s="80">
        <v>100</v>
      </c>
      <c r="K100" s="80">
        <v>300</v>
      </c>
      <c r="L100" s="78">
        <f t="shared" si="12"/>
        <v>1274</v>
      </c>
      <c r="M100" s="88">
        <v>600</v>
      </c>
      <c r="N100" s="78">
        <f>75</f>
        <v>75</v>
      </c>
      <c r="O100" s="80">
        <v>240</v>
      </c>
      <c r="P100" s="80">
        <v>160</v>
      </c>
      <c r="Q100" s="80">
        <f t="shared" si="13"/>
        <v>195</v>
      </c>
      <c r="R100" s="80">
        <f t="shared" si="14"/>
        <v>100</v>
      </c>
      <c r="S100" s="78">
        <f t="shared" si="15"/>
        <v>695</v>
      </c>
      <c r="T100" s="78">
        <f>50</f>
        <v>50</v>
      </c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</row>
    <row r="101" spans="1:30" ht="15.75" x14ac:dyDescent="0.25">
      <c r="A101" s="16">
        <v>43983</v>
      </c>
      <c r="B101" s="91">
        <v>30</v>
      </c>
      <c r="C101" s="78">
        <f>194.205</f>
        <v>194.20500000000001</v>
      </c>
      <c r="D101" s="78">
        <f>267.466</f>
        <v>267.46600000000001</v>
      </c>
      <c r="E101" s="86">
        <f>133.845</f>
        <v>133.845</v>
      </c>
      <c r="F101" s="78">
        <f>278.484-40-25-60</f>
        <v>153.48399999999998</v>
      </c>
      <c r="G101" s="80">
        <v>40</v>
      </c>
      <c r="H101" s="78">
        <f t="shared" si="17"/>
        <v>85</v>
      </c>
      <c r="I101" s="78">
        <f t="shared" si="9"/>
        <v>0</v>
      </c>
      <c r="J101" s="80">
        <v>100</v>
      </c>
      <c r="K101" s="80">
        <v>300</v>
      </c>
      <c r="L101" s="78">
        <f t="shared" si="12"/>
        <v>1274</v>
      </c>
      <c r="M101" s="88">
        <v>600</v>
      </c>
      <c r="N101" s="78">
        <f>30</f>
        <v>30</v>
      </c>
      <c r="O101" s="80">
        <v>240</v>
      </c>
      <c r="P101" s="80">
        <v>160</v>
      </c>
      <c r="Q101" s="80">
        <f t="shared" si="13"/>
        <v>195</v>
      </c>
      <c r="R101" s="80">
        <f t="shared" si="14"/>
        <v>100</v>
      </c>
      <c r="S101" s="78">
        <f t="shared" si="15"/>
        <v>695</v>
      </c>
      <c r="T101" s="78">
        <f>50</f>
        <v>50</v>
      </c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</row>
    <row r="102" spans="1:30" ht="15.75" x14ac:dyDescent="0.25">
      <c r="A102" s="16">
        <v>44013</v>
      </c>
      <c r="B102" s="91">
        <v>31</v>
      </c>
      <c r="C102" s="78">
        <f>194.205</f>
        <v>194.20500000000001</v>
      </c>
      <c r="D102" s="78">
        <f>267.466</f>
        <v>267.46600000000001</v>
      </c>
      <c r="E102" s="86">
        <f>133.845</f>
        <v>133.845</v>
      </c>
      <c r="F102" s="78">
        <f>278.484-40-25-60</f>
        <v>153.48399999999998</v>
      </c>
      <c r="G102" s="80">
        <v>40</v>
      </c>
      <c r="H102" s="78">
        <f t="shared" si="17"/>
        <v>85</v>
      </c>
      <c r="I102" s="78">
        <f t="shared" si="9"/>
        <v>0</v>
      </c>
      <c r="J102" s="80">
        <v>100</v>
      </c>
      <c r="K102" s="80">
        <v>300</v>
      </c>
      <c r="L102" s="78">
        <f t="shared" si="12"/>
        <v>1274</v>
      </c>
      <c r="M102" s="88">
        <v>600</v>
      </c>
      <c r="N102" s="78">
        <f>30</f>
        <v>30</v>
      </c>
      <c r="O102" s="80">
        <v>240</v>
      </c>
      <c r="P102" s="80">
        <v>160</v>
      </c>
      <c r="Q102" s="80">
        <f t="shared" si="13"/>
        <v>195</v>
      </c>
      <c r="R102" s="80">
        <f t="shared" si="14"/>
        <v>100</v>
      </c>
      <c r="S102" s="78">
        <f t="shared" si="15"/>
        <v>695</v>
      </c>
      <c r="T102" s="78">
        <f>0</f>
        <v>0</v>
      </c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</row>
    <row r="103" spans="1:30" ht="15.75" x14ac:dyDescent="0.25">
      <c r="A103" s="16">
        <v>44044</v>
      </c>
      <c r="B103" s="91">
        <v>31</v>
      </c>
      <c r="C103" s="78">
        <f>194.205</f>
        <v>194.20500000000001</v>
      </c>
      <c r="D103" s="78">
        <f>267.466</f>
        <v>267.46600000000001</v>
      </c>
      <c r="E103" s="86">
        <f>133.845</f>
        <v>133.845</v>
      </c>
      <c r="F103" s="78">
        <f>278.484-40-25-60</f>
        <v>153.48399999999998</v>
      </c>
      <c r="G103" s="80">
        <v>40</v>
      </c>
      <c r="H103" s="78">
        <f t="shared" si="17"/>
        <v>85</v>
      </c>
      <c r="I103" s="78">
        <f t="shared" si="9"/>
        <v>0</v>
      </c>
      <c r="J103" s="80">
        <v>100</v>
      </c>
      <c r="K103" s="80">
        <v>300</v>
      </c>
      <c r="L103" s="78">
        <f t="shared" si="12"/>
        <v>1274</v>
      </c>
      <c r="M103" s="88">
        <v>600</v>
      </c>
      <c r="N103" s="78">
        <f>30</f>
        <v>30</v>
      </c>
      <c r="O103" s="80">
        <v>240</v>
      </c>
      <c r="P103" s="80">
        <v>160</v>
      </c>
      <c r="Q103" s="80">
        <f t="shared" si="13"/>
        <v>195</v>
      </c>
      <c r="R103" s="80">
        <f t="shared" si="14"/>
        <v>100</v>
      </c>
      <c r="S103" s="78">
        <f t="shared" si="15"/>
        <v>695</v>
      </c>
      <c r="T103" s="78">
        <f>0</f>
        <v>0</v>
      </c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</row>
    <row r="104" spans="1:30" ht="15.75" x14ac:dyDescent="0.25">
      <c r="A104" s="16">
        <v>44075</v>
      </c>
      <c r="B104" s="91">
        <v>30</v>
      </c>
      <c r="C104" s="78">
        <f>194.205</f>
        <v>194.20500000000001</v>
      </c>
      <c r="D104" s="78">
        <f>267.466</f>
        <v>267.46600000000001</v>
      </c>
      <c r="E104" s="86">
        <f>133.845</f>
        <v>133.845</v>
      </c>
      <c r="F104" s="78">
        <f>278.484-40-25-60</f>
        <v>153.48399999999998</v>
      </c>
      <c r="G104" s="80">
        <v>40</v>
      </c>
      <c r="H104" s="78">
        <f t="shared" si="17"/>
        <v>85</v>
      </c>
      <c r="I104" s="78">
        <f t="shared" si="9"/>
        <v>0</v>
      </c>
      <c r="J104" s="80">
        <v>100</v>
      </c>
      <c r="K104" s="80">
        <v>300</v>
      </c>
      <c r="L104" s="78">
        <f t="shared" si="12"/>
        <v>1274</v>
      </c>
      <c r="M104" s="88">
        <v>600</v>
      </c>
      <c r="N104" s="78">
        <f>30</f>
        <v>30</v>
      </c>
      <c r="O104" s="80">
        <v>240</v>
      </c>
      <c r="P104" s="80">
        <v>160</v>
      </c>
      <c r="Q104" s="80">
        <f t="shared" si="13"/>
        <v>195</v>
      </c>
      <c r="R104" s="80">
        <f t="shared" si="14"/>
        <v>100</v>
      </c>
      <c r="S104" s="78">
        <f t="shared" si="15"/>
        <v>695</v>
      </c>
      <c r="T104" s="78">
        <f>0</f>
        <v>0</v>
      </c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</row>
    <row r="105" spans="1:30" ht="15.75" x14ac:dyDescent="0.25">
      <c r="A105" s="16">
        <v>44105</v>
      </c>
      <c r="B105" s="91">
        <v>31</v>
      </c>
      <c r="C105" s="78">
        <f>131.881</f>
        <v>131.881</v>
      </c>
      <c r="D105" s="78">
        <f>277.167</f>
        <v>277.16699999999997</v>
      </c>
      <c r="E105" s="86">
        <f>79.08</f>
        <v>79.08</v>
      </c>
      <c r="F105" s="78">
        <f>350.872-40-25-60</f>
        <v>225.87200000000001</v>
      </c>
      <c r="G105" s="80">
        <v>40</v>
      </c>
      <c r="H105" s="78">
        <f t="shared" si="17"/>
        <v>85</v>
      </c>
      <c r="I105" s="78">
        <f t="shared" si="9"/>
        <v>0</v>
      </c>
      <c r="J105" s="80">
        <v>100</v>
      </c>
      <c r="K105" s="80">
        <v>300</v>
      </c>
      <c r="L105" s="78">
        <f t="shared" si="12"/>
        <v>1239</v>
      </c>
      <c r="M105" s="88">
        <v>600</v>
      </c>
      <c r="N105" s="78">
        <f>75</f>
        <v>75</v>
      </c>
      <c r="O105" s="80">
        <v>240</v>
      </c>
      <c r="P105" s="80">
        <v>160</v>
      </c>
      <c r="Q105" s="80">
        <f t="shared" si="13"/>
        <v>195</v>
      </c>
      <c r="R105" s="80">
        <f t="shared" si="14"/>
        <v>100</v>
      </c>
      <c r="S105" s="78">
        <f t="shared" si="15"/>
        <v>695</v>
      </c>
      <c r="T105" s="78">
        <f>0</f>
        <v>0</v>
      </c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</row>
    <row r="106" spans="1:30" ht="15.75" x14ac:dyDescent="0.25">
      <c r="A106" s="16">
        <v>44136</v>
      </c>
      <c r="B106" s="91">
        <v>30</v>
      </c>
      <c r="C106" s="78">
        <f>122.58</f>
        <v>122.58</v>
      </c>
      <c r="D106" s="78">
        <f>297.941</f>
        <v>297.94099999999997</v>
      </c>
      <c r="E106" s="86">
        <f>89.177</f>
        <v>89.177000000000007</v>
      </c>
      <c r="F106" s="78">
        <f>240.302-40-60</f>
        <v>140.30199999999999</v>
      </c>
      <c r="G106" s="80">
        <v>40</v>
      </c>
      <c r="H106" s="78">
        <v>60</v>
      </c>
      <c r="I106" s="78">
        <f t="shared" si="9"/>
        <v>0</v>
      </c>
      <c r="J106" s="80">
        <v>100</v>
      </c>
      <c r="K106" s="80">
        <v>300</v>
      </c>
      <c r="L106" s="78">
        <f t="shared" si="12"/>
        <v>1150</v>
      </c>
      <c r="M106" s="88">
        <v>600</v>
      </c>
      <c r="N106" s="78">
        <f>100</f>
        <v>100</v>
      </c>
      <c r="O106" s="80">
        <v>240</v>
      </c>
      <c r="P106" s="80">
        <v>40</v>
      </c>
      <c r="Q106" s="80">
        <f t="shared" si="13"/>
        <v>315</v>
      </c>
      <c r="R106" s="80">
        <f t="shared" si="14"/>
        <v>100</v>
      </c>
      <c r="S106" s="78">
        <f t="shared" si="15"/>
        <v>695</v>
      </c>
      <c r="T106" s="78">
        <f>50</f>
        <v>50</v>
      </c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</row>
    <row r="107" spans="1:30" ht="15.75" x14ac:dyDescent="0.25">
      <c r="A107" s="16">
        <v>44166</v>
      </c>
      <c r="B107" s="91">
        <v>31</v>
      </c>
      <c r="C107" s="78">
        <f>122.58</f>
        <v>122.58</v>
      </c>
      <c r="D107" s="78">
        <f>297.941</f>
        <v>297.94099999999997</v>
      </c>
      <c r="E107" s="86">
        <f>89.177</f>
        <v>89.177000000000007</v>
      </c>
      <c r="F107" s="78">
        <f>240.302-40-60</f>
        <v>140.30199999999999</v>
      </c>
      <c r="G107" s="80">
        <v>40</v>
      </c>
      <c r="H107" s="78">
        <v>60</v>
      </c>
      <c r="I107" s="78">
        <f t="shared" si="9"/>
        <v>0</v>
      </c>
      <c r="J107" s="80">
        <v>100</v>
      </c>
      <c r="K107" s="80">
        <v>300</v>
      </c>
      <c r="L107" s="78">
        <f t="shared" si="12"/>
        <v>1150</v>
      </c>
      <c r="M107" s="88">
        <v>600</v>
      </c>
      <c r="N107" s="78">
        <f>100</f>
        <v>100</v>
      </c>
      <c r="O107" s="80">
        <v>240</v>
      </c>
      <c r="P107" s="80">
        <v>40</v>
      </c>
      <c r="Q107" s="80">
        <f t="shared" si="13"/>
        <v>315</v>
      </c>
      <c r="R107" s="80">
        <f t="shared" si="14"/>
        <v>100</v>
      </c>
      <c r="S107" s="78">
        <f t="shared" si="15"/>
        <v>695</v>
      </c>
      <c r="T107" s="78">
        <f>50</f>
        <v>50</v>
      </c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</row>
    <row r="108" spans="1:30" ht="15.75" x14ac:dyDescent="0.25">
      <c r="A108" s="16">
        <v>44197</v>
      </c>
      <c r="B108" s="91">
        <v>31</v>
      </c>
      <c r="C108" s="78">
        <f>122.58</f>
        <v>122.58</v>
      </c>
      <c r="D108" s="78">
        <f>297.941</f>
        <v>297.94099999999997</v>
      </c>
      <c r="E108" s="86">
        <f>89.177</f>
        <v>89.177000000000007</v>
      </c>
      <c r="F108" s="78">
        <f>240.302-40-60</f>
        <v>140.30199999999999</v>
      </c>
      <c r="G108" s="80">
        <v>40</v>
      </c>
      <c r="H108" s="78">
        <v>60</v>
      </c>
      <c r="I108" s="78">
        <f t="shared" si="9"/>
        <v>0</v>
      </c>
      <c r="J108" s="80">
        <v>100</v>
      </c>
      <c r="K108" s="80">
        <v>300</v>
      </c>
      <c r="L108" s="78">
        <f t="shared" si="12"/>
        <v>1150</v>
      </c>
      <c r="M108" s="88">
        <v>600</v>
      </c>
      <c r="N108" s="78">
        <f>100</f>
        <v>100</v>
      </c>
      <c r="O108" s="80">
        <v>240</v>
      </c>
      <c r="P108" s="80">
        <v>40</v>
      </c>
      <c r="Q108" s="80">
        <f t="shared" si="13"/>
        <v>315</v>
      </c>
      <c r="R108" s="80">
        <f t="shared" si="14"/>
        <v>100</v>
      </c>
      <c r="S108" s="78">
        <f t="shared" si="15"/>
        <v>695</v>
      </c>
      <c r="T108" s="78">
        <f>50</f>
        <v>50</v>
      </c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</row>
    <row r="109" spans="1:30" ht="15.75" x14ac:dyDescent="0.25">
      <c r="A109" s="16">
        <v>44228</v>
      </c>
      <c r="B109" s="91">
        <v>28</v>
      </c>
      <c r="C109" s="78">
        <f>122.58</f>
        <v>122.58</v>
      </c>
      <c r="D109" s="78">
        <f>297.941</f>
        <v>297.94099999999997</v>
      </c>
      <c r="E109" s="86">
        <f>89.177</f>
        <v>89.177000000000007</v>
      </c>
      <c r="F109" s="78">
        <f>240.302-40-60</f>
        <v>140.30199999999999</v>
      </c>
      <c r="G109" s="80">
        <v>40</v>
      </c>
      <c r="H109" s="78">
        <v>60</v>
      </c>
      <c r="I109" s="78">
        <f t="shared" si="9"/>
        <v>0</v>
      </c>
      <c r="J109" s="80">
        <v>100</v>
      </c>
      <c r="K109" s="80">
        <v>300</v>
      </c>
      <c r="L109" s="78">
        <f t="shared" si="12"/>
        <v>1150</v>
      </c>
      <c r="M109" s="88">
        <v>600</v>
      </c>
      <c r="N109" s="78">
        <f>100</f>
        <v>100</v>
      </c>
      <c r="O109" s="80">
        <v>240</v>
      </c>
      <c r="P109" s="80">
        <v>40</v>
      </c>
      <c r="Q109" s="80">
        <f t="shared" si="13"/>
        <v>315</v>
      </c>
      <c r="R109" s="80">
        <f t="shared" si="14"/>
        <v>100</v>
      </c>
      <c r="S109" s="78">
        <f t="shared" si="15"/>
        <v>695</v>
      </c>
      <c r="T109" s="78">
        <f>50</f>
        <v>50</v>
      </c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</row>
    <row r="110" spans="1:30" ht="15.75" x14ac:dyDescent="0.25">
      <c r="A110" s="16">
        <v>44256</v>
      </c>
      <c r="B110" s="91">
        <v>31</v>
      </c>
      <c r="C110" s="78">
        <f>122.58</f>
        <v>122.58</v>
      </c>
      <c r="D110" s="78">
        <f>297.941</f>
        <v>297.94099999999997</v>
      </c>
      <c r="E110" s="86">
        <f>89.177</f>
        <v>89.177000000000007</v>
      </c>
      <c r="F110" s="78">
        <f>240.302-40-60</f>
        <v>140.30199999999999</v>
      </c>
      <c r="G110" s="80">
        <v>40</v>
      </c>
      <c r="H110" s="78">
        <v>60</v>
      </c>
      <c r="I110" s="78">
        <f t="shared" si="9"/>
        <v>0</v>
      </c>
      <c r="J110" s="80">
        <v>100</v>
      </c>
      <c r="K110" s="80">
        <v>300</v>
      </c>
      <c r="L110" s="78">
        <f t="shared" si="12"/>
        <v>1150</v>
      </c>
      <c r="M110" s="88">
        <v>600</v>
      </c>
      <c r="N110" s="78">
        <f>100</f>
        <v>100</v>
      </c>
      <c r="O110" s="80">
        <v>240</v>
      </c>
      <c r="P110" s="80">
        <v>40</v>
      </c>
      <c r="Q110" s="80">
        <f t="shared" si="13"/>
        <v>315</v>
      </c>
      <c r="R110" s="80">
        <f t="shared" si="14"/>
        <v>100</v>
      </c>
      <c r="S110" s="78">
        <f t="shared" si="15"/>
        <v>695</v>
      </c>
      <c r="T110" s="78">
        <f>50</f>
        <v>50</v>
      </c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</row>
    <row r="111" spans="1:30" ht="15.75" x14ac:dyDescent="0.25">
      <c r="A111" s="16">
        <v>44287</v>
      </c>
      <c r="B111" s="91">
        <v>30</v>
      </c>
      <c r="C111" s="78">
        <f>141.293</f>
        <v>141.29300000000001</v>
      </c>
      <c r="D111" s="78">
        <f>267.993</f>
        <v>267.99299999999999</v>
      </c>
      <c r="E111" s="86">
        <f>115.016</f>
        <v>115.01600000000001</v>
      </c>
      <c r="F111" s="78">
        <f>314.698-40-25-60</f>
        <v>189.69799999999998</v>
      </c>
      <c r="G111" s="80">
        <v>40</v>
      </c>
      <c r="H111" s="78">
        <f t="shared" ref="H111:H117" si="18">25+60</f>
        <v>85</v>
      </c>
      <c r="I111" s="78">
        <f t="shared" si="9"/>
        <v>0</v>
      </c>
      <c r="J111" s="80">
        <v>100</v>
      </c>
      <c r="K111" s="80">
        <v>300</v>
      </c>
      <c r="L111" s="78">
        <f t="shared" si="12"/>
        <v>1239</v>
      </c>
      <c r="M111" s="88">
        <v>600</v>
      </c>
      <c r="N111" s="78">
        <f>100</f>
        <v>100</v>
      </c>
      <c r="O111" s="80">
        <v>240</v>
      </c>
      <c r="P111" s="80">
        <v>160</v>
      </c>
      <c r="Q111" s="80">
        <f t="shared" si="13"/>
        <v>195</v>
      </c>
      <c r="R111" s="80">
        <f t="shared" si="14"/>
        <v>100</v>
      </c>
      <c r="S111" s="78">
        <f t="shared" si="15"/>
        <v>695</v>
      </c>
      <c r="T111" s="78">
        <f>50</f>
        <v>50</v>
      </c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</row>
    <row r="112" spans="1:30" ht="15.75" x14ac:dyDescent="0.25">
      <c r="A112" s="16">
        <v>44317</v>
      </c>
      <c r="B112" s="91">
        <v>31</v>
      </c>
      <c r="C112" s="78">
        <f>194.205</f>
        <v>194.20500000000001</v>
      </c>
      <c r="D112" s="78">
        <f>267.466</f>
        <v>267.46600000000001</v>
      </c>
      <c r="E112" s="86">
        <f>133.845</f>
        <v>133.845</v>
      </c>
      <c r="F112" s="78">
        <f>278.484-40-25-60</f>
        <v>153.48399999999998</v>
      </c>
      <c r="G112" s="80">
        <v>40</v>
      </c>
      <c r="H112" s="78">
        <f t="shared" si="18"/>
        <v>85</v>
      </c>
      <c r="I112" s="78">
        <f t="shared" si="9"/>
        <v>0</v>
      </c>
      <c r="J112" s="80">
        <v>100</v>
      </c>
      <c r="K112" s="80">
        <v>300</v>
      </c>
      <c r="L112" s="78">
        <f t="shared" si="12"/>
        <v>1274</v>
      </c>
      <c r="M112" s="88">
        <v>600</v>
      </c>
      <c r="N112" s="78">
        <f>75</f>
        <v>75</v>
      </c>
      <c r="O112" s="80">
        <v>240</v>
      </c>
      <c r="P112" s="80">
        <v>160</v>
      </c>
      <c r="Q112" s="80">
        <f t="shared" si="13"/>
        <v>195</v>
      </c>
      <c r="R112" s="80">
        <f t="shared" si="14"/>
        <v>100</v>
      </c>
      <c r="S112" s="78">
        <f t="shared" si="15"/>
        <v>695</v>
      </c>
      <c r="T112" s="78">
        <f>50</f>
        <v>50</v>
      </c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</row>
    <row r="113" spans="1:30" ht="15.75" x14ac:dyDescent="0.25">
      <c r="A113" s="16">
        <v>44348</v>
      </c>
      <c r="B113" s="91">
        <v>30</v>
      </c>
      <c r="C113" s="78">
        <f>194.205</f>
        <v>194.20500000000001</v>
      </c>
      <c r="D113" s="78">
        <f>267.466</f>
        <v>267.46600000000001</v>
      </c>
      <c r="E113" s="86">
        <f>133.845</f>
        <v>133.845</v>
      </c>
      <c r="F113" s="78">
        <f>278.484-40-25-60</f>
        <v>153.48399999999998</v>
      </c>
      <c r="G113" s="80">
        <v>40</v>
      </c>
      <c r="H113" s="78">
        <f t="shared" si="18"/>
        <v>85</v>
      </c>
      <c r="I113" s="78">
        <f t="shared" si="9"/>
        <v>0</v>
      </c>
      <c r="J113" s="80">
        <v>100</v>
      </c>
      <c r="K113" s="80">
        <v>300</v>
      </c>
      <c r="L113" s="78">
        <f t="shared" si="12"/>
        <v>1274</v>
      </c>
      <c r="M113" s="88">
        <v>600</v>
      </c>
      <c r="N113" s="78">
        <f>30</f>
        <v>30</v>
      </c>
      <c r="O113" s="80">
        <v>240</v>
      </c>
      <c r="P113" s="80">
        <v>160</v>
      </c>
      <c r="Q113" s="80">
        <f t="shared" si="13"/>
        <v>195</v>
      </c>
      <c r="R113" s="80">
        <f t="shared" si="14"/>
        <v>100</v>
      </c>
      <c r="S113" s="78">
        <f t="shared" si="15"/>
        <v>695</v>
      </c>
      <c r="T113" s="78">
        <f>50</f>
        <v>50</v>
      </c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</row>
    <row r="114" spans="1:30" ht="15.75" x14ac:dyDescent="0.25">
      <c r="A114" s="16">
        <v>44378</v>
      </c>
      <c r="B114" s="91">
        <v>31</v>
      </c>
      <c r="C114" s="78">
        <f>194.205</f>
        <v>194.20500000000001</v>
      </c>
      <c r="D114" s="78">
        <f>267.466</f>
        <v>267.46600000000001</v>
      </c>
      <c r="E114" s="86">
        <f>133.845</f>
        <v>133.845</v>
      </c>
      <c r="F114" s="78">
        <f>278.484-40-25-60</f>
        <v>153.48399999999998</v>
      </c>
      <c r="G114" s="80">
        <v>40</v>
      </c>
      <c r="H114" s="78">
        <f t="shared" si="18"/>
        <v>85</v>
      </c>
      <c r="I114" s="78">
        <f t="shared" si="9"/>
        <v>0</v>
      </c>
      <c r="J114" s="80">
        <v>100</v>
      </c>
      <c r="K114" s="80">
        <v>300</v>
      </c>
      <c r="L114" s="78">
        <f t="shared" si="12"/>
        <v>1274</v>
      </c>
      <c r="M114" s="88">
        <v>600</v>
      </c>
      <c r="N114" s="78">
        <f>30</f>
        <v>30</v>
      </c>
      <c r="O114" s="80">
        <v>240</v>
      </c>
      <c r="P114" s="80">
        <v>160</v>
      </c>
      <c r="Q114" s="80">
        <f t="shared" si="13"/>
        <v>195</v>
      </c>
      <c r="R114" s="80">
        <f t="shared" si="14"/>
        <v>100</v>
      </c>
      <c r="S114" s="78">
        <f t="shared" si="15"/>
        <v>695</v>
      </c>
      <c r="T114" s="78">
        <f>0</f>
        <v>0</v>
      </c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</row>
    <row r="115" spans="1:30" ht="15.75" x14ac:dyDescent="0.25">
      <c r="A115" s="16">
        <v>44409</v>
      </c>
      <c r="B115" s="91">
        <v>31</v>
      </c>
      <c r="C115" s="78">
        <f>194.205</f>
        <v>194.20500000000001</v>
      </c>
      <c r="D115" s="78">
        <f>267.466</f>
        <v>267.46600000000001</v>
      </c>
      <c r="E115" s="86">
        <f>133.845</f>
        <v>133.845</v>
      </c>
      <c r="F115" s="78">
        <f>278.484-40-25-60</f>
        <v>153.48399999999998</v>
      </c>
      <c r="G115" s="80">
        <v>40</v>
      </c>
      <c r="H115" s="78">
        <f t="shared" si="18"/>
        <v>85</v>
      </c>
      <c r="I115" s="78">
        <f t="shared" si="9"/>
        <v>0</v>
      </c>
      <c r="J115" s="80">
        <v>100</v>
      </c>
      <c r="K115" s="80">
        <v>300</v>
      </c>
      <c r="L115" s="78">
        <f t="shared" si="12"/>
        <v>1274</v>
      </c>
      <c r="M115" s="88">
        <v>600</v>
      </c>
      <c r="N115" s="78">
        <f>30</f>
        <v>30</v>
      </c>
      <c r="O115" s="80">
        <v>240</v>
      </c>
      <c r="P115" s="80">
        <v>160</v>
      </c>
      <c r="Q115" s="80">
        <f t="shared" si="13"/>
        <v>195</v>
      </c>
      <c r="R115" s="80">
        <f t="shared" si="14"/>
        <v>100</v>
      </c>
      <c r="S115" s="78">
        <f t="shared" si="15"/>
        <v>695</v>
      </c>
      <c r="T115" s="78">
        <f>0</f>
        <v>0</v>
      </c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</row>
    <row r="116" spans="1:30" ht="15.75" x14ac:dyDescent="0.25">
      <c r="A116" s="16">
        <v>44440</v>
      </c>
      <c r="B116" s="91">
        <v>30</v>
      </c>
      <c r="C116" s="78">
        <f>194.205</f>
        <v>194.20500000000001</v>
      </c>
      <c r="D116" s="78">
        <f>267.466</f>
        <v>267.46600000000001</v>
      </c>
      <c r="E116" s="86">
        <f>133.845</f>
        <v>133.845</v>
      </c>
      <c r="F116" s="78">
        <f>278.484-40-25-60</f>
        <v>153.48399999999998</v>
      </c>
      <c r="G116" s="80">
        <v>40</v>
      </c>
      <c r="H116" s="78">
        <f t="shared" si="18"/>
        <v>85</v>
      </c>
      <c r="I116" s="78">
        <f t="shared" ref="I116:I179" si="19">400-J116-K116</f>
        <v>0</v>
      </c>
      <c r="J116" s="80">
        <v>100</v>
      </c>
      <c r="K116" s="80">
        <v>300</v>
      </c>
      <c r="L116" s="78">
        <f t="shared" si="12"/>
        <v>1274</v>
      </c>
      <c r="M116" s="88">
        <v>600</v>
      </c>
      <c r="N116" s="78">
        <f>30</f>
        <v>30</v>
      </c>
      <c r="O116" s="80">
        <v>240</v>
      </c>
      <c r="P116" s="80">
        <v>160</v>
      </c>
      <c r="Q116" s="80">
        <f t="shared" si="13"/>
        <v>195</v>
      </c>
      <c r="R116" s="80">
        <f t="shared" si="14"/>
        <v>100</v>
      </c>
      <c r="S116" s="78">
        <f t="shared" si="15"/>
        <v>695</v>
      </c>
      <c r="T116" s="78">
        <f>0</f>
        <v>0</v>
      </c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</row>
    <row r="117" spans="1:30" ht="15.75" x14ac:dyDescent="0.25">
      <c r="A117" s="16">
        <v>44470</v>
      </c>
      <c r="B117" s="91">
        <v>31</v>
      </c>
      <c r="C117" s="78">
        <f>131.881</f>
        <v>131.881</v>
      </c>
      <c r="D117" s="78">
        <f>277.167</f>
        <v>277.16699999999997</v>
      </c>
      <c r="E117" s="86">
        <f>79.08</f>
        <v>79.08</v>
      </c>
      <c r="F117" s="78">
        <f>350.872-40-25-60</f>
        <v>225.87200000000001</v>
      </c>
      <c r="G117" s="80">
        <v>40</v>
      </c>
      <c r="H117" s="78">
        <f t="shared" si="18"/>
        <v>85</v>
      </c>
      <c r="I117" s="78">
        <f t="shared" si="19"/>
        <v>0</v>
      </c>
      <c r="J117" s="80">
        <v>100</v>
      </c>
      <c r="K117" s="80">
        <v>300</v>
      </c>
      <c r="L117" s="78">
        <f t="shared" si="12"/>
        <v>1239</v>
      </c>
      <c r="M117" s="88">
        <v>600</v>
      </c>
      <c r="N117" s="78">
        <f>75</f>
        <v>75</v>
      </c>
      <c r="O117" s="80">
        <v>240</v>
      </c>
      <c r="P117" s="80">
        <v>160</v>
      </c>
      <c r="Q117" s="80">
        <f t="shared" si="13"/>
        <v>195</v>
      </c>
      <c r="R117" s="80">
        <f t="shared" si="14"/>
        <v>100</v>
      </c>
      <c r="S117" s="78">
        <f t="shared" si="15"/>
        <v>695</v>
      </c>
      <c r="T117" s="78">
        <f>0</f>
        <v>0</v>
      </c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</row>
    <row r="118" spans="1:30" ht="15.75" x14ac:dyDescent="0.25">
      <c r="A118" s="16">
        <v>44501</v>
      </c>
      <c r="B118" s="91">
        <v>30</v>
      </c>
      <c r="C118" s="78">
        <f>122.58</f>
        <v>122.58</v>
      </c>
      <c r="D118" s="78">
        <f>297.941</f>
        <v>297.94099999999997</v>
      </c>
      <c r="E118" s="86">
        <f>89.177</f>
        <v>89.177000000000007</v>
      </c>
      <c r="F118" s="78">
        <f>240.302-40-60</f>
        <v>140.30199999999999</v>
      </c>
      <c r="G118" s="80">
        <v>40</v>
      </c>
      <c r="H118" s="78">
        <v>60</v>
      </c>
      <c r="I118" s="78">
        <f t="shared" si="19"/>
        <v>0</v>
      </c>
      <c r="J118" s="80">
        <v>100</v>
      </c>
      <c r="K118" s="80">
        <v>300</v>
      </c>
      <c r="L118" s="78">
        <f t="shared" si="12"/>
        <v>1150</v>
      </c>
      <c r="M118" s="88">
        <v>600</v>
      </c>
      <c r="N118" s="78">
        <f>100</f>
        <v>100</v>
      </c>
      <c r="O118" s="80">
        <v>240</v>
      </c>
      <c r="P118" s="80">
        <v>40</v>
      </c>
      <c r="Q118" s="80">
        <f t="shared" si="13"/>
        <v>315</v>
      </c>
      <c r="R118" s="80">
        <f t="shared" si="14"/>
        <v>100</v>
      </c>
      <c r="S118" s="78">
        <f t="shared" si="15"/>
        <v>695</v>
      </c>
      <c r="T118" s="78">
        <f>50</f>
        <v>50</v>
      </c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</row>
    <row r="119" spans="1:30" ht="15.75" x14ac:dyDescent="0.25">
      <c r="A119" s="16">
        <v>44531</v>
      </c>
      <c r="B119" s="91">
        <v>31</v>
      </c>
      <c r="C119" s="78">
        <f>122.58</f>
        <v>122.58</v>
      </c>
      <c r="D119" s="78">
        <f>297.941</f>
        <v>297.94099999999997</v>
      </c>
      <c r="E119" s="86">
        <f>89.177</f>
        <v>89.177000000000007</v>
      </c>
      <c r="F119" s="78">
        <f>240.302-40-60</f>
        <v>140.30199999999999</v>
      </c>
      <c r="G119" s="80">
        <v>40</v>
      </c>
      <c r="H119" s="78">
        <v>60</v>
      </c>
      <c r="I119" s="78">
        <f t="shared" si="19"/>
        <v>0</v>
      </c>
      <c r="J119" s="80">
        <v>100</v>
      </c>
      <c r="K119" s="80">
        <v>300</v>
      </c>
      <c r="L119" s="78">
        <f t="shared" si="12"/>
        <v>1150</v>
      </c>
      <c r="M119" s="88">
        <v>600</v>
      </c>
      <c r="N119" s="78">
        <f>100</f>
        <v>100</v>
      </c>
      <c r="O119" s="80">
        <v>240</v>
      </c>
      <c r="P119" s="80">
        <v>40</v>
      </c>
      <c r="Q119" s="80">
        <f t="shared" si="13"/>
        <v>315</v>
      </c>
      <c r="R119" s="80">
        <f t="shared" si="14"/>
        <v>100</v>
      </c>
      <c r="S119" s="78">
        <f t="shared" si="15"/>
        <v>695</v>
      </c>
      <c r="T119" s="78">
        <f>50</f>
        <v>50</v>
      </c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</row>
    <row r="120" spans="1:30" ht="15.75" x14ac:dyDescent="0.25">
      <c r="A120" s="16">
        <v>44562</v>
      </c>
      <c r="B120" s="91">
        <v>31</v>
      </c>
      <c r="C120" s="78">
        <f>122.58</f>
        <v>122.58</v>
      </c>
      <c r="D120" s="78">
        <f>297.941</f>
        <v>297.94099999999997</v>
      </c>
      <c r="E120" s="86">
        <f>89.177</f>
        <v>89.177000000000007</v>
      </c>
      <c r="F120" s="78">
        <f>240.302-40-60</f>
        <v>140.30199999999999</v>
      </c>
      <c r="G120" s="80">
        <v>40</v>
      </c>
      <c r="H120" s="78">
        <v>60</v>
      </c>
      <c r="I120" s="78">
        <f t="shared" si="19"/>
        <v>0</v>
      </c>
      <c r="J120" s="80">
        <v>100</v>
      </c>
      <c r="K120" s="80">
        <v>300</v>
      </c>
      <c r="L120" s="78">
        <f t="shared" si="12"/>
        <v>1150</v>
      </c>
      <c r="M120" s="88">
        <v>600</v>
      </c>
      <c r="N120" s="78">
        <f>100</f>
        <v>100</v>
      </c>
      <c r="O120" s="80">
        <v>240</v>
      </c>
      <c r="P120" s="80">
        <v>40</v>
      </c>
      <c r="Q120" s="80">
        <f t="shared" si="13"/>
        <v>315</v>
      </c>
      <c r="R120" s="80">
        <f t="shared" si="14"/>
        <v>100</v>
      </c>
      <c r="S120" s="78">
        <f t="shared" si="15"/>
        <v>695</v>
      </c>
      <c r="T120" s="78">
        <f>50</f>
        <v>50</v>
      </c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</row>
    <row r="121" spans="1:30" ht="15.75" x14ac:dyDescent="0.25">
      <c r="A121" s="16">
        <v>44593</v>
      </c>
      <c r="B121" s="91">
        <v>28</v>
      </c>
      <c r="C121" s="78">
        <f>122.58</f>
        <v>122.58</v>
      </c>
      <c r="D121" s="78">
        <f>297.941</f>
        <v>297.94099999999997</v>
      </c>
      <c r="E121" s="86">
        <f>89.177</f>
        <v>89.177000000000007</v>
      </c>
      <c r="F121" s="78">
        <f>240.302-40-60</f>
        <v>140.30199999999999</v>
      </c>
      <c r="G121" s="80">
        <v>40</v>
      </c>
      <c r="H121" s="78">
        <v>60</v>
      </c>
      <c r="I121" s="78">
        <f t="shared" si="19"/>
        <v>0</v>
      </c>
      <c r="J121" s="80">
        <v>100</v>
      </c>
      <c r="K121" s="80">
        <v>300</v>
      </c>
      <c r="L121" s="78">
        <f t="shared" si="12"/>
        <v>1150</v>
      </c>
      <c r="M121" s="88">
        <v>600</v>
      </c>
      <c r="N121" s="78">
        <f>100</f>
        <v>100</v>
      </c>
      <c r="O121" s="80">
        <v>240</v>
      </c>
      <c r="P121" s="80">
        <v>40</v>
      </c>
      <c r="Q121" s="80">
        <f t="shared" si="13"/>
        <v>315</v>
      </c>
      <c r="R121" s="80">
        <f t="shared" si="14"/>
        <v>100</v>
      </c>
      <c r="S121" s="78">
        <f t="shared" si="15"/>
        <v>695</v>
      </c>
      <c r="T121" s="78">
        <f>50</f>
        <v>50</v>
      </c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</row>
    <row r="122" spans="1:30" ht="15.75" x14ac:dyDescent="0.25">
      <c r="A122" s="16">
        <v>44621</v>
      </c>
      <c r="B122" s="91">
        <v>31</v>
      </c>
      <c r="C122" s="78">
        <f>122.58</f>
        <v>122.58</v>
      </c>
      <c r="D122" s="78">
        <f>297.941</f>
        <v>297.94099999999997</v>
      </c>
      <c r="E122" s="86">
        <f>89.177</f>
        <v>89.177000000000007</v>
      </c>
      <c r="F122" s="78">
        <f>240.302-40-60</f>
        <v>140.30199999999999</v>
      </c>
      <c r="G122" s="80">
        <v>40</v>
      </c>
      <c r="H122" s="78">
        <v>60</v>
      </c>
      <c r="I122" s="78">
        <f t="shared" si="19"/>
        <v>0</v>
      </c>
      <c r="J122" s="80">
        <v>100</v>
      </c>
      <c r="K122" s="80">
        <v>300</v>
      </c>
      <c r="L122" s="78">
        <f t="shared" si="12"/>
        <v>1150</v>
      </c>
      <c r="M122" s="88">
        <v>600</v>
      </c>
      <c r="N122" s="78">
        <f>100</f>
        <v>100</v>
      </c>
      <c r="O122" s="80">
        <v>240</v>
      </c>
      <c r="P122" s="80">
        <v>40</v>
      </c>
      <c r="Q122" s="80">
        <f t="shared" si="13"/>
        <v>315</v>
      </c>
      <c r="R122" s="80">
        <f t="shared" si="14"/>
        <v>100</v>
      </c>
      <c r="S122" s="78">
        <f t="shared" si="15"/>
        <v>695</v>
      </c>
      <c r="T122" s="78">
        <f>50</f>
        <v>50</v>
      </c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</row>
    <row r="123" spans="1:30" ht="15.75" x14ac:dyDescent="0.25">
      <c r="A123" s="16">
        <v>44652</v>
      </c>
      <c r="B123" s="91">
        <v>30</v>
      </c>
      <c r="C123" s="78">
        <f>141.293</f>
        <v>141.29300000000001</v>
      </c>
      <c r="D123" s="78">
        <f>267.993</f>
        <v>267.99299999999999</v>
      </c>
      <c r="E123" s="86">
        <f>115.016</f>
        <v>115.01600000000001</v>
      </c>
      <c r="F123" s="78">
        <f>314.698-40-25-60</f>
        <v>189.69799999999998</v>
      </c>
      <c r="G123" s="80">
        <v>40</v>
      </c>
      <c r="H123" s="78">
        <f t="shared" ref="H123:H129" si="20">25+60</f>
        <v>85</v>
      </c>
      <c r="I123" s="78">
        <f t="shared" si="19"/>
        <v>0</v>
      </c>
      <c r="J123" s="80">
        <v>100</v>
      </c>
      <c r="K123" s="80">
        <v>300</v>
      </c>
      <c r="L123" s="78">
        <f t="shared" si="12"/>
        <v>1239</v>
      </c>
      <c r="M123" s="88">
        <v>600</v>
      </c>
      <c r="N123" s="78">
        <f>100</f>
        <v>100</v>
      </c>
      <c r="O123" s="80">
        <v>240</v>
      </c>
      <c r="P123" s="80">
        <v>160</v>
      </c>
      <c r="Q123" s="80">
        <f t="shared" si="13"/>
        <v>195</v>
      </c>
      <c r="R123" s="80">
        <f t="shared" si="14"/>
        <v>100</v>
      </c>
      <c r="S123" s="78">
        <f t="shared" si="15"/>
        <v>695</v>
      </c>
      <c r="T123" s="78">
        <f>50</f>
        <v>50</v>
      </c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</row>
    <row r="124" spans="1:30" ht="15.75" x14ac:dyDescent="0.25">
      <c r="A124" s="16">
        <v>44682</v>
      </c>
      <c r="B124" s="91">
        <v>31</v>
      </c>
      <c r="C124" s="78">
        <f>194.205</f>
        <v>194.20500000000001</v>
      </c>
      <c r="D124" s="78">
        <f>267.466</f>
        <v>267.46600000000001</v>
      </c>
      <c r="E124" s="86">
        <f>133.845</f>
        <v>133.845</v>
      </c>
      <c r="F124" s="78">
        <f>278.484-40-25-60</f>
        <v>153.48399999999998</v>
      </c>
      <c r="G124" s="80">
        <v>40</v>
      </c>
      <c r="H124" s="78">
        <f t="shared" si="20"/>
        <v>85</v>
      </c>
      <c r="I124" s="78">
        <f t="shared" si="19"/>
        <v>0</v>
      </c>
      <c r="J124" s="80">
        <v>100</v>
      </c>
      <c r="K124" s="80">
        <v>300</v>
      </c>
      <c r="L124" s="78">
        <f t="shared" si="12"/>
        <v>1274</v>
      </c>
      <c r="M124" s="88">
        <v>600</v>
      </c>
      <c r="N124" s="78">
        <f>75</f>
        <v>75</v>
      </c>
      <c r="O124" s="80">
        <v>240</v>
      </c>
      <c r="P124" s="80">
        <v>160</v>
      </c>
      <c r="Q124" s="80">
        <f t="shared" si="13"/>
        <v>195</v>
      </c>
      <c r="R124" s="80">
        <f t="shared" si="14"/>
        <v>100</v>
      </c>
      <c r="S124" s="78">
        <f t="shared" si="15"/>
        <v>695</v>
      </c>
      <c r="T124" s="78">
        <f>50</f>
        <v>50</v>
      </c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</row>
    <row r="125" spans="1:30" ht="15.75" x14ac:dyDescent="0.25">
      <c r="A125" s="16">
        <v>44713</v>
      </c>
      <c r="B125" s="91">
        <v>30</v>
      </c>
      <c r="C125" s="78">
        <f>194.205</f>
        <v>194.20500000000001</v>
      </c>
      <c r="D125" s="78">
        <f>267.466</f>
        <v>267.46600000000001</v>
      </c>
      <c r="E125" s="86">
        <f>133.845</f>
        <v>133.845</v>
      </c>
      <c r="F125" s="78">
        <f>278.484-40-25-60</f>
        <v>153.48399999999998</v>
      </c>
      <c r="G125" s="80">
        <v>40</v>
      </c>
      <c r="H125" s="78">
        <f t="shared" si="20"/>
        <v>85</v>
      </c>
      <c r="I125" s="78">
        <f t="shared" si="19"/>
        <v>0</v>
      </c>
      <c r="J125" s="80">
        <v>100</v>
      </c>
      <c r="K125" s="80">
        <v>300</v>
      </c>
      <c r="L125" s="78">
        <f t="shared" si="12"/>
        <v>1274</v>
      </c>
      <c r="M125" s="88">
        <v>600</v>
      </c>
      <c r="N125" s="78">
        <f>30</f>
        <v>30</v>
      </c>
      <c r="O125" s="80">
        <v>240</v>
      </c>
      <c r="P125" s="80">
        <v>160</v>
      </c>
      <c r="Q125" s="80">
        <f t="shared" si="13"/>
        <v>195</v>
      </c>
      <c r="R125" s="80">
        <f t="shared" si="14"/>
        <v>100</v>
      </c>
      <c r="S125" s="78">
        <f t="shared" si="15"/>
        <v>695</v>
      </c>
      <c r="T125" s="78">
        <f>50</f>
        <v>50</v>
      </c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</row>
    <row r="126" spans="1:30" ht="15.75" x14ac:dyDescent="0.25">
      <c r="A126" s="16">
        <v>44743</v>
      </c>
      <c r="B126" s="91">
        <v>31</v>
      </c>
      <c r="C126" s="78">
        <f>194.205</f>
        <v>194.20500000000001</v>
      </c>
      <c r="D126" s="78">
        <f>267.466</f>
        <v>267.46600000000001</v>
      </c>
      <c r="E126" s="86">
        <f>133.845</f>
        <v>133.845</v>
      </c>
      <c r="F126" s="78">
        <f>278.484-40-25-60</f>
        <v>153.48399999999998</v>
      </c>
      <c r="G126" s="80">
        <v>40</v>
      </c>
      <c r="H126" s="78">
        <f t="shared" si="20"/>
        <v>85</v>
      </c>
      <c r="I126" s="78">
        <f t="shared" si="19"/>
        <v>0</v>
      </c>
      <c r="J126" s="80">
        <v>100</v>
      </c>
      <c r="K126" s="80">
        <v>300</v>
      </c>
      <c r="L126" s="78">
        <f t="shared" si="12"/>
        <v>1274</v>
      </c>
      <c r="M126" s="88">
        <v>600</v>
      </c>
      <c r="N126" s="78">
        <f>30</f>
        <v>30</v>
      </c>
      <c r="O126" s="80">
        <v>240</v>
      </c>
      <c r="P126" s="80">
        <v>160</v>
      </c>
      <c r="Q126" s="80">
        <f t="shared" si="13"/>
        <v>195</v>
      </c>
      <c r="R126" s="80">
        <f t="shared" si="14"/>
        <v>100</v>
      </c>
      <c r="S126" s="78">
        <f t="shared" si="15"/>
        <v>695</v>
      </c>
      <c r="T126" s="78">
        <f>0</f>
        <v>0</v>
      </c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</row>
    <row r="127" spans="1:30" ht="15.75" x14ac:dyDescent="0.25">
      <c r="A127" s="16">
        <v>44774</v>
      </c>
      <c r="B127" s="91">
        <v>31</v>
      </c>
      <c r="C127" s="78">
        <f>194.205</f>
        <v>194.20500000000001</v>
      </c>
      <c r="D127" s="78">
        <f>267.466</f>
        <v>267.46600000000001</v>
      </c>
      <c r="E127" s="86">
        <f>133.845</f>
        <v>133.845</v>
      </c>
      <c r="F127" s="78">
        <f>278.484-40-25-60</f>
        <v>153.48399999999998</v>
      </c>
      <c r="G127" s="80">
        <v>40</v>
      </c>
      <c r="H127" s="78">
        <f t="shared" si="20"/>
        <v>85</v>
      </c>
      <c r="I127" s="78">
        <f t="shared" si="19"/>
        <v>0</v>
      </c>
      <c r="J127" s="80">
        <v>100</v>
      </c>
      <c r="K127" s="80">
        <v>300</v>
      </c>
      <c r="L127" s="78">
        <f t="shared" si="12"/>
        <v>1274</v>
      </c>
      <c r="M127" s="88">
        <v>600</v>
      </c>
      <c r="N127" s="78">
        <f>30</f>
        <v>30</v>
      </c>
      <c r="O127" s="80">
        <v>240</v>
      </c>
      <c r="P127" s="80">
        <v>160</v>
      </c>
      <c r="Q127" s="80">
        <f t="shared" si="13"/>
        <v>195</v>
      </c>
      <c r="R127" s="80">
        <f t="shared" si="14"/>
        <v>100</v>
      </c>
      <c r="S127" s="78">
        <f t="shared" si="15"/>
        <v>695</v>
      </c>
      <c r="T127" s="78">
        <f>0</f>
        <v>0</v>
      </c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</row>
    <row r="128" spans="1:30" ht="15.75" x14ac:dyDescent="0.25">
      <c r="A128" s="16">
        <v>44805</v>
      </c>
      <c r="B128" s="91">
        <v>30</v>
      </c>
      <c r="C128" s="78">
        <f>194.205</f>
        <v>194.20500000000001</v>
      </c>
      <c r="D128" s="78">
        <f>267.466</f>
        <v>267.46600000000001</v>
      </c>
      <c r="E128" s="86">
        <f>133.845</f>
        <v>133.845</v>
      </c>
      <c r="F128" s="78">
        <f>278.484-40-25-60</f>
        <v>153.48399999999998</v>
      </c>
      <c r="G128" s="80">
        <v>40</v>
      </c>
      <c r="H128" s="78">
        <f t="shared" si="20"/>
        <v>85</v>
      </c>
      <c r="I128" s="78">
        <f t="shared" si="19"/>
        <v>0</v>
      </c>
      <c r="J128" s="80">
        <v>100</v>
      </c>
      <c r="K128" s="80">
        <v>300</v>
      </c>
      <c r="L128" s="78">
        <f t="shared" si="12"/>
        <v>1274</v>
      </c>
      <c r="M128" s="88">
        <v>600</v>
      </c>
      <c r="N128" s="78">
        <f>30</f>
        <v>30</v>
      </c>
      <c r="O128" s="80">
        <v>240</v>
      </c>
      <c r="P128" s="80">
        <v>160</v>
      </c>
      <c r="Q128" s="80">
        <f t="shared" si="13"/>
        <v>195</v>
      </c>
      <c r="R128" s="80">
        <f t="shared" si="14"/>
        <v>100</v>
      </c>
      <c r="S128" s="78">
        <f t="shared" si="15"/>
        <v>695</v>
      </c>
      <c r="T128" s="78">
        <f>0</f>
        <v>0</v>
      </c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</row>
    <row r="129" spans="1:30" ht="15.75" x14ac:dyDescent="0.25">
      <c r="A129" s="16">
        <v>44835</v>
      </c>
      <c r="B129" s="91">
        <v>31</v>
      </c>
      <c r="C129" s="78">
        <f>131.881</f>
        <v>131.881</v>
      </c>
      <c r="D129" s="78">
        <f>277.167</f>
        <v>277.16699999999997</v>
      </c>
      <c r="E129" s="86">
        <f>79.08</f>
        <v>79.08</v>
      </c>
      <c r="F129" s="78">
        <f>350.872-40-25-60</f>
        <v>225.87200000000001</v>
      </c>
      <c r="G129" s="80">
        <v>40</v>
      </c>
      <c r="H129" s="78">
        <f t="shared" si="20"/>
        <v>85</v>
      </c>
      <c r="I129" s="78">
        <f t="shared" si="19"/>
        <v>0</v>
      </c>
      <c r="J129" s="80">
        <v>100</v>
      </c>
      <c r="K129" s="80">
        <v>300</v>
      </c>
      <c r="L129" s="78">
        <f t="shared" si="12"/>
        <v>1239</v>
      </c>
      <c r="M129" s="88">
        <v>600</v>
      </c>
      <c r="N129" s="78">
        <f>75</f>
        <v>75</v>
      </c>
      <c r="O129" s="80">
        <v>240</v>
      </c>
      <c r="P129" s="80">
        <v>160</v>
      </c>
      <c r="Q129" s="80">
        <f t="shared" si="13"/>
        <v>195</v>
      </c>
      <c r="R129" s="80">
        <f t="shared" si="14"/>
        <v>100</v>
      </c>
      <c r="S129" s="78">
        <f t="shared" si="15"/>
        <v>695</v>
      </c>
      <c r="T129" s="78">
        <f>0</f>
        <v>0</v>
      </c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</row>
    <row r="130" spans="1:30" ht="15.75" x14ac:dyDescent="0.25">
      <c r="A130" s="16">
        <v>44866</v>
      </c>
      <c r="B130" s="91">
        <v>30</v>
      </c>
      <c r="C130" s="78">
        <f>122.58</f>
        <v>122.58</v>
      </c>
      <c r="D130" s="78">
        <f>297.941</f>
        <v>297.94099999999997</v>
      </c>
      <c r="E130" s="86">
        <f>89.177</f>
        <v>89.177000000000007</v>
      </c>
      <c r="F130" s="78">
        <f>240.302-40-60</f>
        <v>140.30199999999999</v>
      </c>
      <c r="G130" s="80">
        <v>40</v>
      </c>
      <c r="H130" s="78">
        <v>60</v>
      </c>
      <c r="I130" s="78">
        <f t="shared" si="19"/>
        <v>0</v>
      </c>
      <c r="J130" s="80">
        <v>100</v>
      </c>
      <c r="K130" s="80">
        <v>300</v>
      </c>
      <c r="L130" s="78">
        <f t="shared" si="12"/>
        <v>1150</v>
      </c>
      <c r="M130" s="88">
        <v>600</v>
      </c>
      <c r="N130" s="78">
        <f>100</f>
        <v>100</v>
      </c>
      <c r="O130" s="80">
        <v>240</v>
      </c>
      <c r="P130" s="80">
        <v>40</v>
      </c>
      <c r="Q130" s="80">
        <f t="shared" si="13"/>
        <v>315</v>
      </c>
      <c r="R130" s="80">
        <f t="shared" si="14"/>
        <v>100</v>
      </c>
      <c r="S130" s="78">
        <f t="shared" si="15"/>
        <v>695</v>
      </c>
      <c r="T130" s="78">
        <f>50</f>
        <v>50</v>
      </c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</row>
    <row r="131" spans="1:30" ht="15.75" x14ac:dyDescent="0.25">
      <c r="A131" s="16">
        <v>44896</v>
      </c>
      <c r="B131" s="91">
        <v>31</v>
      </c>
      <c r="C131" s="78">
        <f>122.58</f>
        <v>122.58</v>
      </c>
      <c r="D131" s="78">
        <f>297.941</f>
        <v>297.94099999999997</v>
      </c>
      <c r="E131" s="86">
        <f>89.177</f>
        <v>89.177000000000007</v>
      </c>
      <c r="F131" s="78">
        <f>240.302-40-60</f>
        <v>140.30199999999999</v>
      </c>
      <c r="G131" s="80">
        <v>40</v>
      </c>
      <c r="H131" s="78">
        <v>60</v>
      </c>
      <c r="I131" s="78">
        <f t="shared" si="19"/>
        <v>0</v>
      </c>
      <c r="J131" s="80">
        <v>100</v>
      </c>
      <c r="K131" s="80">
        <v>300</v>
      </c>
      <c r="L131" s="78">
        <f t="shared" si="12"/>
        <v>1150</v>
      </c>
      <c r="M131" s="88">
        <v>600</v>
      </c>
      <c r="N131" s="78">
        <f>100</f>
        <v>100</v>
      </c>
      <c r="O131" s="80">
        <v>240</v>
      </c>
      <c r="P131" s="80">
        <v>40</v>
      </c>
      <c r="Q131" s="80">
        <f t="shared" si="13"/>
        <v>315</v>
      </c>
      <c r="R131" s="80">
        <f t="shared" si="14"/>
        <v>100</v>
      </c>
      <c r="S131" s="78">
        <f t="shared" si="15"/>
        <v>695</v>
      </c>
      <c r="T131" s="78">
        <f>50</f>
        <v>50</v>
      </c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</row>
    <row r="132" spans="1:30" ht="15.75" x14ac:dyDescent="0.25">
      <c r="A132" s="16">
        <v>44927</v>
      </c>
      <c r="B132" s="91">
        <v>31</v>
      </c>
      <c r="C132" s="78">
        <f>122.58</f>
        <v>122.58</v>
      </c>
      <c r="D132" s="78">
        <f>297.941</f>
        <v>297.94099999999997</v>
      </c>
      <c r="E132" s="86">
        <f>89.177</f>
        <v>89.177000000000007</v>
      </c>
      <c r="F132" s="78">
        <f>240.302-40-60</f>
        <v>140.30199999999999</v>
      </c>
      <c r="G132" s="80">
        <v>40</v>
      </c>
      <c r="H132" s="78">
        <v>60</v>
      </c>
      <c r="I132" s="78">
        <f t="shared" si="19"/>
        <v>0</v>
      </c>
      <c r="J132" s="80">
        <v>100</v>
      </c>
      <c r="K132" s="80">
        <v>300</v>
      </c>
      <c r="L132" s="78">
        <f t="shared" si="12"/>
        <v>1150</v>
      </c>
      <c r="M132" s="88">
        <v>600</v>
      </c>
      <c r="N132" s="78">
        <f>100</f>
        <v>100</v>
      </c>
      <c r="O132" s="80">
        <v>240</v>
      </c>
      <c r="P132" s="80">
        <v>40</v>
      </c>
      <c r="Q132" s="80">
        <f t="shared" si="13"/>
        <v>315</v>
      </c>
      <c r="R132" s="80">
        <f t="shared" si="14"/>
        <v>100</v>
      </c>
      <c r="S132" s="78">
        <f t="shared" si="15"/>
        <v>695</v>
      </c>
      <c r="T132" s="78">
        <f>50</f>
        <v>50</v>
      </c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</row>
    <row r="133" spans="1:30" ht="15.75" x14ac:dyDescent="0.25">
      <c r="A133" s="16">
        <v>44958</v>
      </c>
      <c r="B133" s="91">
        <v>28</v>
      </c>
      <c r="C133" s="78">
        <f>122.58</f>
        <v>122.58</v>
      </c>
      <c r="D133" s="78">
        <f>297.941</f>
        <v>297.94099999999997</v>
      </c>
      <c r="E133" s="86">
        <f>89.177</f>
        <v>89.177000000000007</v>
      </c>
      <c r="F133" s="78">
        <f>240.302-40-60</f>
        <v>140.30199999999999</v>
      </c>
      <c r="G133" s="80">
        <v>40</v>
      </c>
      <c r="H133" s="78">
        <v>60</v>
      </c>
      <c r="I133" s="78">
        <f t="shared" si="19"/>
        <v>0</v>
      </c>
      <c r="J133" s="80">
        <v>100</v>
      </c>
      <c r="K133" s="80">
        <v>300</v>
      </c>
      <c r="L133" s="78">
        <f t="shared" si="12"/>
        <v>1150</v>
      </c>
      <c r="M133" s="88">
        <v>600</v>
      </c>
      <c r="N133" s="78">
        <f>100</f>
        <v>100</v>
      </c>
      <c r="O133" s="80">
        <v>240</v>
      </c>
      <c r="P133" s="80">
        <v>40</v>
      </c>
      <c r="Q133" s="80">
        <f t="shared" si="13"/>
        <v>315</v>
      </c>
      <c r="R133" s="80">
        <f t="shared" si="14"/>
        <v>100</v>
      </c>
      <c r="S133" s="78">
        <f t="shared" si="15"/>
        <v>695</v>
      </c>
      <c r="T133" s="78">
        <f>50</f>
        <v>50</v>
      </c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</row>
    <row r="134" spans="1:30" ht="15.75" x14ac:dyDescent="0.25">
      <c r="A134" s="16">
        <v>44986</v>
      </c>
      <c r="B134" s="91">
        <v>31</v>
      </c>
      <c r="C134" s="78">
        <f>122.58</f>
        <v>122.58</v>
      </c>
      <c r="D134" s="78">
        <f>297.941</f>
        <v>297.94099999999997</v>
      </c>
      <c r="E134" s="86">
        <f>89.177</f>
        <v>89.177000000000007</v>
      </c>
      <c r="F134" s="78">
        <f>240.302-40-60</f>
        <v>140.30199999999999</v>
      </c>
      <c r="G134" s="80">
        <v>40</v>
      </c>
      <c r="H134" s="78">
        <v>60</v>
      </c>
      <c r="I134" s="78">
        <f t="shared" si="19"/>
        <v>0</v>
      </c>
      <c r="J134" s="80">
        <v>100</v>
      </c>
      <c r="K134" s="80">
        <v>300</v>
      </c>
      <c r="L134" s="78">
        <f t="shared" si="12"/>
        <v>1150</v>
      </c>
      <c r="M134" s="88">
        <v>600</v>
      </c>
      <c r="N134" s="78">
        <f>100</f>
        <v>100</v>
      </c>
      <c r="O134" s="80">
        <v>240</v>
      </c>
      <c r="P134" s="80">
        <v>40</v>
      </c>
      <c r="Q134" s="80">
        <f t="shared" si="13"/>
        <v>315</v>
      </c>
      <c r="R134" s="80">
        <f t="shared" si="14"/>
        <v>100</v>
      </c>
      <c r="S134" s="78">
        <f t="shared" si="15"/>
        <v>695</v>
      </c>
      <c r="T134" s="78">
        <f>50</f>
        <v>50</v>
      </c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</row>
    <row r="135" spans="1:30" ht="15.75" x14ac:dyDescent="0.25">
      <c r="A135" s="16">
        <v>45017</v>
      </c>
      <c r="B135" s="91">
        <v>30</v>
      </c>
      <c r="C135" s="78">
        <f>141.293</f>
        <v>141.29300000000001</v>
      </c>
      <c r="D135" s="78">
        <f>267.993</f>
        <v>267.99299999999999</v>
      </c>
      <c r="E135" s="86">
        <f>115.016</f>
        <v>115.01600000000001</v>
      </c>
      <c r="F135" s="78">
        <f>314.698-40-25-60</f>
        <v>189.69799999999998</v>
      </c>
      <c r="G135" s="80">
        <v>40</v>
      </c>
      <c r="H135" s="78">
        <f t="shared" ref="H135:H141" si="21">25+60</f>
        <v>85</v>
      </c>
      <c r="I135" s="78">
        <f t="shared" si="19"/>
        <v>0</v>
      </c>
      <c r="J135" s="80">
        <v>100</v>
      </c>
      <c r="K135" s="80">
        <v>300</v>
      </c>
      <c r="L135" s="78">
        <f t="shared" si="12"/>
        <v>1239</v>
      </c>
      <c r="M135" s="88">
        <v>600</v>
      </c>
      <c r="N135" s="78">
        <f>100</f>
        <v>100</v>
      </c>
      <c r="O135" s="80">
        <v>240</v>
      </c>
      <c r="P135" s="80">
        <v>160</v>
      </c>
      <c r="Q135" s="80">
        <f t="shared" si="13"/>
        <v>195</v>
      </c>
      <c r="R135" s="80">
        <f t="shared" si="14"/>
        <v>100</v>
      </c>
      <c r="S135" s="78">
        <f t="shared" si="15"/>
        <v>695</v>
      </c>
      <c r="T135" s="78">
        <f>50</f>
        <v>50</v>
      </c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</row>
    <row r="136" spans="1:30" ht="15.75" x14ac:dyDescent="0.25">
      <c r="A136" s="16">
        <v>45047</v>
      </c>
      <c r="B136" s="91">
        <v>31</v>
      </c>
      <c r="C136" s="78">
        <f>194.205</f>
        <v>194.20500000000001</v>
      </c>
      <c r="D136" s="78">
        <f>267.466</f>
        <v>267.46600000000001</v>
      </c>
      <c r="E136" s="86">
        <f>133.845</f>
        <v>133.845</v>
      </c>
      <c r="F136" s="78">
        <f>278.484-40-25-60</f>
        <v>153.48399999999998</v>
      </c>
      <c r="G136" s="80">
        <v>40</v>
      </c>
      <c r="H136" s="78">
        <f t="shared" si="21"/>
        <v>85</v>
      </c>
      <c r="I136" s="78">
        <f t="shared" si="19"/>
        <v>0</v>
      </c>
      <c r="J136" s="80">
        <v>100</v>
      </c>
      <c r="K136" s="80">
        <v>300</v>
      </c>
      <c r="L136" s="78">
        <f t="shared" si="12"/>
        <v>1274</v>
      </c>
      <c r="M136" s="88">
        <v>600</v>
      </c>
      <c r="N136" s="78">
        <f>75</f>
        <v>75</v>
      </c>
      <c r="O136" s="80">
        <v>240</v>
      </c>
      <c r="P136" s="80">
        <v>160</v>
      </c>
      <c r="Q136" s="80">
        <f t="shared" si="13"/>
        <v>195</v>
      </c>
      <c r="R136" s="80">
        <f t="shared" si="14"/>
        <v>100</v>
      </c>
      <c r="S136" s="78">
        <f t="shared" si="15"/>
        <v>695</v>
      </c>
      <c r="T136" s="78">
        <f>50</f>
        <v>50</v>
      </c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</row>
    <row r="137" spans="1:30" ht="15.75" x14ac:dyDescent="0.25">
      <c r="A137" s="16">
        <v>45078</v>
      </c>
      <c r="B137" s="91">
        <v>30</v>
      </c>
      <c r="C137" s="78">
        <f>194.205</f>
        <v>194.20500000000001</v>
      </c>
      <c r="D137" s="78">
        <f>267.466</f>
        <v>267.46600000000001</v>
      </c>
      <c r="E137" s="86">
        <f>133.845</f>
        <v>133.845</v>
      </c>
      <c r="F137" s="78">
        <f>278.484-40-25-60</f>
        <v>153.48399999999998</v>
      </c>
      <c r="G137" s="80">
        <v>40</v>
      </c>
      <c r="H137" s="78">
        <f t="shared" si="21"/>
        <v>85</v>
      </c>
      <c r="I137" s="78">
        <f t="shared" si="19"/>
        <v>0</v>
      </c>
      <c r="J137" s="80">
        <v>100</v>
      </c>
      <c r="K137" s="80">
        <v>300</v>
      </c>
      <c r="L137" s="78">
        <f t="shared" si="12"/>
        <v>1274</v>
      </c>
      <c r="M137" s="88">
        <v>600</v>
      </c>
      <c r="N137" s="78">
        <f>30</f>
        <v>30</v>
      </c>
      <c r="O137" s="80">
        <v>240</v>
      </c>
      <c r="P137" s="80">
        <v>160</v>
      </c>
      <c r="Q137" s="80">
        <f t="shared" si="13"/>
        <v>195</v>
      </c>
      <c r="R137" s="80">
        <f t="shared" si="14"/>
        <v>100</v>
      </c>
      <c r="S137" s="78">
        <f t="shared" si="15"/>
        <v>695</v>
      </c>
      <c r="T137" s="78">
        <f>50</f>
        <v>50</v>
      </c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</row>
    <row r="138" spans="1:30" ht="15.75" x14ac:dyDescent="0.25">
      <c r="A138" s="16">
        <v>45108</v>
      </c>
      <c r="B138" s="91">
        <v>31</v>
      </c>
      <c r="C138" s="78">
        <f>194.205</f>
        <v>194.20500000000001</v>
      </c>
      <c r="D138" s="78">
        <f>267.466</f>
        <v>267.46600000000001</v>
      </c>
      <c r="E138" s="86">
        <f>133.845</f>
        <v>133.845</v>
      </c>
      <c r="F138" s="78">
        <f>278.484-40-25-60</f>
        <v>153.48399999999998</v>
      </c>
      <c r="G138" s="80">
        <v>40</v>
      </c>
      <c r="H138" s="78">
        <f t="shared" si="21"/>
        <v>85</v>
      </c>
      <c r="I138" s="78">
        <f t="shared" si="19"/>
        <v>0</v>
      </c>
      <c r="J138" s="80">
        <v>100</v>
      </c>
      <c r="K138" s="80">
        <v>300</v>
      </c>
      <c r="L138" s="78">
        <f t="shared" si="12"/>
        <v>1274</v>
      </c>
      <c r="M138" s="88">
        <v>600</v>
      </c>
      <c r="N138" s="78">
        <f>30</f>
        <v>30</v>
      </c>
      <c r="O138" s="80">
        <v>240</v>
      </c>
      <c r="P138" s="80">
        <v>160</v>
      </c>
      <c r="Q138" s="80">
        <f t="shared" si="13"/>
        <v>195</v>
      </c>
      <c r="R138" s="80">
        <f t="shared" si="14"/>
        <v>100</v>
      </c>
      <c r="S138" s="78">
        <f t="shared" si="15"/>
        <v>695</v>
      </c>
      <c r="T138" s="78">
        <f>0</f>
        <v>0</v>
      </c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</row>
    <row r="139" spans="1:30" ht="15.75" x14ac:dyDescent="0.25">
      <c r="A139" s="16">
        <v>45139</v>
      </c>
      <c r="B139" s="91">
        <v>31</v>
      </c>
      <c r="C139" s="78">
        <f>194.205</f>
        <v>194.20500000000001</v>
      </c>
      <c r="D139" s="78">
        <f>267.466</f>
        <v>267.46600000000001</v>
      </c>
      <c r="E139" s="86">
        <f>133.845</f>
        <v>133.845</v>
      </c>
      <c r="F139" s="78">
        <f>278.484-40-25-60</f>
        <v>153.48399999999998</v>
      </c>
      <c r="G139" s="80">
        <v>40</v>
      </c>
      <c r="H139" s="78">
        <f t="shared" si="21"/>
        <v>85</v>
      </c>
      <c r="I139" s="78">
        <f t="shared" si="19"/>
        <v>0</v>
      </c>
      <c r="J139" s="80">
        <v>100</v>
      </c>
      <c r="K139" s="80">
        <v>300</v>
      </c>
      <c r="L139" s="78">
        <f t="shared" si="12"/>
        <v>1274</v>
      </c>
      <c r="M139" s="88">
        <v>600</v>
      </c>
      <c r="N139" s="78">
        <f>30</f>
        <v>30</v>
      </c>
      <c r="O139" s="80">
        <v>240</v>
      </c>
      <c r="P139" s="80">
        <v>160</v>
      </c>
      <c r="Q139" s="80">
        <f t="shared" si="13"/>
        <v>195</v>
      </c>
      <c r="R139" s="80">
        <f t="shared" si="14"/>
        <v>100</v>
      </c>
      <c r="S139" s="78">
        <f t="shared" si="15"/>
        <v>695</v>
      </c>
      <c r="T139" s="78">
        <f>0</f>
        <v>0</v>
      </c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</row>
    <row r="140" spans="1:30" ht="15.75" x14ac:dyDescent="0.25">
      <c r="A140" s="16">
        <v>45170</v>
      </c>
      <c r="B140" s="91">
        <v>30</v>
      </c>
      <c r="C140" s="78">
        <f>194.205</f>
        <v>194.20500000000001</v>
      </c>
      <c r="D140" s="78">
        <f>267.466</f>
        <v>267.46600000000001</v>
      </c>
      <c r="E140" s="86">
        <f>133.845</f>
        <v>133.845</v>
      </c>
      <c r="F140" s="78">
        <f>278.484-40-25-60</f>
        <v>153.48399999999998</v>
      </c>
      <c r="G140" s="80">
        <v>40</v>
      </c>
      <c r="H140" s="78">
        <f t="shared" si="21"/>
        <v>85</v>
      </c>
      <c r="I140" s="78">
        <f t="shared" si="19"/>
        <v>0</v>
      </c>
      <c r="J140" s="80">
        <v>100</v>
      </c>
      <c r="K140" s="80">
        <v>300</v>
      </c>
      <c r="L140" s="78">
        <f t="shared" si="12"/>
        <v>1274</v>
      </c>
      <c r="M140" s="88">
        <v>600</v>
      </c>
      <c r="N140" s="78">
        <f>30</f>
        <v>30</v>
      </c>
      <c r="O140" s="80">
        <v>240</v>
      </c>
      <c r="P140" s="80">
        <v>160</v>
      </c>
      <c r="Q140" s="80">
        <f t="shared" si="13"/>
        <v>195</v>
      </c>
      <c r="R140" s="80">
        <f t="shared" si="14"/>
        <v>100</v>
      </c>
      <c r="S140" s="78">
        <f t="shared" si="15"/>
        <v>695</v>
      </c>
      <c r="T140" s="78">
        <f>0</f>
        <v>0</v>
      </c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</row>
    <row r="141" spans="1:30" ht="15.75" x14ac:dyDescent="0.25">
      <c r="A141" s="16">
        <v>45200</v>
      </c>
      <c r="B141" s="91">
        <v>31</v>
      </c>
      <c r="C141" s="78">
        <f>131.881</f>
        <v>131.881</v>
      </c>
      <c r="D141" s="78">
        <f>277.167</f>
        <v>277.16699999999997</v>
      </c>
      <c r="E141" s="86">
        <f>79.08</f>
        <v>79.08</v>
      </c>
      <c r="F141" s="78">
        <f>350.872-40-25-60</f>
        <v>225.87200000000001</v>
      </c>
      <c r="G141" s="80">
        <v>40</v>
      </c>
      <c r="H141" s="78">
        <f t="shared" si="21"/>
        <v>85</v>
      </c>
      <c r="I141" s="78">
        <f t="shared" si="19"/>
        <v>0</v>
      </c>
      <c r="J141" s="80">
        <v>100</v>
      </c>
      <c r="K141" s="80">
        <v>300</v>
      </c>
      <c r="L141" s="78">
        <f t="shared" si="12"/>
        <v>1239</v>
      </c>
      <c r="M141" s="88">
        <v>600</v>
      </c>
      <c r="N141" s="78">
        <f>75</f>
        <v>75</v>
      </c>
      <c r="O141" s="80">
        <v>240</v>
      </c>
      <c r="P141" s="80">
        <v>160</v>
      </c>
      <c r="Q141" s="80">
        <f t="shared" si="13"/>
        <v>195</v>
      </c>
      <c r="R141" s="80">
        <f t="shared" si="14"/>
        <v>100</v>
      </c>
      <c r="S141" s="78">
        <f t="shared" si="15"/>
        <v>695</v>
      </c>
      <c r="T141" s="78">
        <f>0</f>
        <v>0</v>
      </c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</row>
    <row r="142" spans="1:30" ht="15.75" x14ac:dyDescent="0.25">
      <c r="A142" s="16">
        <v>45231</v>
      </c>
      <c r="B142" s="91">
        <v>30</v>
      </c>
      <c r="C142" s="78">
        <f>122.58</f>
        <v>122.58</v>
      </c>
      <c r="D142" s="78">
        <f>297.941</f>
        <v>297.94099999999997</v>
      </c>
      <c r="E142" s="86">
        <f>89.177</f>
        <v>89.177000000000007</v>
      </c>
      <c r="F142" s="78">
        <f>240.302-40-60</f>
        <v>140.30199999999999</v>
      </c>
      <c r="G142" s="80">
        <v>40</v>
      </c>
      <c r="H142" s="78">
        <v>60</v>
      </c>
      <c r="I142" s="78">
        <f t="shared" si="19"/>
        <v>0</v>
      </c>
      <c r="J142" s="80">
        <v>100</v>
      </c>
      <c r="K142" s="80">
        <v>300</v>
      </c>
      <c r="L142" s="78">
        <f t="shared" si="12"/>
        <v>1150</v>
      </c>
      <c r="M142" s="88">
        <v>600</v>
      </c>
      <c r="N142" s="78">
        <f>100</f>
        <v>100</v>
      </c>
      <c r="O142" s="80">
        <v>240</v>
      </c>
      <c r="P142" s="80">
        <v>40</v>
      </c>
      <c r="Q142" s="80">
        <f t="shared" si="13"/>
        <v>315</v>
      </c>
      <c r="R142" s="80">
        <f t="shared" si="14"/>
        <v>100</v>
      </c>
      <c r="S142" s="78">
        <f t="shared" si="15"/>
        <v>695</v>
      </c>
      <c r="T142" s="78">
        <f>50</f>
        <v>50</v>
      </c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</row>
    <row r="143" spans="1:30" ht="15.75" x14ac:dyDescent="0.25">
      <c r="A143" s="16">
        <v>45261</v>
      </c>
      <c r="B143" s="91">
        <v>31</v>
      </c>
      <c r="C143" s="78">
        <f>122.58</f>
        <v>122.58</v>
      </c>
      <c r="D143" s="78">
        <f>297.941</f>
        <v>297.94099999999997</v>
      </c>
      <c r="E143" s="86">
        <f>89.177</f>
        <v>89.177000000000007</v>
      </c>
      <c r="F143" s="78">
        <f>240.302-40-60</f>
        <v>140.30199999999999</v>
      </c>
      <c r="G143" s="80">
        <v>40</v>
      </c>
      <c r="H143" s="78">
        <v>60</v>
      </c>
      <c r="I143" s="78">
        <f t="shared" si="19"/>
        <v>0</v>
      </c>
      <c r="J143" s="80">
        <v>100</v>
      </c>
      <c r="K143" s="80">
        <v>300</v>
      </c>
      <c r="L143" s="78">
        <f t="shared" ref="L143:L206" si="22">SUM(C143:K143)</f>
        <v>1150</v>
      </c>
      <c r="M143" s="88">
        <v>600</v>
      </c>
      <c r="N143" s="78">
        <f>100</f>
        <v>100</v>
      </c>
      <c r="O143" s="80">
        <v>240</v>
      </c>
      <c r="P143" s="80">
        <v>40</v>
      </c>
      <c r="Q143" s="80">
        <f t="shared" ref="Q143:Q206" si="23">695-R143-O143-P143</f>
        <v>315</v>
      </c>
      <c r="R143" s="80">
        <f t="shared" ref="R143:R206" si="24">200-J143</f>
        <v>100</v>
      </c>
      <c r="S143" s="78">
        <f t="shared" ref="S143:S206" si="25">SUM(O143:R143)</f>
        <v>695</v>
      </c>
      <c r="T143" s="78">
        <f>50</f>
        <v>50</v>
      </c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</row>
    <row r="144" spans="1:30" ht="15.75" x14ac:dyDescent="0.25">
      <c r="A144" s="16">
        <v>45292</v>
      </c>
      <c r="B144" s="91">
        <v>31</v>
      </c>
      <c r="C144" s="78">
        <f>122.58</f>
        <v>122.58</v>
      </c>
      <c r="D144" s="78">
        <f>297.941</f>
        <v>297.94099999999997</v>
      </c>
      <c r="E144" s="86">
        <f>89.177</f>
        <v>89.177000000000007</v>
      </c>
      <c r="F144" s="78">
        <f>240.302-40-60</f>
        <v>140.30199999999999</v>
      </c>
      <c r="G144" s="80">
        <v>40</v>
      </c>
      <c r="H144" s="78">
        <v>60</v>
      </c>
      <c r="I144" s="78">
        <f t="shared" si="19"/>
        <v>0</v>
      </c>
      <c r="J144" s="80">
        <v>100</v>
      </c>
      <c r="K144" s="80">
        <v>300</v>
      </c>
      <c r="L144" s="78">
        <f t="shared" si="22"/>
        <v>1150</v>
      </c>
      <c r="M144" s="88">
        <v>600</v>
      </c>
      <c r="N144" s="78">
        <f>100</f>
        <v>100</v>
      </c>
      <c r="O144" s="80">
        <v>240</v>
      </c>
      <c r="P144" s="80">
        <v>40</v>
      </c>
      <c r="Q144" s="80">
        <f t="shared" si="23"/>
        <v>315</v>
      </c>
      <c r="R144" s="80">
        <f t="shared" si="24"/>
        <v>100</v>
      </c>
      <c r="S144" s="78">
        <f t="shared" si="25"/>
        <v>695</v>
      </c>
      <c r="T144" s="78">
        <f>50</f>
        <v>50</v>
      </c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</row>
    <row r="145" spans="1:30" ht="15.75" x14ac:dyDescent="0.25">
      <c r="A145" s="16">
        <v>45323</v>
      </c>
      <c r="B145" s="91">
        <v>29</v>
      </c>
      <c r="C145" s="78">
        <f>122.58</f>
        <v>122.58</v>
      </c>
      <c r="D145" s="78">
        <f>297.941</f>
        <v>297.94099999999997</v>
      </c>
      <c r="E145" s="86">
        <f>89.177</f>
        <v>89.177000000000007</v>
      </c>
      <c r="F145" s="78">
        <f>240.302-40-60</f>
        <v>140.30199999999999</v>
      </c>
      <c r="G145" s="80">
        <v>40</v>
      </c>
      <c r="H145" s="78">
        <v>60</v>
      </c>
      <c r="I145" s="78">
        <f t="shared" si="19"/>
        <v>0</v>
      </c>
      <c r="J145" s="80">
        <v>100</v>
      </c>
      <c r="K145" s="80">
        <v>300</v>
      </c>
      <c r="L145" s="78">
        <f t="shared" si="22"/>
        <v>1150</v>
      </c>
      <c r="M145" s="88">
        <v>600</v>
      </c>
      <c r="N145" s="78">
        <f>100</f>
        <v>100</v>
      </c>
      <c r="O145" s="80">
        <v>240</v>
      </c>
      <c r="P145" s="80">
        <v>40</v>
      </c>
      <c r="Q145" s="80">
        <f t="shared" si="23"/>
        <v>315</v>
      </c>
      <c r="R145" s="80">
        <f t="shared" si="24"/>
        <v>100</v>
      </c>
      <c r="S145" s="78">
        <f t="shared" si="25"/>
        <v>695</v>
      </c>
      <c r="T145" s="78">
        <f>50</f>
        <v>50</v>
      </c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</row>
    <row r="146" spans="1:30" ht="15.75" x14ac:dyDescent="0.25">
      <c r="A146" s="16">
        <v>45352</v>
      </c>
      <c r="B146" s="91">
        <v>31</v>
      </c>
      <c r="C146" s="78">
        <f>122.58</f>
        <v>122.58</v>
      </c>
      <c r="D146" s="78">
        <f>297.941</f>
        <v>297.94099999999997</v>
      </c>
      <c r="E146" s="86">
        <f>89.177</f>
        <v>89.177000000000007</v>
      </c>
      <c r="F146" s="78">
        <f>240.302-40-60</f>
        <v>140.30199999999999</v>
      </c>
      <c r="G146" s="80">
        <v>40</v>
      </c>
      <c r="H146" s="78">
        <v>60</v>
      </c>
      <c r="I146" s="78">
        <f t="shared" si="19"/>
        <v>0</v>
      </c>
      <c r="J146" s="80">
        <v>100</v>
      </c>
      <c r="K146" s="80">
        <v>300</v>
      </c>
      <c r="L146" s="78">
        <f t="shared" si="22"/>
        <v>1150</v>
      </c>
      <c r="M146" s="88">
        <v>600</v>
      </c>
      <c r="N146" s="78">
        <f>100</f>
        <v>100</v>
      </c>
      <c r="O146" s="80">
        <v>240</v>
      </c>
      <c r="P146" s="80">
        <v>40</v>
      </c>
      <c r="Q146" s="80">
        <f t="shared" si="23"/>
        <v>315</v>
      </c>
      <c r="R146" s="80">
        <f t="shared" si="24"/>
        <v>100</v>
      </c>
      <c r="S146" s="78">
        <f t="shared" si="25"/>
        <v>695</v>
      </c>
      <c r="T146" s="78">
        <f>50</f>
        <v>50</v>
      </c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</row>
    <row r="147" spans="1:30" ht="15.75" x14ac:dyDescent="0.25">
      <c r="A147" s="16">
        <v>45383</v>
      </c>
      <c r="B147" s="91">
        <v>30</v>
      </c>
      <c r="C147" s="78">
        <f>141.293</f>
        <v>141.29300000000001</v>
      </c>
      <c r="D147" s="78">
        <f>267.993</f>
        <v>267.99299999999999</v>
      </c>
      <c r="E147" s="86">
        <f>115.016</f>
        <v>115.01600000000001</v>
      </c>
      <c r="F147" s="78">
        <f>314.698-40-25-60</f>
        <v>189.69799999999998</v>
      </c>
      <c r="G147" s="80">
        <v>40</v>
      </c>
      <c r="H147" s="78">
        <f t="shared" ref="H147:H153" si="26">25+60</f>
        <v>85</v>
      </c>
      <c r="I147" s="78">
        <f t="shared" si="19"/>
        <v>0</v>
      </c>
      <c r="J147" s="80">
        <v>100</v>
      </c>
      <c r="K147" s="80">
        <v>300</v>
      </c>
      <c r="L147" s="78">
        <f t="shared" si="22"/>
        <v>1239</v>
      </c>
      <c r="M147" s="88">
        <v>600</v>
      </c>
      <c r="N147" s="78">
        <f>100</f>
        <v>100</v>
      </c>
      <c r="O147" s="80">
        <v>240</v>
      </c>
      <c r="P147" s="80">
        <v>160</v>
      </c>
      <c r="Q147" s="80">
        <f t="shared" si="23"/>
        <v>195</v>
      </c>
      <c r="R147" s="80">
        <f t="shared" si="24"/>
        <v>100</v>
      </c>
      <c r="S147" s="78">
        <f t="shared" si="25"/>
        <v>695</v>
      </c>
      <c r="T147" s="78">
        <f>50</f>
        <v>50</v>
      </c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</row>
    <row r="148" spans="1:30" ht="15.75" x14ac:dyDescent="0.25">
      <c r="A148" s="16">
        <v>45413</v>
      </c>
      <c r="B148" s="91">
        <v>31</v>
      </c>
      <c r="C148" s="78">
        <f>194.205</f>
        <v>194.20500000000001</v>
      </c>
      <c r="D148" s="78">
        <f>267.466</f>
        <v>267.46600000000001</v>
      </c>
      <c r="E148" s="86">
        <f>133.845</f>
        <v>133.845</v>
      </c>
      <c r="F148" s="78">
        <f>278.484-40-25-60</f>
        <v>153.48399999999998</v>
      </c>
      <c r="G148" s="80">
        <v>40</v>
      </c>
      <c r="H148" s="78">
        <f t="shared" si="26"/>
        <v>85</v>
      </c>
      <c r="I148" s="78">
        <f t="shared" si="19"/>
        <v>0</v>
      </c>
      <c r="J148" s="80">
        <v>100</v>
      </c>
      <c r="K148" s="80">
        <v>300</v>
      </c>
      <c r="L148" s="78">
        <f t="shared" si="22"/>
        <v>1274</v>
      </c>
      <c r="M148" s="88">
        <v>600</v>
      </c>
      <c r="N148" s="78">
        <f>75</f>
        <v>75</v>
      </c>
      <c r="O148" s="80">
        <v>240</v>
      </c>
      <c r="P148" s="80">
        <v>160</v>
      </c>
      <c r="Q148" s="80">
        <f t="shared" si="23"/>
        <v>195</v>
      </c>
      <c r="R148" s="80">
        <f t="shared" si="24"/>
        <v>100</v>
      </c>
      <c r="S148" s="78">
        <f t="shared" si="25"/>
        <v>695</v>
      </c>
      <c r="T148" s="78">
        <f>50</f>
        <v>50</v>
      </c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</row>
    <row r="149" spans="1:30" ht="15.75" x14ac:dyDescent="0.25">
      <c r="A149" s="16">
        <v>45444</v>
      </c>
      <c r="B149" s="91">
        <v>30</v>
      </c>
      <c r="C149" s="78">
        <f>194.205</f>
        <v>194.20500000000001</v>
      </c>
      <c r="D149" s="78">
        <f>267.466</f>
        <v>267.46600000000001</v>
      </c>
      <c r="E149" s="86">
        <f>133.845</f>
        <v>133.845</v>
      </c>
      <c r="F149" s="78">
        <f>278.484-40-25-60</f>
        <v>153.48399999999998</v>
      </c>
      <c r="G149" s="80">
        <v>40</v>
      </c>
      <c r="H149" s="78">
        <f t="shared" si="26"/>
        <v>85</v>
      </c>
      <c r="I149" s="78">
        <f t="shared" si="19"/>
        <v>0</v>
      </c>
      <c r="J149" s="80">
        <v>100</v>
      </c>
      <c r="K149" s="80">
        <v>300</v>
      </c>
      <c r="L149" s="78">
        <f t="shared" si="22"/>
        <v>1274</v>
      </c>
      <c r="M149" s="88">
        <v>600</v>
      </c>
      <c r="N149" s="78">
        <f>30</f>
        <v>30</v>
      </c>
      <c r="O149" s="80">
        <v>240</v>
      </c>
      <c r="P149" s="80">
        <v>160</v>
      </c>
      <c r="Q149" s="80">
        <f t="shared" si="23"/>
        <v>195</v>
      </c>
      <c r="R149" s="80">
        <f t="shared" si="24"/>
        <v>100</v>
      </c>
      <c r="S149" s="78">
        <f t="shared" si="25"/>
        <v>695</v>
      </c>
      <c r="T149" s="78">
        <f>50</f>
        <v>50</v>
      </c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</row>
    <row r="150" spans="1:30" ht="15.75" x14ac:dyDescent="0.25">
      <c r="A150" s="16">
        <v>45474</v>
      </c>
      <c r="B150" s="91">
        <v>31</v>
      </c>
      <c r="C150" s="78">
        <f>194.205</f>
        <v>194.20500000000001</v>
      </c>
      <c r="D150" s="78">
        <f>267.466</f>
        <v>267.46600000000001</v>
      </c>
      <c r="E150" s="86">
        <f>133.845</f>
        <v>133.845</v>
      </c>
      <c r="F150" s="78">
        <f>278.484-40-25-60</f>
        <v>153.48399999999998</v>
      </c>
      <c r="G150" s="80">
        <v>40</v>
      </c>
      <c r="H150" s="78">
        <f t="shared" si="26"/>
        <v>85</v>
      </c>
      <c r="I150" s="78">
        <f t="shared" si="19"/>
        <v>0</v>
      </c>
      <c r="J150" s="80">
        <v>100</v>
      </c>
      <c r="K150" s="80">
        <v>300</v>
      </c>
      <c r="L150" s="78">
        <f t="shared" si="22"/>
        <v>1274</v>
      </c>
      <c r="M150" s="88">
        <v>600</v>
      </c>
      <c r="N150" s="78">
        <f>30</f>
        <v>30</v>
      </c>
      <c r="O150" s="80">
        <v>240</v>
      </c>
      <c r="P150" s="80">
        <v>160</v>
      </c>
      <c r="Q150" s="80">
        <f t="shared" si="23"/>
        <v>195</v>
      </c>
      <c r="R150" s="80">
        <f t="shared" si="24"/>
        <v>100</v>
      </c>
      <c r="S150" s="78">
        <f t="shared" si="25"/>
        <v>695</v>
      </c>
      <c r="T150" s="78">
        <f>0</f>
        <v>0</v>
      </c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</row>
    <row r="151" spans="1:30" ht="15.75" x14ac:dyDescent="0.25">
      <c r="A151" s="16">
        <v>45505</v>
      </c>
      <c r="B151" s="91">
        <v>31</v>
      </c>
      <c r="C151" s="78">
        <f>194.205</f>
        <v>194.20500000000001</v>
      </c>
      <c r="D151" s="78">
        <f>267.466</f>
        <v>267.46600000000001</v>
      </c>
      <c r="E151" s="86">
        <f>133.845</f>
        <v>133.845</v>
      </c>
      <c r="F151" s="78">
        <f>278.484-40-25-60</f>
        <v>153.48399999999998</v>
      </c>
      <c r="G151" s="80">
        <v>40</v>
      </c>
      <c r="H151" s="78">
        <f t="shared" si="26"/>
        <v>85</v>
      </c>
      <c r="I151" s="78">
        <f t="shared" si="19"/>
        <v>0</v>
      </c>
      <c r="J151" s="80">
        <v>100</v>
      </c>
      <c r="K151" s="80">
        <v>300</v>
      </c>
      <c r="L151" s="78">
        <f t="shared" si="22"/>
        <v>1274</v>
      </c>
      <c r="M151" s="88">
        <v>600</v>
      </c>
      <c r="N151" s="78">
        <f>30</f>
        <v>30</v>
      </c>
      <c r="O151" s="80">
        <v>240</v>
      </c>
      <c r="P151" s="80">
        <v>160</v>
      </c>
      <c r="Q151" s="80">
        <f t="shared" si="23"/>
        <v>195</v>
      </c>
      <c r="R151" s="80">
        <f t="shared" si="24"/>
        <v>100</v>
      </c>
      <c r="S151" s="78">
        <f t="shared" si="25"/>
        <v>695</v>
      </c>
      <c r="T151" s="78">
        <f>0</f>
        <v>0</v>
      </c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</row>
    <row r="152" spans="1:30" ht="15.75" x14ac:dyDescent="0.25">
      <c r="A152" s="16">
        <v>45536</v>
      </c>
      <c r="B152" s="91">
        <v>30</v>
      </c>
      <c r="C152" s="78">
        <f>194.205</f>
        <v>194.20500000000001</v>
      </c>
      <c r="D152" s="78">
        <f>267.466</f>
        <v>267.46600000000001</v>
      </c>
      <c r="E152" s="86">
        <f>133.845</f>
        <v>133.845</v>
      </c>
      <c r="F152" s="78">
        <f>278.484-40-25-60</f>
        <v>153.48399999999998</v>
      </c>
      <c r="G152" s="80">
        <v>40</v>
      </c>
      <c r="H152" s="78">
        <f t="shared" si="26"/>
        <v>85</v>
      </c>
      <c r="I152" s="78">
        <f t="shared" si="19"/>
        <v>0</v>
      </c>
      <c r="J152" s="80">
        <v>100</v>
      </c>
      <c r="K152" s="80">
        <v>300</v>
      </c>
      <c r="L152" s="78">
        <f t="shared" si="22"/>
        <v>1274</v>
      </c>
      <c r="M152" s="88">
        <v>600</v>
      </c>
      <c r="N152" s="78">
        <f>30</f>
        <v>30</v>
      </c>
      <c r="O152" s="80">
        <v>240</v>
      </c>
      <c r="P152" s="80">
        <v>160</v>
      </c>
      <c r="Q152" s="80">
        <f t="shared" si="23"/>
        <v>195</v>
      </c>
      <c r="R152" s="80">
        <f t="shared" si="24"/>
        <v>100</v>
      </c>
      <c r="S152" s="78">
        <f t="shared" si="25"/>
        <v>695</v>
      </c>
      <c r="T152" s="78">
        <f>0</f>
        <v>0</v>
      </c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</row>
    <row r="153" spans="1:30" ht="15.75" x14ac:dyDescent="0.25">
      <c r="A153" s="16">
        <v>45566</v>
      </c>
      <c r="B153" s="91">
        <v>31</v>
      </c>
      <c r="C153" s="78">
        <f>131.881</f>
        <v>131.881</v>
      </c>
      <c r="D153" s="78">
        <f>277.167</f>
        <v>277.16699999999997</v>
      </c>
      <c r="E153" s="86">
        <f>79.08</f>
        <v>79.08</v>
      </c>
      <c r="F153" s="78">
        <f>350.872-40-25-60</f>
        <v>225.87200000000001</v>
      </c>
      <c r="G153" s="80">
        <v>40</v>
      </c>
      <c r="H153" s="78">
        <f t="shared" si="26"/>
        <v>85</v>
      </c>
      <c r="I153" s="78">
        <f t="shared" si="19"/>
        <v>0</v>
      </c>
      <c r="J153" s="80">
        <v>100</v>
      </c>
      <c r="K153" s="80">
        <v>300</v>
      </c>
      <c r="L153" s="78">
        <f t="shared" si="22"/>
        <v>1239</v>
      </c>
      <c r="M153" s="88">
        <v>600</v>
      </c>
      <c r="N153" s="78">
        <f>75</f>
        <v>75</v>
      </c>
      <c r="O153" s="80">
        <v>240</v>
      </c>
      <c r="P153" s="80">
        <v>160</v>
      </c>
      <c r="Q153" s="80">
        <f t="shared" si="23"/>
        <v>195</v>
      </c>
      <c r="R153" s="80">
        <f t="shared" si="24"/>
        <v>100</v>
      </c>
      <c r="S153" s="78">
        <f t="shared" si="25"/>
        <v>695</v>
      </c>
      <c r="T153" s="78">
        <f>0</f>
        <v>0</v>
      </c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</row>
    <row r="154" spans="1:30" ht="15.75" x14ac:dyDescent="0.25">
      <c r="A154" s="16">
        <v>45597</v>
      </c>
      <c r="B154" s="91">
        <v>30</v>
      </c>
      <c r="C154" s="78">
        <f>122.58</f>
        <v>122.58</v>
      </c>
      <c r="D154" s="78">
        <f>297.941</f>
        <v>297.94099999999997</v>
      </c>
      <c r="E154" s="86">
        <f>89.177</f>
        <v>89.177000000000007</v>
      </c>
      <c r="F154" s="78">
        <f>240.302-40-60</f>
        <v>140.30199999999999</v>
      </c>
      <c r="G154" s="80">
        <v>40</v>
      </c>
      <c r="H154" s="78">
        <v>60</v>
      </c>
      <c r="I154" s="78">
        <f t="shared" si="19"/>
        <v>0</v>
      </c>
      <c r="J154" s="80">
        <v>100</v>
      </c>
      <c r="K154" s="80">
        <v>300</v>
      </c>
      <c r="L154" s="78">
        <f t="shared" si="22"/>
        <v>1150</v>
      </c>
      <c r="M154" s="88">
        <v>600</v>
      </c>
      <c r="N154" s="78">
        <f>100</f>
        <v>100</v>
      </c>
      <c r="O154" s="80">
        <v>240</v>
      </c>
      <c r="P154" s="80">
        <v>40</v>
      </c>
      <c r="Q154" s="80">
        <f t="shared" si="23"/>
        <v>315</v>
      </c>
      <c r="R154" s="80">
        <f t="shared" si="24"/>
        <v>100</v>
      </c>
      <c r="S154" s="78">
        <f t="shared" si="25"/>
        <v>695</v>
      </c>
      <c r="T154" s="78">
        <f>50</f>
        <v>50</v>
      </c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</row>
    <row r="155" spans="1:30" ht="15.75" x14ac:dyDescent="0.25">
      <c r="A155" s="16">
        <v>45627</v>
      </c>
      <c r="B155" s="91">
        <v>31</v>
      </c>
      <c r="C155" s="78">
        <f>122.58</f>
        <v>122.58</v>
      </c>
      <c r="D155" s="78">
        <f>297.941</f>
        <v>297.94099999999997</v>
      </c>
      <c r="E155" s="86">
        <f>89.177</f>
        <v>89.177000000000007</v>
      </c>
      <c r="F155" s="78">
        <f>240.302-40-60</f>
        <v>140.30199999999999</v>
      </c>
      <c r="G155" s="80">
        <v>40</v>
      </c>
      <c r="H155" s="78">
        <v>60</v>
      </c>
      <c r="I155" s="78">
        <f t="shared" si="19"/>
        <v>0</v>
      </c>
      <c r="J155" s="80">
        <v>100</v>
      </c>
      <c r="K155" s="80">
        <v>300</v>
      </c>
      <c r="L155" s="78">
        <f t="shared" si="22"/>
        <v>1150</v>
      </c>
      <c r="M155" s="88">
        <v>600</v>
      </c>
      <c r="N155" s="78">
        <f>100</f>
        <v>100</v>
      </c>
      <c r="O155" s="80">
        <v>240</v>
      </c>
      <c r="P155" s="80">
        <v>40</v>
      </c>
      <c r="Q155" s="80">
        <f t="shared" si="23"/>
        <v>315</v>
      </c>
      <c r="R155" s="80">
        <f t="shared" si="24"/>
        <v>100</v>
      </c>
      <c r="S155" s="78">
        <f t="shared" si="25"/>
        <v>695</v>
      </c>
      <c r="T155" s="78">
        <f>50</f>
        <v>50</v>
      </c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</row>
    <row r="156" spans="1:30" ht="15.75" x14ac:dyDescent="0.25">
      <c r="A156" s="16">
        <v>45658</v>
      </c>
      <c r="B156" s="91">
        <v>31</v>
      </c>
      <c r="C156" s="78">
        <f>122.58</f>
        <v>122.58</v>
      </c>
      <c r="D156" s="78">
        <f>297.941</f>
        <v>297.94099999999997</v>
      </c>
      <c r="E156" s="86">
        <f>89.177</f>
        <v>89.177000000000007</v>
      </c>
      <c r="F156" s="78">
        <f>240.302-40-60</f>
        <v>140.30199999999999</v>
      </c>
      <c r="G156" s="80">
        <v>40</v>
      </c>
      <c r="H156" s="78">
        <v>60</v>
      </c>
      <c r="I156" s="78">
        <f t="shared" si="19"/>
        <v>0</v>
      </c>
      <c r="J156" s="80">
        <v>100</v>
      </c>
      <c r="K156" s="80">
        <v>300</v>
      </c>
      <c r="L156" s="78">
        <f t="shared" si="22"/>
        <v>1150</v>
      </c>
      <c r="M156" s="88">
        <v>600</v>
      </c>
      <c r="N156" s="78">
        <f>100</f>
        <v>100</v>
      </c>
      <c r="O156" s="80">
        <v>240</v>
      </c>
      <c r="P156" s="80">
        <v>40</v>
      </c>
      <c r="Q156" s="80">
        <f t="shared" si="23"/>
        <v>315</v>
      </c>
      <c r="R156" s="80">
        <f t="shared" si="24"/>
        <v>100</v>
      </c>
      <c r="S156" s="78">
        <f t="shared" si="25"/>
        <v>695</v>
      </c>
      <c r="T156" s="78">
        <f>50</f>
        <v>50</v>
      </c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</row>
    <row r="157" spans="1:30" ht="15.75" x14ac:dyDescent="0.25">
      <c r="A157" s="16">
        <v>45689</v>
      </c>
      <c r="B157" s="91">
        <v>28</v>
      </c>
      <c r="C157" s="78">
        <f>122.58</f>
        <v>122.58</v>
      </c>
      <c r="D157" s="78">
        <f>297.941</f>
        <v>297.94099999999997</v>
      </c>
      <c r="E157" s="86">
        <f>89.177</f>
        <v>89.177000000000007</v>
      </c>
      <c r="F157" s="78">
        <f>240.302-40-60</f>
        <v>140.30199999999999</v>
      </c>
      <c r="G157" s="80">
        <v>40</v>
      </c>
      <c r="H157" s="78">
        <v>60</v>
      </c>
      <c r="I157" s="78">
        <f t="shared" si="19"/>
        <v>0</v>
      </c>
      <c r="J157" s="80">
        <v>100</v>
      </c>
      <c r="K157" s="80">
        <v>300</v>
      </c>
      <c r="L157" s="78">
        <f t="shared" si="22"/>
        <v>1150</v>
      </c>
      <c r="M157" s="88">
        <v>600</v>
      </c>
      <c r="N157" s="78">
        <f>100</f>
        <v>100</v>
      </c>
      <c r="O157" s="80">
        <v>240</v>
      </c>
      <c r="P157" s="80">
        <v>40</v>
      </c>
      <c r="Q157" s="80">
        <f t="shared" si="23"/>
        <v>315</v>
      </c>
      <c r="R157" s="80">
        <f t="shared" si="24"/>
        <v>100</v>
      </c>
      <c r="S157" s="78">
        <f t="shared" si="25"/>
        <v>695</v>
      </c>
      <c r="T157" s="78">
        <f>50</f>
        <v>50</v>
      </c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</row>
    <row r="158" spans="1:30" ht="15.75" x14ac:dyDescent="0.25">
      <c r="A158" s="16">
        <v>45717</v>
      </c>
      <c r="B158" s="91">
        <v>31</v>
      </c>
      <c r="C158" s="78">
        <f>122.58</f>
        <v>122.58</v>
      </c>
      <c r="D158" s="78">
        <f>297.941</f>
        <v>297.94099999999997</v>
      </c>
      <c r="E158" s="86">
        <f>89.177</f>
        <v>89.177000000000007</v>
      </c>
      <c r="F158" s="78">
        <f>240.302-40-60</f>
        <v>140.30199999999999</v>
      </c>
      <c r="G158" s="80">
        <v>40</v>
      </c>
      <c r="H158" s="78">
        <v>60</v>
      </c>
      <c r="I158" s="78">
        <f t="shared" si="19"/>
        <v>0</v>
      </c>
      <c r="J158" s="80">
        <v>100</v>
      </c>
      <c r="K158" s="80">
        <v>300</v>
      </c>
      <c r="L158" s="78">
        <f t="shared" si="22"/>
        <v>1150</v>
      </c>
      <c r="M158" s="88">
        <v>600</v>
      </c>
      <c r="N158" s="78">
        <f>100</f>
        <v>100</v>
      </c>
      <c r="O158" s="80">
        <v>240</v>
      </c>
      <c r="P158" s="80">
        <v>40</v>
      </c>
      <c r="Q158" s="80">
        <f t="shared" si="23"/>
        <v>315</v>
      </c>
      <c r="R158" s="80">
        <f t="shared" si="24"/>
        <v>100</v>
      </c>
      <c r="S158" s="78">
        <f t="shared" si="25"/>
        <v>695</v>
      </c>
      <c r="T158" s="78">
        <f>50</f>
        <v>50</v>
      </c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</row>
    <row r="159" spans="1:30" ht="15.75" x14ac:dyDescent="0.25">
      <c r="A159" s="16">
        <v>45748</v>
      </c>
      <c r="B159" s="91">
        <v>30</v>
      </c>
      <c r="C159" s="78">
        <f>141.293</f>
        <v>141.29300000000001</v>
      </c>
      <c r="D159" s="78">
        <f>267.993</f>
        <v>267.99299999999999</v>
      </c>
      <c r="E159" s="86">
        <f>115.016</f>
        <v>115.01600000000001</v>
      </c>
      <c r="F159" s="78">
        <f>314.698-40-25-60</f>
        <v>189.69799999999998</v>
      </c>
      <c r="G159" s="80">
        <v>40</v>
      </c>
      <c r="H159" s="78">
        <f t="shared" ref="H159:H165" si="27">25+60</f>
        <v>85</v>
      </c>
      <c r="I159" s="78">
        <f t="shared" si="19"/>
        <v>0</v>
      </c>
      <c r="J159" s="80">
        <v>100</v>
      </c>
      <c r="K159" s="80">
        <v>300</v>
      </c>
      <c r="L159" s="78">
        <f t="shared" si="22"/>
        <v>1239</v>
      </c>
      <c r="M159" s="88">
        <v>600</v>
      </c>
      <c r="N159" s="78">
        <f>100</f>
        <v>100</v>
      </c>
      <c r="O159" s="80">
        <v>240</v>
      </c>
      <c r="P159" s="80">
        <v>160</v>
      </c>
      <c r="Q159" s="80">
        <f t="shared" si="23"/>
        <v>195</v>
      </c>
      <c r="R159" s="80">
        <f t="shared" si="24"/>
        <v>100</v>
      </c>
      <c r="S159" s="78">
        <f t="shared" si="25"/>
        <v>695</v>
      </c>
      <c r="T159" s="78">
        <f>50</f>
        <v>50</v>
      </c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</row>
    <row r="160" spans="1:30" ht="15.75" x14ac:dyDescent="0.25">
      <c r="A160" s="16">
        <v>45778</v>
      </c>
      <c r="B160" s="91">
        <v>31</v>
      </c>
      <c r="C160" s="78">
        <f>194.205</f>
        <v>194.20500000000001</v>
      </c>
      <c r="D160" s="78">
        <f>267.466</f>
        <v>267.46600000000001</v>
      </c>
      <c r="E160" s="86">
        <f>133.845</f>
        <v>133.845</v>
      </c>
      <c r="F160" s="78">
        <f>278.484-40-25-60</f>
        <v>153.48399999999998</v>
      </c>
      <c r="G160" s="80">
        <v>40</v>
      </c>
      <c r="H160" s="78">
        <f t="shared" si="27"/>
        <v>85</v>
      </c>
      <c r="I160" s="78">
        <f t="shared" si="19"/>
        <v>0</v>
      </c>
      <c r="J160" s="80">
        <v>100</v>
      </c>
      <c r="K160" s="80">
        <v>300</v>
      </c>
      <c r="L160" s="78">
        <f t="shared" si="22"/>
        <v>1274</v>
      </c>
      <c r="M160" s="88">
        <v>600</v>
      </c>
      <c r="N160" s="78">
        <f>75</f>
        <v>75</v>
      </c>
      <c r="O160" s="80">
        <v>240</v>
      </c>
      <c r="P160" s="80">
        <v>160</v>
      </c>
      <c r="Q160" s="80">
        <f t="shared" si="23"/>
        <v>195</v>
      </c>
      <c r="R160" s="80">
        <f t="shared" si="24"/>
        <v>100</v>
      </c>
      <c r="S160" s="78">
        <f t="shared" si="25"/>
        <v>695</v>
      </c>
      <c r="T160" s="78">
        <f>50</f>
        <v>50</v>
      </c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</row>
    <row r="161" spans="1:30" ht="15.75" x14ac:dyDescent="0.25">
      <c r="A161" s="16">
        <v>45809</v>
      </c>
      <c r="B161" s="91">
        <v>30</v>
      </c>
      <c r="C161" s="78">
        <f>194.205</f>
        <v>194.20500000000001</v>
      </c>
      <c r="D161" s="78">
        <f>267.466</f>
        <v>267.46600000000001</v>
      </c>
      <c r="E161" s="86">
        <f>133.845</f>
        <v>133.845</v>
      </c>
      <c r="F161" s="78">
        <f>278.484-40-25-60</f>
        <v>153.48399999999998</v>
      </c>
      <c r="G161" s="80">
        <v>40</v>
      </c>
      <c r="H161" s="78">
        <f t="shared" si="27"/>
        <v>85</v>
      </c>
      <c r="I161" s="78">
        <f t="shared" si="19"/>
        <v>0</v>
      </c>
      <c r="J161" s="80">
        <v>100</v>
      </c>
      <c r="K161" s="80">
        <v>300</v>
      </c>
      <c r="L161" s="78">
        <f t="shared" si="22"/>
        <v>1274</v>
      </c>
      <c r="M161" s="88">
        <v>600</v>
      </c>
      <c r="N161" s="78">
        <f>30</f>
        <v>30</v>
      </c>
      <c r="O161" s="80">
        <v>240</v>
      </c>
      <c r="P161" s="80">
        <v>160</v>
      </c>
      <c r="Q161" s="80">
        <f t="shared" si="23"/>
        <v>195</v>
      </c>
      <c r="R161" s="80">
        <f t="shared" si="24"/>
        <v>100</v>
      </c>
      <c r="S161" s="78">
        <f t="shared" si="25"/>
        <v>695</v>
      </c>
      <c r="T161" s="78">
        <f>50</f>
        <v>50</v>
      </c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</row>
    <row r="162" spans="1:30" ht="15.75" x14ac:dyDescent="0.25">
      <c r="A162" s="16">
        <v>45839</v>
      </c>
      <c r="B162" s="91">
        <v>31</v>
      </c>
      <c r="C162" s="78">
        <f>194.205</f>
        <v>194.20500000000001</v>
      </c>
      <c r="D162" s="78">
        <f>267.466</f>
        <v>267.46600000000001</v>
      </c>
      <c r="E162" s="86">
        <f>133.845</f>
        <v>133.845</v>
      </c>
      <c r="F162" s="78">
        <f>278.484-40-25-60</f>
        <v>153.48399999999998</v>
      </c>
      <c r="G162" s="80">
        <v>40</v>
      </c>
      <c r="H162" s="78">
        <f t="shared" si="27"/>
        <v>85</v>
      </c>
      <c r="I162" s="78">
        <f t="shared" si="19"/>
        <v>0</v>
      </c>
      <c r="J162" s="80">
        <v>100</v>
      </c>
      <c r="K162" s="80">
        <v>300</v>
      </c>
      <c r="L162" s="78">
        <f t="shared" si="22"/>
        <v>1274</v>
      </c>
      <c r="M162" s="88">
        <v>600</v>
      </c>
      <c r="N162" s="78">
        <f>30</f>
        <v>30</v>
      </c>
      <c r="O162" s="80">
        <v>240</v>
      </c>
      <c r="P162" s="80">
        <v>160</v>
      </c>
      <c r="Q162" s="80">
        <f t="shared" si="23"/>
        <v>195</v>
      </c>
      <c r="R162" s="80">
        <f t="shared" si="24"/>
        <v>100</v>
      </c>
      <c r="S162" s="78">
        <f t="shared" si="25"/>
        <v>695</v>
      </c>
      <c r="T162" s="78">
        <f>0</f>
        <v>0</v>
      </c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</row>
    <row r="163" spans="1:30" ht="15.75" x14ac:dyDescent="0.25">
      <c r="A163" s="16">
        <v>45870</v>
      </c>
      <c r="B163" s="91">
        <v>31</v>
      </c>
      <c r="C163" s="78">
        <f>194.205</f>
        <v>194.20500000000001</v>
      </c>
      <c r="D163" s="78">
        <f>267.466</f>
        <v>267.46600000000001</v>
      </c>
      <c r="E163" s="86">
        <f>133.845</f>
        <v>133.845</v>
      </c>
      <c r="F163" s="78">
        <f>278.484-40-25-60</f>
        <v>153.48399999999998</v>
      </c>
      <c r="G163" s="80">
        <v>40</v>
      </c>
      <c r="H163" s="78">
        <f t="shared" si="27"/>
        <v>85</v>
      </c>
      <c r="I163" s="78">
        <f t="shared" si="19"/>
        <v>0</v>
      </c>
      <c r="J163" s="80">
        <v>100</v>
      </c>
      <c r="K163" s="80">
        <v>300</v>
      </c>
      <c r="L163" s="78">
        <f t="shared" si="22"/>
        <v>1274</v>
      </c>
      <c r="M163" s="88">
        <v>600</v>
      </c>
      <c r="N163" s="78">
        <f>30</f>
        <v>30</v>
      </c>
      <c r="O163" s="80">
        <v>240</v>
      </c>
      <c r="P163" s="80">
        <v>160</v>
      </c>
      <c r="Q163" s="80">
        <f t="shared" si="23"/>
        <v>195</v>
      </c>
      <c r="R163" s="80">
        <f t="shared" si="24"/>
        <v>100</v>
      </c>
      <c r="S163" s="78">
        <f t="shared" si="25"/>
        <v>695</v>
      </c>
      <c r="T163" s="78">
        <f>0</f>
        <v>0</v>
      </c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</row>
    <row r="164" spans="1:30" ht="15.75" x14ac:dyDescent="0.25">
      <c r="A164" s="16">
        <v>45901</v>
      </c>
      <c r="B164" s="91">
        <v>30</v>
      </c>
      <c r="C164" s="78">
        <f>194.205</f>
        <v>194.20500000000001</v>
      </c>
      <c r="D164" s="78">
        <f>267.466</f>
        <v>267.46600000000001</v>
      </c>
      <c r="E164" s="86">
        <f>133.845</f>
        <v>133.845</v>
      </c>
      <c r="F164" s="78">
        <f>278.484-40-25-60</f>
        <v>153.48399999999998</v>
      </c>
      <c r="G164" s="80">
        <v>40</v>
      </c>
      <c r="H164" s="78">
        <f t="shared" si="27"/>
        <v>85</v>
      </c>
      <c r="I164" s="78">
        <f t="shared" si="19"/>
        <v>0</v>
      </c>
      <c r="J164" s="80">
        <v>100</v>
      </c>
      <c r="K164" s="80">
        <v>300</v>
      </c>
      <c r="L164" s="78">
        <f t="shared" si="22"/>
        <v>1274</v>
      </c>
      <c r="M164" s="88">
        <v>600</v>
      </c>
      <c r="N164" s="78">
        <f>30</f>
        <v>30</v>
      </c>
      <c r="O164" s="80">
        <v>240</v>
      </c>
      <c r="P164" s="80">
        <v>160</v>
      </c>
      <c r="Q164" s="80">
        <f t="shared" si="23"/>
        <v>195</v>
      </c>
      <c r="R164" s="80">
        <f t="shared" si="24"/>
        <v>100</v>
      </c>
      <c r="S164" s="78">
        <f t="shared" si="25"/>
        <v>695</v>
      </c>
      <c r="T164" s="78">
        <f>0</f>
        <v>0</v>
      </c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</row>
    <row r="165" spans="1:30" ht="15.75" x14ac:dyDescent="0.25">
      <c r="A165" s="16">
        <v>45931</v>
      </c>
      <c r="B165" s="91">
        <v>31</v>
      </c>
      <c r="C165" s="78">
        <f>131.881</f>
        <v>131.881</v>
      </c>
      <c r="D165" s="78">
        <f>277.167</f>
        <v>277.16699999999997</v>
      </c>
      <c r="E165" s="86">
        <f>79.08</f>
        <v>79.08</v>
      </c>
      <c r="F165" s="78">
        <f>350.872-40-25-60</f>
        <v>225.87200000000001</v>
      </c>
      <c r="G165" s="80">
        <v>40</v>
      </c>
      <c r="H165" s="78">
        <f t="shared" si="27"/>
        <v>85</v>
      </c>
      <c r="I165" s="78">
        <f t="shared" si="19"/>
        <v>0</v>
      </c>
      <c r="J165" s="80">
        <v>100</v>
      </c>
      <c r="K165" s="80">
        <v>300</v>
      </c>
      <c r="L165" s="78">
        <f t="shared" si="22"/>
        <v>1239</v>
      </c>
      <c r="M165" s="88">
        <v>600</v>
      </c>
      <c r="N165" s="78">
        <f>75</f>
        <v>75</v>
      </c>
      <c r="O165" s="80">
        <v>240</v>
      </c>
      <c r="P165" s="80">
        <v>160</v>
      </c>
      <c r="Q165" s="80">
        <f t="shared" si="23"/>
        <v>195</v>
      </c>
      <c r="R165" s="80">
        <f t="shared" si="24"/>
        <v>100</v>
      </c>
      <c r="S165" s="78">
        <f t="shared" si="25"/>
        <v>695</v>
      </c>
      <c r="T165" s="78">
        <f>0</f>
        <v>0</v>
      </c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</row>
    <row r="166" spans="1:30" ht="15.75" x14ac:dyDescent="0.25">
      <c r="A166" s="16">
        <v>45962</v>
      </c>
      <c r="B166" s="91">
        <v>30</v>
      </c>
      <c r="C166" s="78">
        <f>122.58</f>
        <v>122.58</v>
      </c>
      <c r="D166" s="78">
        <f>297.941</f>
        <v>297.94099999999997</v>
      </c>
      <c r="E166" s="86">
        <f>89.177</f>
        <v>89.177000000000007</v>
      </c>
      <c r="F166" s="78">
        <f>240.302-40-60</f>
        <v>140.30199999999999</v>
      </c>
      <c r="G166" s="80">
        <v>40</v>
      </c>
      <c r="H166" s="78">
        <v>60</v>
      </c>
      <c r="I166" s="78">
        <f t="shared" si="19"/>
        <v>0</v>
      </c>
      <c r="J166" s="80">
        <v>100</v>
      </c>
      <c r="K166" s="80">
        <v>300</v>
      </c>
      <c r="L166" s="78">
        <f t="shared" si="22"/>
        <v>1150</v>
      </c>
      <c r="M166" s="88">
        <v>600</v>
      </c>
      <c r="N166" s="78">
        <f>100</f>
        <v>100</v>
      </c>
      <c r="O166" s="80">
        <v>240</v>
      </c>
      <c r="P166" s="80">
        <v>40</v>
      </c>
      <c r="Q166" s="80">
        <f t="shared" si="23"/>
        <v>315</v>
      </c>
      <c r="R166" s="80">
        <f t="shared" si="24"/>
        <v>100</v>
      </c>
      <c r="S166" s="78">
        <f t="shared" si="25"/>
        <v>695</v>
      </c>
      <c r="T166" s="78">
        <f>50</f>
        <v>50</v>
      </c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</row>
    <row r="167" spans="1:30" ht="15.75" x14ac:dyDescent="0.25">
      <c r="A167" s="16">
        <v>45992</v>
      </c>
      <c r="B167" s="91">
        <v>31</v>
      </c>
      <c r="C167" s="78">
        <f>122.58</f>
        <v>122.58</v>
      </c>
      <c r="D167" s="78">
        <f>297.941</f>
        <v>297.94099999999997</v>
      </c>
      <c r="E167" s="86">
        <f>89.177</f>
        <v>89.177000000000007</v>
      </c>
      <c r="F167" s="78">
        <f>240.302-40-60</f>
        <v>140.30199999999999</v>
      </c>
      <c r="G167" s="80">
        <v>40</v>
      </c>
      <c r="H167" s="78">
        <v>60</v>
      </c>
      <c r="I167" s="78">
        <f t="shared" si="19"/>
        <v>0</v>
      </c>
      <c r="J167" s="80">
        <v>100</v>
      </c>
      <c r="K167" s="80">
        <v>300</v>
      </c>
      <c r="L167" s="78">
        <f t="shared" si="22"/>
        <v>1150</v>
      </c>
      <c r="M167" s="88">
        <v>600</v>
      </c>
      <c r="N167" s="78">
        <f>100</f>
        <v>100</v>
      </c>
      <c r="O167" s="80">
        <v>240</v>
      </c>
      <c r="P167" s="80">
        <v>40</v>
      </c>
      <c r="Q167" s="80">
        <f t="shared" si="23"/>
        <v>315</v>
      </c>
      <c r="R167" s="80">
        <f t="shared" si="24"/>
        <v>100</v>
      </c>
      <c r="S167" s="78">
        <f t="shared" si="25"/>
        <v>695</v>
      </c>
      <c r="T167" s="78">
        <f>50</f>
        <v>50</v>
      </c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</row>
    <row r="168" spans="1:30" ht="15.75" x14ac:dyDescent="0.25">
      <c r="A168" s="16">
        <v>46023</v>
      </c>
      <c r="B168" s="91">
        <v>31</v>
      </c>
      <c r="C168" s="78">
        <f>122.58</f>
        <v>122.58</v>
      </c>
      <c r="D168" s="78">
        <f>297.941</f>
        <v>297.94099999999997</v>
      </c>
      <c r="E168" s="86">
        <f>89.177</f>
        <v>89.177000000000007</v>
      </c>
      <c r="F168" s="78">
        <f>240.302-40-60</f>
        <v>140.30199999999999</v>
      </c>
      <c r="G168" s="80">
        <v>40</v>
      </c>
      <c r="H168" s="78">
        <v>60</v>
      </c>
      <c r="I168" s="78">
        <f t="shared" si="19"/>
        <v>0</v>
      </c>
      <c r="J168" s="80">
        <v>100</v>
      </c>
      <c r="K168" s="80">
        <v>300</v>
      </c>
      <c r="L168" s="78">
        <f t="shared" si="22"/>
        <v>1150</v>
      </c>
      <c r="M168" s="88">
        <v>600</v>
      </c>
      <c r="N168" s="78">
        <f>100</f>
        <v>100</v>
      </c>
      <c r="O168" s="80">
        <v>240</v>
      </c>
      <c r="P168" s="80">
        <v>40</v>
      </c>
      <c r="Q168" s="80">
        <f t="shared" si="23"/>
        <v>315</v>
      </c>
      <c r="R168" s="80">
        <f t="shared" si="24"/>
        <v>100</v>
      </c>
      <c r="S168" s="78">
        <f t="shared" si="25"/>
        <v>695</v>
      </c>
      <c r="T168" s="78">
        <f>50</f>
        <v>50</v>
      </c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</row>
    <row r="169" spans="1:30" ht="15.75" x14ac:dyDescent="0.25">
      <c r="A169" s="16">
        <v>46054</v>
      </c>
      <c r="B169" s="91">
        <v>28</v>
      </c>
      <c r="C169" s="78">
        <f>122.58</f>
        <v>122.58</v>
      </c>
      <c r="D169" s="78">
        <f>297.941</f>
        <v>297.94099999999997</v>
      </c>
      <c r="E169" s="86">
        <f>89.177</f>
        <v>89.177000000000007</v>
      </c>
      <c r="F169" s="78">
        <f>240.302-40-60</f>
        <v>140.30199999999999</v>
      </c>
      <c r="G169" s="80">
        <v>40</v>
      </c>
      <c r="H169" s="78">
        <v>60</v>
      </c>
      <c r="I169" s="78">
        <f t="shared" si="19"/>
        <v>0</v>
      </c>
      <c r="J169" s="80">
        <v>100</v>
      </c>
      <c r="K169" s="80">
        <v>300</v>
      </c>
      <c r="L169" s="78">
        <f t="shared" si="22"/>
        <v>1150</v>
      </c>
      <c r="M169" s="88">
        <v>600</v>
      </c>
      <c r="N169" s="78">
        <f>100</f>
        <v>100</v>
      </c>
      <c r="O169" s="80">
        <v>240</v>
      </c>
      <c r="P169" s="80">
        <v>40</v>
      </c>
      <c r="Q169" s="80">
        <f t="shared" si="23"/>
        <v>315</v>
      </c>
      <c r="R169" s="80">
        <f t="shared" si="24"/>
        <v>100</v>
      </c>
      <c r="S169" s="78">
        <f t="shared" si="25"/>
        <v>695</v>
      </c>
      <c r="T169" s="78">
        <f>50</f>
        <v>50</v>
      </c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</row>
    <row r="170" spans="1:30" ht="15.75" x14ac:dyDescent="0.25">
      <c r="A170" s="16">
        <v>46082</v>
      </c>
      <c r="B170" s="91">
        <v>31</v>
      </c>
      <c r="C170" s="78">
        <f>122.58</f>
        <v>122.58</v>
      </c>
      <c r="D170" s="78">
        <f>297.941</f>
        <v>297.94099999999997</v>
      </c>
      <c r="E170" s="86">
        <f>89.177</f>
        <v>89.177000000000007</v>
      </c>
      <c r="F170" s="78">
        <f>240.302-40-60</f>
        <v>140.30199999999999</v>
      </c>
      <c r="G170" s="80">
        <v>40</v>
      </c>
      <c r="H170" s="78">
        <v>60</v>
      </c>
      <c r="I170" s="78">
        <f t="shared" si="19"/>
        <v>0</v>
      </c>
      <c r="J170" s="80">
        <v>100</v>
      </c>
      <c r="K170" s="80">
        <v>300</v>
      </c>
      <c r="L170" s="78">
        <f t="shared" si="22"/>
        <v>1150</v>
      </c>
      <c r="M170" s="88">
        <v>600</v>
      </c>
      <c r="N170" s="78">
        <f>100</f>
        <v>100</v>
      </c>
      <c r="O170" s="80">
        <v>240</v>
      </c>
      <c r="P170" s="80">
        <v>40</v>
      </c>
      <c r="Q170" s="80">
        <f t="shared" si="23"/>
        <v>315</v>
      </c>
      <c r="R170" s="80">
        <f t="shared" si="24"/>
        <v>100</v>
      </c>
      <c r="S170" s="78">
        <f t="shared" si="25"/>
        <v>695</v>
      </c>
      <c r="T170" s="78">
        <f>50</f>
        <v>50</v>
      </c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</row>
    <row r="171" spans="1:30" ht="15.75" x14ac:dyDescent="0.25">
      <c r="A171" s="16">
        <v>46113</v>
      </c>
      <c r="B171" s="91">
        <v>30</v>
      </c>
      <c r="C171" s="78">
        <f>141.293</f>
        <v>141.29300000000001</v>
      </c>
      <c r="D171" s="78">
        <f>267.993</f>
        <v>267.99299999999999</v>
      </c>
      <c r="E171" s="86">
        <f>115.016</f>
        <v>115.01600000000001</v>
      </c>
      <c r="F171" s="78">
        <f>314.698-40-25-60</f>
        <v>189.69799999999998</v>
      </c>
      <c r="G171" s="80">
        <v>40</v>
      </c>
      <c r="H171" s="78">
        <f t="shared" ref="H171:H177" si="28">25+60</f>
        <v>85</v>
      </c>
      <c r="I171" s="78">
        <f t="shared" si="19"/>
        <v>0</v>
      </c>
      <c r="J171" s="80">
        <v>100</v>
      </c>
      <c r="K171" s="80">
        <v>300</v>
      </c>
      <c r="L171" s="78">
        <f t="shared" si="22"/>
        <v>1239</v>
      </c>
      <c r="M171" s="88">
        <v>600</v>
      </c>
      <c r="N171" s="78">
        <f>100</f>
        <v>100</v>
      </c>
      <c r="O171" s="80">
        <v>240</v>
      </c>
      <c r="P171" s="80">
        <v>160</v>
      </c>
      <c r="Q171" s="80">
        <f t="shared" si="23"/>
        <v>195</v>
      </c>
      <c r="R171" s="80">
        <f t="shared" si="24"/>
        <v>100</v>
      </c>
      <c r="S171" s="78">
        <f t="shared" si="25"/>
        <v>695</v>
      </c>
      <c r="T171" s="78">
        <f>50</f>
        <v>50</v>
      </c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</row>
    <row r="172" spans="1:30" ht="15.75" x14ac:dyDescent="0.25">
      <c r="A172" s="16">
        <v>46143</v>
      </c>
      <c r="B172" s="91">
        <v>31</v>
      </c>
      <c r="C172" s="78">
        <f>194.205</f>
        <v>194.20500000000001</v>
      </c>
      <c r="D172" s="78">
        <f>267.466</f>
        <v>267.46600000000001</v>
      </c>
      <c r="E172" s="86">
        <f>133.845</f>
        <v>133.845</v>
      </c>
      <c r="F172" s="78">
        <f>278.484-40-25-60</f>
        <v>153.48399999999998</v>
      </c>
      <c r="G172" s="80">
        <v>40</v>
      </c>
      <c r="H172" s="78">
        <f t="shared" si="28"/>
        <v>85</v>
      </c>
      <c r="I172" s="78">
        <f t="shared" si="19"/>
        <v>0</v>
      </c>
      <c r="J172" s="80">
        <v>100</v>
      </c>
      <c r="K172" s="80">
        <v>300</v>
      </c>
      <c r="L172" s="78">
        <f t="shared" si="22"/>
        <v>1274</v>
      </c>
      <c r="M172" s="88">
        <v>600</v>
      </c>
      <c r="N172" s="78">
        <f>75</f>
        <v>75</v>
      </c>
      <c r="O172" s="80">
        <v>240</v>
      </c>
      <c r="P172" s="80">
        <v>160</v>
      </c>
      <c r="Q172" s="80">
        <f t="shared" si="23"/>
        <v>195</v>
      </c>
      <c r="R172" s="80">
        <f t="shared" si="24"/>
        <v>100</v>
      </c>
      <c r="S172" s="78">
        <f t="shared" si="25"/>
        <v>695</v>
      </c>
      <c r="T172" s="78">
        <f>50</f>
        <v>50</v>
      </c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</row>
    <row r="173" spans="1:30" ht="15.75" x14ac:dyDescent="0.25">
      <c r="A173" s="16">
        <v>46174</v>
      </c>
      <c r="B173" s="91">
        <v>30</v>
      </c>
      <c r="C173" s="78">
        <f>194.205</f>
        <v>194.20500000000001</v>
      </c>
      <c r="D173" s="78">
        <f>267.466</f>
        <v>267.46600000000001</v>
      </c>
      <c r="E173" s="86">
        <f>133.845</f>
        <v>133.845</v>
      </c>
      <c r="F173" s="78">
        <f>278.484-40-25-60</f>
        <v>153.48399999999998</v>
      </c>
      <c r="G173" s="80">
        <v>40</v>
      </c>
      <c r="H173" s="78">
        <f t="shared" si="28"/>
        <v>85</v>
      </c>
      <c r="I173" s="78">
        <f t="shared" si="19"/>
        <v>0</v>
      </c>
      <c r="J173" s="80">
        <v>100</v>
      </c>
      <c r="K173" s="80">
        <v>300</v>
      </c>
      <c r="L173" s="78">
        <f t="shared" si="22"/>
        <v>1274</v>
      </c>
      <c r="M173" s="88">
        <v>600</v>
      </c>
      <c r="N173" s="78">
        <f>30</f>
        <v>30</v>
      </c>
      <c r="O173" s="80">
        <v>240</v>
      </c>
      <c r="P173" s="80">
        <v>160</v>
      </c>
      <c r="Q173" s="80">
        <f t="shared" si="23"/>
        <v>195</v>
      </c>
      <c r="R173" s="80">
        <f t="shared" si="24"/>
        <v>100</v>
      </c>
      <c r="S173" s="78">
        <f t="shared" si="25"/>
        <v>695</v>
      </c>
      <c r="T173" s="78">
        <f>50</f>
        <v>50</v>
      </c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</row>
    <row r="174" spans="1:30" ht="15.75" x14ac:dyDescent="0.25">
      <c r="A174" s="16">
        <v>46204</v>
      </c>
      <c r="B174" s="91">
        <v>31</v>
      </c>
      <c r="C174" s="78">
        <f>194.205</f>
        <v>194.20500000000001</v>
      </c>
      <c r="D174" s="78">
        <f>267.466</f>
        <v>267.46600000000001</v>
      </c>
      <c r="E174" s="86">
        <f>133.845</f>
        <v>133.845</v>
      </c>
      <c r="F174" s="78">
        <f>278.484-40-25-60</f>
        <v>153.48399999999998</v>
      </c>
      <c r="G174" s="80">
        <v>40</v>
      </c>
      <c r="H174" s="78">
        <f t="shared" si="28"/>
        <v>85</v>
      </c>
      <c r="I174" s="78">
        <f t="shared" si="19"/>
        <v>0</v>
      </c>
      <c r="J174" s="80">
        <v>100</v>
      </c>
      <c r="K174" s="80">
        <v>300</v>
      </c>
      <c r="L174" s="78">
        <f t="shared" si="22"/>
        <v>1274</v>
      </c>
      <c r="M174" s="88">
        <v>600</v>
      </c>
      <c r="N174" s="78">
        <f>30</f>
        <v>30</v>
      </c>
      <c r="O174" s="80">
        <v>240</v>
      </c>
      <c r="P174" s="80">
        <v>160</v>
      </c>
      <c r="Q174" s="80">
        <f t="shared" si="23"/>
        <v>195</v>
      </c>
      <c r="R174" s="80">
        <f t="shared" si="24"/>
        <v>100</v>
      </c>
      <c r="S174" s="78">
        <f t="shared" si="25"/>
        <v>695</v>
      </c>
      <c r="T174" s="78">
        <f>0</f>
        <v>0</v>
      </c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</row>
    <row r="175" spans="1:30" ht="15.75" x14ac:dyDescent="0.25">
      <c r="A175" s="16">
        <v>46235</v>
      </c>
      <c r="B175" s="91">
        <v>31</v>
      </c>
      <c r="C175" s="78">
        <f>194.205</f>
        <v>194.20500000000001</v>
      </c>
      <c r="D175" s="78">
        <f>267.466</f>
        <v>267.46600000000001</v>
      </c>
      <c r="E175" s="86">
        <f>133.845</f>
        <v>133.845</v>
      </c>
      <c r="F175" s="78">
        <f>278.484-40-25-60</f>
        <v>153.48399999999998</v>
      </c>
      <c r="G175" s="80">
        <v>40</v>
      </c>
      <c r="H175" s="78">
        <f t="shared" si="28"/>
        <v>85</v>
      </c>
      <c r="I175" s="78">
        <f t="shared" si="19"/>
        <v>0</v>
      </c>
      <c r="J175" s="80">
        <v>100</v>
      </c>
      <c r="K175" s="80">
        <v>300</v>
      </c>
      <c r="L175" s="78">
        <f t="shared" si="22"/>
        <v>1274</v>
      </c>
      <c r="M175" s="88">
        <v>600</v>
      </c>
      <c r="N175" s="78">
        <f>30</f>
        <v>30</v>
      </c>
      <c r="O175" s="80">
        <v>240</v>
      </c>
      <c r="P175" s="80">
        <v>160</v>
      </c>
      <c r="Q175" s="80">
        <f t="shared" si="23"/>
        <v>195</v>
      </c>
      <c r="R175" s="80">
        <f t="shared" si="24"/>
        <v>100</v>
      </c>
      <c r="S175" s="78">
        <f t="shared" si="25"/>
        <v>695</v>
      </c>
      <c r="T175" s="78">
        <f>0</f>
        <v>0</v>
      </c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</row>
    <row r="176" spans="1:30" ht="15.75" x14ac:dyDescent="0.25">
      <c r="A176" s="16">
        <v>46266</v>
      </c>
      <c r="B176" s="91">
        <v>30</v>
      </c>
      <c r="C176" s="78">
        <f>194.205</f>
        <v>194.20500000000001</v>
      </c>
      <c r="D176" s="78">
        <f>267.466</f>
        <v>267.46600000000001</v>
      </c>
      <c r="E176" s="86">
        <f>133.845</f>
        <v>133.845</v>
      </c>
      <c r="F176" s="78">
        <f>278.484-40-25-60</f>
        <v>153.48399999999998</v>
      </c>
      <c r="G176" s="80">
        <v>40</v>
      </c>
      <c r="H176" s="78">
        <f t="shared" si="28"/>
        <v>85</v>
      </c>
      <c r="I176" s="78">
        <f t="shared" si="19"/>
        <v>0</v>
      </c>
      <c r="J176" s="80">
        <v>100</v>
      </c>
      <c r="K176" s="80">
        <v>300</v>
      </c>
      <c r="L176" s="78">
        <f t="shared" si="22"/>
        <v>1274</v>
      </c>
      <c r="M176" s="88">
        <v>600</v>
      </c>
      <c r="N176" s="78">
        <f>30</f>
        <v>30</v>
      </c>
      <c r="O176" s="80">
        <v>240</v>
      </c>
      <c r="P176" s="80">
        <v>160</v>
      </c>
      <c r="Q176" s="80">
        <f t="shared" si="23"/>
        <v>195</v>
      </c>
      <c r="R176" s="80">
        <f t="shared" si="24"/>
        <v>100</v>
      </c>
      <c r="S176" s="78">
        <f t="shared" si="25"/>
        <v>695</v>
      </c>
      <c r="T176" s="78">
        <f>0</f>
        <v>0</v>
      </c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</row>
    <row r="177" spans="1:30" ht="15.75" x14ac:dyDescent="0.25">
      <c r="A177" s="16">
        <v>46296</v>
      </c>
      <c r="B177" s="91">
        <v>31</v>
      </c>
      <c r="C177" s="78">
        <f>131.881</f>
        <v>131.881</v>
      </c>
      <c r="D177" s="78">
        <f>277.167</f>
        <v>277.16699999999997</v>
      </c>
      <c r="E177" s="86">
        <f>79.08</f>
        <v>79.08</v>
      </c>
      <c r="F177" s="78">
        <f>350.872-40-25-60</f>
        <v>225.87200000000001</v>
      </c>
      <c r="G177" s="80">
        <v>40</v>
      </c>
      <c r="H177" s="78">
        <f t="shared" si="28"/>
        <v>85</v>
      </c>
      <c r="I177" s="78">
        <f t="shared" si="19"/>
        <v>0</v>
      </c>
      <c r="J177" s="80">
        <v>100</v>
      </c>
      <c r="K177" s="80">
        <v>300</v>
      </c>
      <c r="L177" s="78">
        <f t="shared" si="22"/>
        <v>1239</v>
      </c>
      <c r="M177" s="88">
        <v>600</v>
      </c>
      <c r="N177" s="78">
        <f>75</f>
        <v>75</v>
      </c>
      <c r="O177" s="80">
        <v>240</v>
      </c>
      <c r="P177" s="80">
        <v>160</v>
      </c>
      <c r="Q177" s="80">
        <f t="shared" si="23"/>
        <v>195</v>
      </c>
      <c r="R177" s="80">
        <f t="shared" si="24"/>
        <v>100</v>
      </c>
      <c r="S177" s="78">
        <f t="shared" si="25"/>
        <v>695</v>
      </c>
      <c r="T177" s="78">
        <f>0</f>
        <v>0</v>
      </c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</row>
    <row r="178" spans="1:30" ht="15.75" x14ac:dyDescent="0.25">
      <c r="A178" s="16">
        <v>46327</v>
      </c>
      <c r="B178" s="91">
        <v>30</v>
      </c>
      <c r="C178" s="78">
        <f>122.58</f>
        <v>122.58</v>
      </c>
      <c r="D178" s="78">
        <f>297.941</f>
        <v>297.94099999999997</v>
      </c>
      <c r="E178" s="86">
        <f>89.177</f>
        <v>89.177000000000007</v>
      </c>
      <c r="F178" s="78">
        <f>240.302-40-60</f>
        <v>140.30199999999999</v>
      </c>
      <c r="G178" s="80">
        <v>40</v>
      </c>
      <c r="H178" s="78">
        <v>60</v>
      </c>
      <c r="I178" s="78">
        <f t="shared" si="19"/>
        <v>0</v>
      </c>
      <c r="J178" s="80">
        <v>100</v>
      </c>
      <c r="K178" s="80">
        <v>300</v>
      </c>
      <c r="L178" s="78">
        <f t="shared" si="22"/>
        <v>1150</v>
      </c>
      <c r="M178" s="88">
        <v>600</v>
      </c>
      <c r="N178" s="78">
        <f>100</f>
        <v>100</v>
      </c>
      <c r="O178" s="80">
        <v>240</v>
      </c>
      <c r="P178" s="80">
        <v>40</v>
      </c>
      <c r="Q178" s="80">
        <f t="shared" si="23"/>
        <v>315</v>
      </c>
      <c r="R178" s="80">
        <f t="shared" si="24"/>
        <v>100</v>
      </c>
      <c r="S178" s="78">
        <f t="shared" si="25"/>
        <v>695</v>
      </c>
      <c r="T178" s="78">
        <f>50</f>
        <v>50</v>
      </c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</row>
    <row r="179" spans="1:30" ht="15.75" x14ac:dyDescent="0.25">
      <c r="A179" s="16">
        <v>46357</v>
      </c>
      <c r="B179" s="91">
        <v>31</v>
      </c>
      <c r="C179" s="78">
        <f>122.58</f>
        <v>122.58</v>
      </c>
      <c r="D179" s="78">
        <f>297.941</f>
        <v>297.94099999999997</v>
      </c>
      <c r="E179" s="86">
        <f>89.177</f>
        <v>89.177000000000007</v>
      </c>
      <c r="F179" s="78">
        <f>240.302-40-60</f>
        <v>140.30199999999999</v>
      </c>
      <c r="G179" s="80">
        <v>40</v>
      </c>
      <c r="H179" s="78">
        <v>60</v>
      </c>
      <c r="I179" s="78">
        <f t="shared" si="19"/>
        <v>0</v>
      </c>
      <c r="J179" s="80">
        <v>100</v>
      </c>
      <c r="K179" s="80">
        <v>300</v>
      </c>
      <c r="L179" s="78">
        <f t="shared" si="22"/>
        <v>1150</v>
      </c>
      <c r="M179" s="88">
        <v>600</v>
      </c>
      <c r="N179" s="78">
        <f>100</f>
        <v>100</v>
      </c>
      <c r="O179" s="80">
        <v>240</v>
      </c>
      <c r="P179" s="80">
        <v>40</v>
      </c>
      <c r="Q179" s="80">
        <f t="shared" si="23"/>
        <v>315</v>
      </c>
      <c r="R179" s="80">
        <f t="shared" si="24"/>
        <v>100</v>
      </c>
      <c r="S179" s="78">
        <f t="shared" si="25"/>
        <v>695</v>
      </c>
      <c r="T179" s="78">
        <f>50</f>
        <v>50</v>
      </c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</row>
    <row r="180" spans="1:30" ht="15.75" x14ac:dyDescent="0.25">
      <c r="A180" s="16">
        <v>46388</v>
      </c>
      <c r="B180" s="91">
        <v>31</v>
      </c>
      <c r="C180" s="78">
        <f>122.58</f>
        <v>122.58</v>
      </c>
      <c r="D180" s="78">
        <f>297.941</f>
        <v>297.94099999999997</v>
      </c>
      <c r="E180" s="86">
        <f>89.177</f>
        <v>89.177000000000007</v>
      </c>
      <c r="F180" s="78">
        <f>240.302-40-60</f>
        <v>140.30199999999999</v>
      </c>
      <c r="G180" s="80">
        <v>40</v>
      </c>
      <c r="H180" s="78">
        <v>60</v>
      </c>
      <c r="I180" s="78">
        <f t="shared" ref="I180:I243" si="29">400-J180-K180</f>
        <v>0</v>
      </c>
      <c r="J180" s="80">
        <v>100</v>
      </c>
      <c r="K180" s="80">
        <v>300</v>
      </c>
      <c r="L180" s="78">
        <f t="shared" si="22"/>
        <v>1150</v>
      </c>
      <c r="M180" s="88">
        <v>600</v>
      </c>
      <c r="N180" s="78">
        <f>100</f>
        <v>100</v>
      </c>
      <c r="O180" s="80">
        <v>240</v>
      </c>
      <c r="P180" s="80">
        <v>40</v>
      </c>
      <c r="Q180" s="80">
        <f t="shared" si="23"/>
        <v>315</v>
      </c>
      <c r="R180" s="80">
        <f t="shared" si="24"/>
        <v>100</v>
      </c>
      <c r="S180" s="78">
        <f t="shared" si="25"/>
        <v>695</v>
      </c>
      <c r="T180" s="78">
        <f>50</f>
        <v>50</v>
      </c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</row>
    <row r="181" spans="1:30" ht="15.75" x14ac:dyDescent="0.25">
      <c r="A181" s="16">
        <v>46419</v>
      </c>
      <c r="B181" s="91">
        <v>28</v>
      </c>
      <c r="C181" s="78">
        <f>122.58</f>
        <v>122.58</v>
      </c>
      <c r="D181" s="78">
        <f>297.941</f>
        <v>297.94099999999997</v>
      </c>
      <c r="E181" s="86">
        <f>89.177</f>
        <v>89.177000000000007</v>
      </c>
      <c r="F181" s="78">
        <f>240.302-40-60</f>
        <v>140.30199999999999</v>
      </c>
      <c r="G181" s="80">
        <v>40</v>
      </c>
      <c r="H181" s="78">
        <v>60</v>
      </c>
      <c r="I181" s="78">
        <f t="shared" si="29"/>
        <v>0</v>
      </c>
      <c r="J181" s="80">
        <v>100</v>
      </c>
      <c r="K181" s="80">
        <v>300</v>
      </c>
      <c r="L181" s="78">
        <f t="shared" si="22"/>
        <v>1150</v>
      </c>
      <c r="M181" s="88">
        <v>600</v>
      </c>
      <c r="N181" s="78">
        <f>100</f>
        <v>100</v>
      </c>
      <c r="O181" s="80">
        <v>240</v>
      </c>
      <c r="P181" s="80">
        <v>40</v>
      </c>
      <c r="Q181" s="80">
        <f t="shared" si="23"/>
        <v>315</v>
      </c>
      <c r="R181" s="80">
        <f t="shared" si="24"/>
        <v>100</v>
      </c>
      <c r="S181" s="78">
        <f t="shared" si="25"/>
        <v>695</v>
      </c>
      <c r="T181" s="78">
        <f>50</f>
        <v>50</v>
      </c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</row>
    <row r="182" spans="1:30" ht="15.75" x14ac:dyDescent="0.25">
      <c r="A182" s="16">
        <v>46447</v>
      </c>
      <c r="B182" s="91">
        <v>31</v>
      </c>
      <c r="C182" s="78">
        <f>122.58</f>
        <v>122.58</v>
      </c>
      <c r="D182" s="78">
        <f>297.941</f>
        <v>297.94099999999997</v>
      </c>
      <c r="E182" s="86">
        <f>89.177</f>
        <v>89.177000000000007</v>
      </c>
      <c r="F182" s="78">
        <f>240.302-40-60</f>
        <v>140.30199999999999</v>
      </c>
      <c r="G182" s="80">
        <v>40</v>
      </c>
      <c r="H182" s="78">
        <v>60</v>
      </c>
      <c r="I182" s="78">
        <f t="shared" si="29"/>
        <v>0</v>
      </c>
      <c r="J182" s="80">
        <v>100</v>
      </c>
      <c r="K182" s="80">
        <v>300</v>
      </c>
      <c r="L182" s="78">
        <f t="shared" si="22"/>
        <v>1150</v>
      </c>
      <c r="M182" s="88">
        <v>600</v>
      </c>
      <c r="N182" s="78">
        <f>100</f>
        <v>100</v>
      </c>
      <c r="O182" s="80">
        <v>240</v>
      </c>
      <c r="P182" s="80">
        <v>40</v>
      </c>
      <c r="Q182" s="80">
        <f t="shared" si="23"/>
        <v>315</v>
      </c>
      <c r="R182" s="80">
        <f t="shared" si="24"/>
        <v>100</v>
      </c>
      <c r="S182" s="78">
        <f t="shared" si="25"/>
        <v>695</v>
      </c>
      <c r="T182" s="78">
        <f>50</f>
        <v>50</v>
      </c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</row>
    <row r="183" spans="1:30" ht="15.75" x14ac:dyDescent="0.25">
      <c r="A183" s="16">
        <v>46478</v>
      </c>
      <c r="B183" s="91">
        <v>30</v>
      </c>
      <c r="C183" s="78">
        <f>141.293</f>
        <v>141.29300000000001</v>
      </c>
      <c r="D183" s="78">
        <f>267.993</f>
        <v>267.99299999999999</v>
      </c>
      <c r="E183" s="86">
        <f>115.016</f>
        <v>115.01600000000001</v>
      </c>
      <c r="F183" s="78">
        <f>314.698-40-25-60</f>
        <v>189.69799999999998</v>
      </c>
      <c r="G183" s="80">
        <v>40</v>
      </c>
      <c r="H183" s="78">
        <f t="shared" ref="H183:H189" si="30">25+60</f>
        <v>85</v>
      </c>
      <c r="I183" s="78">
        <f t="shared" si="29"/>
        <v>0</v>
      </c>
      <c r="J183" s="80">
        <v>100</v>
      </c>
      <c r="K183" s="80">
        <v>300</v>
      </c>
      <c r="L183" s="78">
        <f t="shared" si="22"/>
        <v>1239</v>
      </c>
      <c r="M183" s="88">
        <v>600</v>
      </c>
      <c r="N183" s="78">
        <f>100</f>
        <v>100</v>
      </c>
      <c r="O183" s="80">
        <v>240</v>
      </c>
      <c r="P183" s="80">
        <v>160</v>
      </c>
      <c r="Q183" s="80">
        <f t="shared" si="23"/>
        <v>195</v>
      </c>
      <c r="R183" s="80">
        <f t="shared" si="24"/>
        <v>100</v>
      </c>
      <c r="S183" s="78">
        <f t="shared" si="25"/>
        <v>695</v>
      </c>
      <c r="T183" s="78">
        <f>50</f>
        <v>50</v>
      </c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</row>
    <row r="184" spans="1:30" ht="15.75" x14ac:dyDescent="0.25">
      <c r="A184" s="16">
        <v>46508</v>
      </c>
      <c r="B184" s="91">
        <v>31</v>
      </c>
      <c r="C184" s="78">
        <f>194.205</f>
        <v>194.20500000000001</v>
      </c>
      <c r="D184" s="78">
        <f>267.466</f>
        <v>267.46600000000001</v>
      </c>
      <c r="E184" s="86">
        <f>133.845</f>
        <v>133.845</v>
      </c>
      <c r="F184" s="78">
        <f>278.484-40-25-60</f>
        <v>153.48399999999998</v>
      </c>
      <c r="G184" s="80">
        <v>40</v>
      </c>
      <c r="H184" s="78">
        <f t="shared" si="30"/>
        <v>85</v>
      </c>
      <c r="I184" s="78">
        <f t="shared" si="29"/>
        <v>0</v>
      </c>
      <c r="J184" s="80">
        <v>100</v>
      </c>
      <c r="K184" s="80">
        <v>300</v>
      </c>
      <c r="L184" s="78">
        <f t="shared" si="22"/>
        <v>1274</v>
      </c>
      <c r="M184" s="88">
        <v>600</v>
      </c>
      <c r="N184" s="78">
        <f>75</f>
        <v>75</v>
      </c>
      <c r="O184" s="80">
        <v>240</v>
      </c>
      <c r="P184" s="80">
        <v>160</v>
      </c>
      <c r="Q184" s="80">
        <f t="shared" si="23"/>
        <v>195</v>
      </c>
      <c r="R184" s="80">
        <f t="shared" si="24"/>
        <v>100</v>
      </c>
      <c r="S184" s="78">
        <f t="shared" si="25"/>
        <v>695</v>
      </c>
      <c r="T184" s="78">
        <f>50</f>
        <v>50</v>
      </c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</row>
    <row r="185" spans="1:30" ht="15.75" x14ac:dyDescent="0.25">
      <c r="A185" s="16">
        <v>46539</v>
      </c>
      <c r="B185" s="91">
        <v>30</v>
      </c>
      <c r="C185" s="78">
        <f>194.205</f>
        <v>194.20500000000001</v>
      </c>
      <c r="D185" s="78">
        <f>267.466</f>
        <v>267.46600000000001</v>
      </c>
      <c r="E185" s="86">
        <f>133.845</f>
        <v>133.845</v>
      </c>
      <c r="F185" s="78">
        <f>278.484-40-25-60</f>
        <v>153.48399999999998</v>
      </c>
      <c r="G185" s="80">
        <v>40</v>
      </c>
      <c r="H185" s="78">
        <f t="shared" si="30"/>
        <v>85</v>
      </c>
      <c r="I185" s="78">
        <f t="shared" si="29"/>
        <v>0</v>
      </c>
      <c r="J185" s="80">
        <v>100</v>
      </c>
      <c r="K185" s="80">
        <v>300</v>
      </c>
      <c r="L185" s="78">
        <f t="shared" si="22"/>
        <v>1274</v>
      </c>
      <c r="M185" s="88">
        <v>600</v>
      </c>
      <c r="N185" s="78">
        <f>30</f>
        <v>30</v>
      </c>
      <c r="O185" s="80">
        <v>240</v>
      </c>
      <c r="P185" s="80">
        <v>160</v>
      </c>
      <c r="Q185" s="80">
        <f t="shared" si="23"/>
        <v>195</v>
      </c>
      <c r="R185" s="80">
        <f t="shared" si="24"/>
        <v>100</v>
      </c>
      <c r="S185" s="78">
        <f t="shared" si="25"/>
        <v>695</v>
      </c>
      <c r="T185" s="78">
        <f>50</f>
        <v>50</v>
      </c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</row>
    <row r="186" spans="1:30" ht="15.75" x14ac:dyDescent="0.25">
      <c r="A186" s="16">
        <v>46569</v>
      </c>
      <c r="B186" s="91">
        <v>31</v>
      </c>
      <c r="C186" s="78">
        <f>194.205</f>
        <v>194.20500000000001</v>
      </c>
      <c r="D186" s="78">
        <f>267.466</f>
        <v>267.46600000000001</v>
      </c>
      <c r="E186" s="86">
        <f>133.845</f>
        <v>133.845</v>
      </c>
      <c r="F186" s="78">
        <f>278.484-40-25-60</f>
        <v>153.48399999999998</v>
      </c>
      <c r="G186" s="80">
        <v>40</v>
      </c>
      <c r="H186" s="78">
        <f t="shared" si="30"/>
        <v>85</v>
      </c>
      <c r="I186" s="78">
        <f t="shared" si="29"/>
        <v>0</v>
      </c>
      <c r="J186" s="80">
        <v>100</v>
      </c>
      <c r="K186" s="80">
        <v>300</v>
      </c>
      <c r="L186" s="78">
        <f t="shared" si="22"/>
        <v>1274</v>
      </c>
      <c r="M186" s="88">
        <v>600</v>
      </c>
      <c r="N186" s="78">
        <f>30</f>
        <v>30</v>
      </c>
      <c r="O186" s="80">
        <v>240</v>
      </c>
      <c r="P186" s="80">
        <v>160</v>
      </c>
      <c r="Q186" s="80">
        <f t="shared" si="23"/>
        <v>195</v>
      </c>
      <c r="R186" s="80">
        <f t="shared" si="24"/>
        <v>100</v>
      </c>
      <c r="S186" s="78">
        <f t="shared" si="25"/>
        <v>695</v>
      </c>
      <c r="T186" s="78">
        <f>0</f>
        <v>0</v>
      </c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</row>
    <row r="187" spans="1:30" ht="15.75" x14ac:dyDescent="0.25">
      <c r="A187" s="16">
        <v>46600</v>
      </c>
      <c r="B187" s="91">
        <v>31</v>
      </c>
      <c r="C187" s="78">
        <f>194.205</f>
        <v>194.20500000000001</v>
      </c>
      <c r="D187" s="78">
        <f>267.466</f>
        <v>267.46600000000001</v>
      </c>
      <c r="E187" s="86">
        <f>133.845</f>
        <v>133.845</v>
      </c>
      <c r="F187" s="78">
        <f>278.484-40-25-60</f>
        <v>153.48399999999998</v>
      </c>
      <c r="G187" s="80">
        <v>40</v>
      </c>
      <c r="H187" s="78">
        <f t="shared" si="30"/>
        <v>85</v>
      </c>
      <c r="I187" s="78">
        <f t="shared" si="29"/>
        <v>0</v>
      </c>
      <c r="J187" s="80">
        <v>100</v>
      </c>
      <c r="K187" s="80">
        <v>300</v>
      </c>
      <c r="L187" s="78">
        <f t="shared" si="22"/>
        <v>1274</v>
      </c>
      <c r="M187" s="88">
        <v>600</v>
      </c>
      <c r="N187" s="78">
        <f>30</f>
        <v>30</v>
      </c>
      <c r="O187" s="80">
        <v>240</v>
      </c>
      <c r="P187" s="80">
        <v>160</v>
      </c>
      <c r="Q187" s="80">
        <f t="shared" si="23"/>
        <v>195</v>
      </c>
      <c r="R187" s="80">
        <f t="shared" si="24"/>
        <v>100</v>
      </c>
      <c r="S187" s="78">
        <f t="shared" si="25"/>
        <v>695</v>
      </c>
      <c r="T187" s="78">
        <f>0</f>
        <v>0</v>
      </c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</row>
    <row r="188" spans="1:30" ht="15.75" x14ac:dyDescent="0.25">
      <c r="A188" s="16">
        <v>46631</v>
      </c>
      <c r="B188" s="91">
        <v>30</v>
      </c>
      <c r="C188" s="78">
        <f>194.205</f>
        <v>194.20500000000001</v>
      </c>
      <c r="D188" s="78">
        <f>267.466</f>
        <v>267.46600000000001</v>
      </c>
      <c r="E188" s="86">
        <f>133.845</f>
        <v>133.845</v>
      </c>
      <c r="F188" s="78">
        <f>278.484-40-25-60</f>
        <v>153.48399999999998</v>
      </c>
      <c r="G188" s="80">
        <v>40</v>
      </c>
      <c r="H188" s="78">
        <f t="shared" si="30"/>
        <v>85</v>
      </c>
      <c r="I188" s="78">
        <f t="shared" si="29"/>
        <v>0</v>
      </c>
      <c r="J188" s="80">
        <v>100</v>
      </c>
      <c r="K188" s="80">
        <v>300</v>
      </c>
      <c r="L188" s="78">
        <f t="shared" si="22"/>
        <v>1274</v>
      </c>
      <c r="M188" s="88">
        <v>600</v>
      </c>
      <c r="N188" s="78">
        <f>30</f>
        <v>30</v>
      </c>
      <c r="O188" s="80">
        <v>240</v>
      </c>
      <c r="P188" s="80">
        <v>160</v>
      </c>
      <c r="Q188" s="80">
        <f t="shared" si="23"/>
        <v>195</v>
      </c>
      <c r="R188" s="80">
        <f t="shared" si="24"/>
        <v>100</v>
      </c>
      <c r="S188" s="78">
        <f t="shared" si="25"/>
        <v>695</v>
      </c>
      <c r="T188" s="78">
        <f>0</f>
        <v>0</v>
      </c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</row>
    <row r="189" spans="1:30" ht="15.75" x14ac:dyDescent="0.25">
      <c r="A189" s="16">
        <v>46661</v>
      </c>
      <c r="B189" s="91">
        <v>31</v>
      </c>
      <c r="C189" s="78">
        <f>131.881</f>
        <v>131.881</v>
      </c>
      <c r="D189" s="78">
        <f>277.167</f>
        <v>277.16699999999997</v>
      </c>
      <c r="E189" s="86">
        <f>79.08</f>
        <v>79.08</v>
      </c>
      <c r="F189" s="78">
        <f>350.872-40-25-60</f>
        <v>225.87200000000001</v>
      </c>
      <c r="G189" s="80">
        <v>40</v>
      </c>
      <c r="H189" s="78">
        <f t="shared" si="30"/>
        <v>85</v>
      </c>
      <c r="I189" s="78">
        <f t="shared" si="29"/>
        <v>0</v>
      </c>
      <c r="J189" s="80">
        <v>100</v>
      </c>
      <c r="K189" s="80">
        <v>300</v>
      </c>
      <c r="L189" s="78">
        <f t="shared" si="22"/>
        <v>1239</v>
      </c>
      <c r="M189" s="88">
        <v>600</v>
      </c>
      <c r="N189" s="78">
        <f>75</f>
        <v>75</v>
      </c>
      <c r="O189" s="80">
        <v>240</v>
      </c>
      <c r="P189" s="80">
        <v>160</v>
      </c>
      <c r="Q189" s="80">
        <f t="shared" si="23"/>
        <v>195</v>
      </c>
      <c r="R189" s="80">
        <f t="shared" si="24"/>
        <v>100</v>
      </c>
      <c r="S189" s="78">
        <f t="shared" si="25"/>
        <v>695</v>
      </c>
      <c r="T189" s="78">
        <f>0</f>
        <v>0</v>
      </c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</row>
    <row r="190" spans="1:30" ht="15.75" x14ac:dyDescent="0.25">
      <c r="A190" s="16">
        <v>46692</v>
      </c>
      <c r="B190" s="91">
        <v>30</v>
      </c>
      <c r="C190" s="78">
        <f>122.58</f>
        <v>122.58</v>
      </c>
      <c r="D190" s="78">
        <f>297.941</f>
        <v>297.94099999999997</v>
      </c>
      <c r="E190" s="86">
        <f>89.177</f>
        <v>89.177000000000007</v>
      </c>
      <c r="F190" s="78">
        <f>240.302-40-60</f>
        <v>140.30199999999999</v>
      </c>
      <c r="G190" s="80">
        <v>40</v>
      </c>
      <c r="H190" s="78">
        <v>60</v>
      </c>
      <c r="I190" s="78">
        <f t="shared" si="29"/>
        <v>0</v>
      </c>
      <c r="J190" s="80">
        <v>100</v>
      </c>
      <c r="K190" s="80">
        <v>300</v>
      </c>
      <c r="L190" s="78">
        <f t="shared" si="22"/>
        <v>1150</v>
      </c>
      <c r="M190" s="88">
        <v>600</v>
      </c>
      <c r="N190" s="78">
        <f>100</f>
        <v>100</v>
      </c>
      <c r="O190" s="80">
        <v>240</v>
      </c>
      <c r="P190" s="80">
        <v>40</v>
      </c>
      <c r="Q190" s="80">
        <f t="shared" si="23"/>
        <v>315</v>
      </c>
      <c r="R190" s="80">
        <f t="shared" si="24"/>
        <v>100</v>
      </c>
      <c r="S190" s="78">
        <f t="shared" si="25"/>
        <v>695</v>
      </c>
      <c r="T190" s="78">
        <f>50</f>
        <v>50</v>
      </c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</row>
    <row r="191" spans="1:30" ht="15.75" x14ac:dyDescent="0.25">
      <c r="A191" s="16">
        <v>46722</v>
      </c>
      <c r="B191" s="91">
        <v>31</v>
      </c>
      <c r="C191" s="78">
        <f>122.58</f>
        <v>122.58</v>
      </c>
      <c r="D191" s="78">
        <f>297.941</f>
        <v>297.94099999999997</v>
      </c>
      <c r="E191" s="86">
        <f>89.177</f>
        <v>89.177000000000007</v>
      </c>
      <c r="F191" s="78">
        <f>240.302-40-60</f>
        <v>140.30199999999999</v>
      </c>
      <c r="G191" s="80">
        <v>40</v>
      </c>
      <c r="H191" s="78">
        <v>60</v>
      </c>
      <c r="I191" s="78">
        <f t="shared" si="29"/>
        <v>0</v>
      </c>
      <c r="J191" s="80">
        <v>100</v>
      </c>
      <c r="K191" s="80">
        <v>300</v>
      </c>
      <c r="L191" s="78">
        <f t="shared" si="22"/>
        <v>1150</v>
      </c>
      <c r="M191" s="88">
        <v>600</v>
      </c>
      <c r="N191" s="78">
        <f>100</f>
        <v>100</v>
      </c>
      <c r="O191" s="80">
        <v>240</v>
      </c>
      <c r="P191" s="80">
        <v>40</v>
      </c>
      <c r="Q191" s="80">
        <f t="shared" si="23"/>
        <v>315</v>
      </c>
      <c r="R191" s="80">
        <f t="shared" si="24"/>
        <v>100</v>
      </c>
      <c r="S191" s="78">
        <f t="shared" si="25"/>
        <v>695</v>
      </c>
      <c r="T191" s="78">
        <f>50</f>
        <v>50</v>
      </c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</row>
    <row r="192" spans="1:30" ht="15.75" x14ac:dyDescent="0.25">
      <c r="A192" s="16">
        <v>46753</v>
      </c>
      <c r="B192" s="91">
        <v>31</v>
      </c>
      <c r="C192" s="78">
        <f>122.58</f>
        <v>122.58</v>
      </c>
      <c r="D192" s="78">
        <f>297.941</f>
        <v>297.94099999999997</v>
      </c>
      <c r="E192" s="86">
        <f>89.177</f>
        <v>89.177000000000007</v>
      </c>
      <c r="F192" s="78">
        <f>240.302-40-60</f>
        <v>140.30199999999999</v>
      </c>
      <c r="G192" s="80">
        <v>40</v>
      </c>
      <c r="H192" s="78">
        <v>60</v>
      </c>
      <c r="I192" s="78">
        <f t="shared" si="29"/>
        <v>0</v>
      </c>
      <c r="J192" s="80">
        <v>100</v>
      </c>
      <c r="K192" s="80">
        <v>300</v>
      </c>
      <c r="L192" s="78">
        <f t="shared" si="22"/>
        <v>1150</v>
      </c>
      <c r="M192" s="88">
        <v>600</v>
      </c>
      <c r="N192" s="78">
        <f>100</f>
        <v>100</v>
      </c>
      <c r="O192" s="80">
        <v>240</v>
      </c>
      <c r="P192" s="80">
        <v>40</v>
      </c>
      <c r="Q192" s="80">
        <f t="shared" si="23"/>
        <v>315</v>
      </c>
      <c r="R192" s="80">
        <f t="shared" si="24"/>
        <v>100</v>
      </c>
      <c r="S192" s="78">
        <f t="shared" si="25"/>
        <v>695</v>
      </c>
      <c r="T192" s="78">
        <f>50</f>
        <v>50</v>
      </c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</row>
    <row r="193" spans="1:30" ht="15.75" x14ac:dyDescent="0.25">
      <c r="A193" s="16">
        <v>46784</v>
      </c>
      <c r="B193" s="91">
        <v>29</v>
      </c>
      <c r="C193" s="78">
        <f>122.58</f>
        <v>122.58</v>
      </c>
      <c r="D193" s="78">
        <f>297.941</f>
        <v>297.94099999999997</v>
      </c>
      <c r="E193" s="86">
        <f>89.177</f>
        <v>89.177000000000007</v>
      </c>
      <c r="F193" s="78">
        <f>240.302-40-60</f>
        <v>140.30199999999999</v>
      </c>
      <c r="G193" s="80">
        <v>40</v>
      </c>
      <c r="H193" s="78">
        <v>60</v>
      </c>
      <c r="I193" s="78">
        <f t="shared" si="29"/>
        <v>0</v>
      </c>
      <c r="J193" s="80">
        <v>100</v>
      </c>
      <c r="K193" s="80">
        <v>300</v>
      </c>
      <c r="L193" s="78">
        <f t="shared" si="22"/>
        <v>1150</v>
      </c>
      <c r="M193" s="88">
        <v>600</v>
      </c>
      <c r="N193" s="78">
        <f>100</f>
        <v>100</v>
      </c>
      <c r="O193" s="80">
        <v>240</v>
      </c>
      <c r="P193" s="80">
        <v>40</v>
      </c>
      <c r="Q193" s="80">
        <f t="shared" si="23"/>
        <v>315</v>
      </c>
      <c r="R193" s="80">
        <f t="shared" si="24"/>
        <v>100</v>
      </c>
      <c r="S193" s="78">
        <f t="shared" si="25"/>
        <v>695</v>
      </c>
      <c r="T193" s="78">
        <f>50</f>
        <v>50</v>
      </c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</row>
    <row r="194" spans="1:30" ht="15.75" x14ac:dyDescent="0.25">
      <c r="A194" s="16">
        <v>46813</v>
      </c>
      <c r="B194" s="91">
        <v>31</v>
      </c>
      <c r="C194" s="78">
        <f>122.58</f>
        <v>122.58</v>
      </c>
      <c r="D194" s="78">
        <f>297.941</f>
        <v>297.94099999999997</v>
      </c>
      <c r="E194" s="86">
        <f>89.177</f>
        <v>89.177000000000007</v>
      </c>
      <c r="F194" s="78">
        <f>240.302-40-60</f>
        <v>140.30199999999999</v>
      </c>
      <c r="G194" s="80">
        <v>40</v>
      </c>
      <c r="H194" s="78">
        <v>60</v>
      </c>
      <c r="I194" s="78">
        <f t="shared" si="29"/>
        <v>0</v>
      </c>
      <c r="J194" s="80">
        <v>100</v>
      </c>
      <c r="K194" s="80">
        <v>300</v>
      </c>
      <c r="L194" s="78">
        <f t="shared" si="22"/>
        <v>1150</v>
      </c>
      <c r="M194" s="88">
        <v>600</v>
      </c>
      <c r="N194" s="78">
        <f>100</f>
        <v>100</v>
      </c>
      <c r="O194" s="80">
        <v>240</v>
      </c>
      <c r="P194" s="80">
        <v>40</v>
      </c>
      <c r="Q194" s="80">
        <f t="shared" si="23"/>
        <v>315</v>
      </c>
      <c r="R194" s="80">
        <f t="shared" si="24"/>
        <v>100</v>
      </c>
      <c r="S194" s="78">
        <f t="shared" si="25"/>
        <v>695</v>
      </c>
      <c r="T194" s="78">
        <f>50</f>
        <v>50</v>
      </c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</row>
    <row r="195" spans="1:30" ht="15.75" x14ac:dyDescent="0.25">
      <c r="A195" s="16">
        <v>46844</v>
      </c>
      <c r="B195" s="91">
        <v>30</v>
      </c>
      <c r="C195" s="78">
        <f>141.293</f>
        <v>141.29300000000001</v>
      </c>
      <c r="D195" s="78">
        <f>267.993</f>
        <v>267.99299999999999</v>
      </c>
      <c r="E195" s="86">
        <f>115.016</f>
        <v>115.01600000000001</v>
      </c>
      <c r="F195" s="78">
        <f>314.698-40-25-60</f>
        <v>189.69799999999998</v>
      </c>
      <c r="G195" s="80">
        <v>40</v>
      </c>
      <c r="H195" s="78">
        <f t="shared" ref="H195:H201" si="31">25+60</f>
        <v>85</v>
      </c>
      <c r="I195" s="78">
        <f t="shared" si="29"/>
        <v>0</v>
      </c>
      <c r="J195" s="80">
        <v>100</v>
      </c>
      <c r="K195" s="80">
        <v>300</v>
      </c>
      <c r="L195" s="78">
        <f t="shared" si="22"/>
        <v>1239</v>
      </c>
      <c r="M195" s="88">
        <v>600</v>
      </c>
      <c r="N195" s="78">
        <f>100</f>
        <v>100</v>
      </c>
      <c r="O195" s="80">
        <v>240</v>
      </c>
      <c r="P195" s="80">
        <v>160</v>
      </c>
      <c r="Q195" s="80">
        <f t="shared" si="23"/>
        <v>195</v>
      </c>
      <c r="R195" s="80">
        <f t="shared" si="24"/>
        <v>100</v>
      </c>
      <c r="S195" s="78">
        <f t="shared" si="25"/>
        <v>695</v>
      </c>
      <c r="T195" s="78">
        <f>50</f>
        <v>50</v>
      </c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</row>
    <row r="196" spans="1:30" ht="15.75" x14ac:dyDescent="0.25">
      <c r="A196" s="16">
        <v>46874</v>
      </c>
      <c r="B196" s="91">
        <v>31</v>
      </c>
      <c r="C196" s="78">
        <f>194.205</f>
        <v>194.20500000000001</v>
      </c>
      <c r="D196" s="78">
        <f>267.466</f>
        <v>267.46600000000001</v>
      </c>
      <c r="E196" s="86">
        <f>133.845</f>
        <v>133.845</v>
      </c>
      <c r="F196" s="78">
        <f>278.484-40-25-60</f>
        <v>153.48399999999998</v>
      </c>
      <c r="G196" s="80">
        <v>40</v>
      </c>
      <c r="H196" s="78">
        <f t="shared" si="31"/>
        <v>85</v>
      </c>
      <c r="I196" s="78">
        <f t="shared" si="29"/>
        <v>0</v>
      </c>
      <c r="J196" s="80">
        <v>100</v>
      </c>
      <c r="K196" s="80">
        <v>300</v>
      </c>
      <c r="L196" s="78">
        <f t="shared" si="22"/>
        <v>1274</v>
      </c>
      <c r="M196" s="88">
        <v>600</v>
      </c>
      <c r="N196" s="78">
        <f>75</f>
        <v>75</v>
      </c>
      <c r="O196" s="80">
        <v>240</v>
      </c>
      <c r="P196" s="80">
        <v>160</v>
      </c>
      <c r="Q196" s="80">
        <f t="shared" si="23"/>
        <v>195</v>
      </c>
      <c r="R196" s="80">
        <f t="shared" si="24"/>
        <v>100</v>
      </c>
      <c r="S196" s="78">
        <f t="shared" si="25"/>
        <v>695</v>
      </c>
      <c r="T196" s="78">
        <f>50</f>
        <v>50</v>
      </c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</row>
    <row r="197" spans="1:30" ht="15.75" x14ac:dyDescent="0.25">
      <c r="A197" s="16">
        <v>46905</v>
      </c>
      <c r="B197" s="91">
        <v>30</v>
      </c>
      <c r="C197" s="78">
        <f>194.205</f>
        <v>194.20500000000001</v>
      </c>
      <c r="D197" s="78">
        <f>267.466</f>
        <v>267.46600000000001</v>
      </c>
      <c r="E197" s="86">
        <f>133.845</f>
        <v>133.845</v>
      </c>
      <c r="F197" s="78">
        <f>278.484-40-25-60</f>
        <v>153.48399999999998</v>
      </c>
      <c r="G197" s="80">
        <v>40</v>
      </c>
      <c r="H197" s="78">
        <f t="shared" si="31"/>
        <v>85</v>
      </c>
      <c r="I197" s="78">
        <f t="shared" si="29"/>
        <v>0</v>
      </c>
      <c r="J197" s="80">
        <v>100</v>
      </c>
      <c r="K197" s="80">
        <v>300</v>
      </c>
      <c r="L197" s="78">
        <f t="shared" si="22"/>
        <v>1274</v>
      </c>
      <c r="M197" s="88">
        <v>600</v>
      </c>
      <c r="N197" s="78">
        <f>30</f>
        <v>30</v>
      </c>
      <c r="O197" s="80">
        <v>240</v>
      </c>
      <c r="P197" s="80">
        <v>160</v>
      </c>
      <c r="Q197" s="80">
        <f t="shared" si="23"/>
        <v>195</v>
      </c>
      <c r="R197" s="80">
        <f t="shared" si="24"/>
        <v>100</v>
      </c>
      <c r="S197" s="78">
        <f t="shared" si="25"/>
        <v>695</v>
      </c>
      <c r="T197" s="78">
        <f>50</f>
        <v>50</v>
      </c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</row>
    <row r="198" spans="1:30" ht="15.75" x14ac:dyDescent="0.25">
      <c r="A198" s="16">
        <v>46935</v>
      </c>
      <c r="B198" s="91">
        <v>31</v>
      </c>
      <c r="C198" s="78">
        <f>194.205</f>
        <v>194.20500000000001</v>
      </c>
      <c r="D198" s="78">
        <f>267.466</f>
        <v>267.46600000000001</v>
      </c>
      <c r="E198" s="86">
        <f>133.845</f>
        <v>133.845</v>
      </c>
      <c r="F198" s="78">
        <f>278.484-40-25-60</f>
        <v>153.48399999999998</v>
      </c>
      <c r="G198" s="80">
        <v>40</v>
      </c>
      <c r="H198" s="78">
        <f t="shared" si="31"/>
        <v>85</v>
      </c>
      <c r="I198" s="78">
        <f t="shared" si="29"/>
        <v>0</v>
      </c>
      <c r="J198" s="80">
        <v>100</v>
      </c>
      <c r="K198" s="80">
        <v>300</v>
      </c>
      <c r="L198" s="78">
        <f t="shared" si="22"/>
        <v>1274</v>
      </c>
      <c r="M198" s="88">
        <v>600</v>
      </c>
      <c r="N198" s="78">
        <f>30</f>
        <v>30</v>
      </c>
      <c r="O198" s="80">
        <v>240</v>
      </c>
      <c r="P198" s="80">
        <v>160</v>
      </c>
      <c r="Q198" s="80">
        <f t="shared" si="23"/>
        <v>195</v>
      </c>
      <c r="R198" s="80">
        <f t="shared" si="24"/>
        <v>100</v>
      </c>
      <c r="S198" s="78">
        <f t="shared" si="25"/>
        <v>695</v>
      </c>
      <c r="T198" s="78">
        <f>0</f>
        <v>0</v>
      </c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</row>
    <row r="199" spans="1:30" ht="15.75" x14ac:dyDescent="0.25">
      <c r="A199" s="16">
        <v>46966</v>
      </c>
      <c r="B199" s="91">
        <v>31</v>
      </c>
      <c r="C199" s="78">
        <f>194.205</f>
        <v>194.20500000000001</v>
      </c>
      <c r="D199" s="78">
        <f>267.466</f>
        <v>267.46600000000001</v>
      </c>
      <c r="E199" s="86">
        <f>133.845</f>
        <v>133.845</v>
      </c>
      <c r="F199" s="78">
        <f>278.484-40-25-60</f>
        <v>153.48399999999998</v>
      </c>
      <c r="G199" s="80">
        <v>40</v>
      </c>
      <c r="H199" s="78">
        <f t="shared" si="31"/>
        <v>85</v>
      </c>
      <c r="I199" s="78">
        <f t="shared" si="29"/>
        <v>0</v>
      </c>
      <c r="J199" s="80">
        <v>100</v>
      </c>
      <c r="K199" s="80">
        <v>300</v>
      </c>
      <c r="L199" s="78">
        <f t="shared" si="22"/>
        <v>1274</v>
      </c>
      <c r="M199" s="88">
        <v>600</v>
      </c>
      <c r="N199" s="78">
        <f>30</f>
        <v>30</v>
      </c>
      <c r="O199" s="80">
        <v>240</v>
      </c>
      <c r="P199" s="80">
        <v>160</v>
      </c>
      <c r="Q199" s="80">
        <f t="shared" si="23"/>
        <v>195</v>
      </c>
      <c r="R199" s="80">
        <f t="shared" si="24"/>
        <v>100</v>
      </c>
      <c r="S199" s="78">
        <f t="shared" si="25"/>
        <v>695</v>
      </c>
      <c r="T199" s="78">
        <f>0</f>
        <v>0</v>
      </c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</row>
    <row r="200" spans="1:30" ht="15.75" x14ac:dyDescent="0.25">
      <c r="A200" s="16">
        <v>46997</v>
      </c>
      <c r="B200" s="91">
        <v>30</v>
      </c>
      <c r="C200" s="78">
        <f>194.205</f>
        <v>194.20500000000001</v>
      </c>
      <c r="D200" s="78">
        <f>267.466</f>
        <v>267.46600000000001</v>
      </c>
      <c r="E200" s="86">
        <f>133.845</f>
        <v>133.845</v>
      </c>
      <c r="F200" s="78">
        <f>278.484-40-25-60</f>
        <v>153.48399999999998</v>
      </c>
      <c r="G200" s="80">
        <v>40</v>
      </c>
      <c r="H200" s="78">
        <f t="shared" si="31"/>
        <v>85</v>
      </c>
      <c r="I200" s="78">
        <f t="shared" si="29"/>
        <v>0</v>
      </c>
      <c r="J200" s="80">
        <v>100</v>
      </c>
      <c r="K200" s="80">
        <v>300</v>
      </c>
      <c r="L200" s="78">
        <f t="shared" si="22"/>
        <v>1274</v>
      </c>
      <c r="M200" s="88">
        <v>600</v>
      </c>
      <c r="N200" s="78">
        <f>30</f>
        <v>30</v>
      </c>
      <c r="O200" s="80">
        <v>240</v>
      </c>
      <c r="P200" s="80">
        <v>160</v>
      </c>
      <c r="Q200" s="80">
        <f t="shared" si="23"/>
        <v>195</v>
      </c>
      <c r="R200" s="80">
        <f t="shared" si="24"/>
        <v>100</v>
      </c>
      <c r="S200" s="78">
        <f t="shared" si="25"/>
        <v>695</v>
      </c>
      <c r="T200" s="78">
        <f>0</f>
        <v>0</v>
      </c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</row>
    <row r="201" spans="1:30" ht="15.75" x14ac:dyDescent="0.25">
      <c r="A201" s="16">
        <v>47027</v>
      </c>
      <c r="B201" s="91">
        <v>31</v>
      </c>
      <c r="C201" s="78">
        <f>131.881</f>
        <v>131.881</v>
      </c>
      <c r="D201" s="78">
        <f>277.167</f>
        <v>277.16699999999997</v>
      </c>
      <c r="E201" s="86">
        <f>79.08</f>
        <v>79.08</v>
      </c>
      <c r="F201" s="78">
        <f>350.872-40-25-60</f>
        <v>225.87200000000001</v>
      </c>
      <c r="G201" s="80">
        <v>40</v>
      </c>
      <c r="H201" s="78">
        <f t="shared" si="31"/>
        <v>85</v>
      </c>
      <c r="I201" s="78">
        <f t="shared" si="29"/>
        <v>0</v>
      </c>
      <c r="J201" s="80">
        <v>100</v>
      </c>
      <c r="K201" s="80">
        <v>300</v>
      </c>
      <c r="L201" s="78">
        <f t="shared" si="22"/>
        <v>1239</v>
      </c>
      <c r="M201" s="88">
        <v>600</v>
      </c>
      <c r="N201" s="78">
        <f>75</f>
        <v>75</v>
      </c>
      <c r="O201" s="80">
        <v>240</v>
      </c>
      <c r="P201" s="80">
        <v>160</v>
      </c>
      <c r="Q201" s="80">
        <f t="shared" si="23"/>
        <v>195</v>
      </c>
      <c r="R201" s="80">
        <f t="shared" si="24"/>
        <v>100</v>
      </c>
      <c r="S201" s="78">
        <f t="shared" si="25"/>
        <v>695</v>
      </c>
      <c r="T201" s="78">
        <f>0</f>
        <v>0</v>
      </c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</row>
    <row r="202" spans="1:30" ht="15.75" x14ac:dyDescent="0.25">
      <c r="A202" s="16">
        <v>47058</v>
      </c>
      <c r="B202" s="91">
        <v>30</v>
      </c>
      <c r="C202" s="78">
        <f>122.58</f>
        <v>122.58</v>
      </c>
      <c r="D202" s="78">
        <f>297.941</f>
        <v>297.94099999999997</v>
      </c>
      <c r="E202" s="86">
        <f>89.177</f>
        <v>89.177000000000007</v>
      </c>
      <c r="F202" s="78">
        <f>240.302-40-60</f>
        <v>140.30199999999999</v>
      </c>
      <c r="G202" s="80">
        <v>40</v>
      </c>
      <c r="H202" s="78">
        <v>60</v>
      </c>
      <c r="I202" s="78">
        <f t="shared" si="29"/>
        <v>0</v>
      </c>
      <c r="J202" s="80">
        <v>100</v>
      </c>
      <c r="K202" s="80">
        <v>300</v>
      </c>
      <c r="L202" s="78">
        <f t="shared" si="22"/>
        <v>1150</v>
      </c>
      <c r="M202" s="88">
        <v>600</v>
      </c>
      <c r="N202" s="78">
        <f>100</f>
        <v>100</v>
      </c>
      <c r="O202" s="80">
        <v>240</v>
      </c>
      <c r="P202" s="80">
        <v>40</v>
      </c>
      <c r="Q202" s="80">
        <f t="shared" si="23"/>
        <v>315</v>
      </c>
      <c r="R202" s="80">
        <f t="shared" si="24"/>
        <v>100</v>
      </c>
      <c r="S202" s="78">
        <f t="shared" si="25"/>
        <v>695</v>
      </c>
      <c r="T202" s="78">
        <f>50</f>
        <v>50</v>
      </c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</row>
    <row r="203" spans="1:30" ht="15.75" x14ac:dyDescent="0.25">
      <c r="A203" s="16">
        <v>47088</v>
      </c>
      <c r="B203" s="91">
        <v>31</v>
      </c>
      <c r="C203" s="78">
        <f>122.58</f>
        <v>122.58</v>
      </c>
      <c r="D203" s="78">
        <f>297.941</f>
        <v>297.94099999999997</v>
      </c>
      <c r="E203" s="86">
        <f>89.177</f>
        <v>89.177000000000007</v>
      </c>
      <c r="F203" s="78">
        <f>240.302-40-60</f>
        <v>140.30199999999999</v>
      </c>
      <c r="G203" s="80">
        <v>40</v>
      </c>
      <c r="H203" s="78">
        <v>60</v>
      </c>
      <c r="I203" s="78">
        <f t="shared" si="29"/>
        <v>0</v>
      </c>
      <c r="J203" s="80">
        <v>100</v>
      </c>
      <c r="K203" s="80">
        <v>300</v>
      </c>
      <c r="L203" s="78">
        <f t="shared" si="22"/>
        <v>1150</v>
      </c>
      <c r="M203" s="88">
        <v>600</v>
      </c>
      <c r="N203" s="78">
        <f>100</f>
        <v>100</v>
      </c>
      <c r="O203" s="80">
        <v>240</v>
      </c>
      <c r="P203" s="80">
        <v>40</v>
      </c>
      <c r="Q203" s="80">
        <f t="shared" si="23"/>
        <v>315</v>
      </c>
      <c r="R203" s="80">
        <f t="shared" si="24"/>
        <v>100</v>
      </c>
      <c r="S203" s="78">
        <f t="shared" si="25"/>
        <v>695</v>
      </c>
      <c r="T203" s="78">
        <f>50</f>
        <v>50</v>
      </c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</row>
    <row r="204" spans="1:30" ht="15.75" x14ac:dyDescent="0.25">
      <c r="A204" s="16">
        <v>47119</v>
      </c>
      <c r="B204" s="91">
        <v>31</v>
      </c>
      <c r="C204" s="78">
        <f>122.58</f>
        <v>122.58</v>
      </c>
      <c r="D204" s="78">
        <f>297.941</f>
        <v>297.94099999999997</v>
      </c>
      <c r="E204" s="86">
        <f>89.177</f>
        <v>89.177000000000007</v>
      </c>
      <c r="F204" s="78">
        <f>240.302-40-60</f>
        <v>140.30199999999999</v>
      </c>
      <c r="G204" s="80">
        <v>40</v>
      </c>
      <c r="H204" s="78">
        <v>60</v>
      </c>
      <c r="I204" s="78">
        <f t="shared" si="29"/>
        <v>0</v>
      </c>
      <c r="J204" s="80">
        <v>100</v>
      </c>
      <c r="K204" s="80">
        <v>300</v>
      </c>
      <c r="L204" s="78">
        <f t="shared" si="22"/>
        <v>1150</v>
      </c>
      <c r="M204" s="88">
        <v>600</v>
      </c>
      <c r="N204" s="78">
        <f>100</f>
        <v>100</v>
      </c>
      <c r="O204" s="80">
        <v>240</v>
      </c>
      <c r="P204" s="80">
        <v>40</v>
      </c>
      <c r="Q204" s="80">
        <f t="shared" si="23"/>
        <v>315</v>
      </c>
      <c r="R204" s="80">
        <f t="shared" si="24"/>
        <v>100</v>
      </c>
      <c r="S204" s="78">
        <f t="shared" si="25"/>
        <v>695</v>
      </c>
      <c r="T204" s="78">
        <f>50</f>
        <v>50</v>
      </c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</row>
    <row r="205" spans="1:30" ht="15.75" x14ac:dyDescent="0.25">
      <c r="A205" s="16">
        <v>47150</v>
      </c>
      <c r="B205" s="91">
        <v>28</v>
      </c>
      <c r="C205" s="78">
        <f>122.58</f>
        <v>122.58</v>
      </c>
      <c r="D205" s="78">
        <f>297.941</f>
        <v>297.94099999999997</v>
      </c>
      <c r="E205" s="86">
        <f>89.177</f>
        <v>89.177000000000007</v>
      </c>
      <c r="F205" s="78">
        <f>240.302-40-60</f>
        <v>140.30199999999999</v>
      </c>
      <c r="G205" s="80">
        <v>40</v>
      </c>
      <c r="H205" s="78">
        <v>60</v>
      </c>
      <c r="I205" s="78">
        <f t="shared" si="29"/>
        <v>0</v>
      </c>
      <c r="J205" s="80">
        <v>100</v>
      </c>
      <c r="K205" s="80">
        <v>300</v>
      </c>
      <c r="L205" s="78">
        <f t="shared" si="22"/>
        <v>1150</v>
      </c>
      <c r="M205" s="88">
        <v>600</v>
      </c>
      <c r="N205" s="78">
        <f>100</f>
        <v>100</v>
      </c>
      <c r="O205" s="80">
        <v>240</v>
      </c>
      <c r="P205" s="80">
        <v>40</v>
      </c>
      <c r="Q205" s="80">
        <f t="shared" si="23"/>
        <v>315</v>
      </c>
      <c r="R205" s="80">
        <f t="shared" si="24"/>
        <v>100</v>
      </c>
      <c r="S205" s="78">
        <f t="shared" si="25"/>
        <v>695</v>
      </c>
      <c r="T205" s="78">
        <f>50</f>
        <v>50</v>
      </c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</row>
    <row r="206" spans="1:30" ht="15.75" x14ac:dyDescent="0.25">
      <c r="A206" s="16">
        <v>47178</v>
      </c>
      <c r="B206" s="91">
        <v>31</v>
      </c>
      <c r="C206" s="78">
        <f>122.58</f>
        <v>122.58</v>
      </c>
      <c r="D206" s="78">
        <f>297.941</f>
        <v>297.94099999999997</v>
      </c>
      <c r="E206" s="86">
        <f>89.177</f>
        <v>89.177000000000007</v>
      </c>
      <c r="F206" s="78">
        <f>240.302-40-60</f>
        <v>140.30199999999999</v>
      </c>
      <c r="G206" s="80">
        <v>40</v>
      </c>
      <c r="H206" s="78">
        <v>60</v>
      </c>
      <c r="I206" s="78">
        <f t="shared" si="29"/>
        <v>0</v>
      </c>
      <c r="J206" s="80">
        <v>100</v>
      </c>
      <c r="K206" s="80">
        <v>300</v>
      </c>
      <c r="L206" s="78">
        <f t="shared" si="22"/>
        <v>1150</v>
      </c>
      <c r="M206" s="88">
        <v>600</v>
      </c>
      <c r="N206" s="78">
        <f>100</f>
        <v>100</v>
      </c>
      <c r="O206" s="80">
        <v>240</v>
      </c>
      <c r="P206" s="80">
        <v>40</v>
      </c>
      <c r="Q206" s="80">
        <f t="shared" si="23"/>
        <v>315</v>
      </c>
      <c r="R206" s="80">
        <f t="shared" si="24"/>
        <v>100</v>
      </c>
      <c r="S206" s="78">
        <f t="shared" si="25"/>
        <v>695</v>
      </c>
      <c r="T206" s="78">
        <f>50</f>
        <v>50</v>
      </c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</row>
    <row r="207" spans="1:30" ht="15.75" x14ac:dyDescent="0.25">
      <c r="A207" s="16">
        <v>47209</v>
      </c>
      <c r="B207" s="91">
        <v>30</v>
      </c>
      <c r="C207" s="78">
        <f>141.293</f>
        <v>141.29300000000001</v>
      </c>
      <c r="D207" s="78">
        <f>267.993</f>
        <v>267.99299999999999</v>
      </c>
      <c r="E207" s="86">
        <f>115.016</f>
        <v>115.01600000000001</v>
      </c>
      <c r="F207" s="78">
        <f>314.698-40-25-60</f>
        <v>189.69799999999998</v>
      </c>
      <c r="G207" s="80">
        <v>40</v>
      </c>
      <c r="H207" s="78">
        <f t="shared" ref="H207:H213" si="32">25+60</f>
        <v>85</v>
      </c>
      <c r="I207" s="78">
        <f t="shared" si="29"/>
        <v>0</v>
      </c>
      <c r="J207" s="80">
        <v>100</v>
      </c>
      <c r="K207" s="80">
        <v>300</v>
      </c>
      <c r="L207" s="78">
        <f t="shared" ref="L207:L270" si="33">SUM(C207:K207)</f>
        <v>1239</v>
      </c>
      <c r="M207" s="88">
        <v>600</v>
      </c>
      <c r="N207" s="78">
        <f>100</f>
        <v>100</v>
      </c>
      <c r="O207" s="80">
        <v>240</v>
      </c>
      <c r="P207" s="80">
        <v>160</v>
      </c>
      <c r="Q207" s="80">
        <f t="shared" ref="Q207:Q270" si="34">695-R207-O207-P207</f>
        <v>195</v>
      </c>
      <c r="R207" s="80">
        <f t="shared" ref="R207:R270" si="35">200-J207</f>
        <v>100</v>
      </c>
      <c r="S207" s="78">
        <f t="shared" ref="S207:S270" si="36">SUM(O207:R207)</f>
        <v>695</v>
      </c>
      <c r="T207" s="78">
        <f>50</f>
        <v>50</v>
      </c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</row>
    <row r="208" spans="1:30" ht="15.75" x14ac:dyDescent="0.25">
      <c r="A208" s="16">
        <v>47239</v>
      </c>
      <c r="B208" s="91">
        <v>31</v>
      </c>
      <c r="C208" s="78">
        <f>194.205</f>
        <v>194.20500000000001</v>
      </c>
      <c r="D208" s="78">
        <f>267.466</f>
        <v>267.46600000000001</v>
      </c>
      <c r="E208" s="86">
        <f>133.845</f>
        <v>133.845</v>
      </c>
      <c r="F208" s="78">
        <f>278.484-40-25-60</f>
        <v>153.48399999999998</v>
      </c>
      <c r="G208" s="80">
        <v>40</v>
      </c>
      <c r="H208" s="78">
        <f t="shared" si="32"/>
        <v>85</v>
      </c>
      <c r="I208" s="78">
        <f t="shared" si="29"/>
        <v>0</v>
      </c>
      <c r="J208" s="80">
        <v>100</v>
      </c>
      <c r="K208" s="80">
        <v>300</v>
      </c>
      <c r="L208" s="78">
        <f t="shared" si="33"/>
        <v>1274</v>
      </c>
      <c r="M208" s="88">
        <v>600</v>
      </c>
      <c r="N208" s="78">
        <f>75</f>
        <v>75</v>
      </c>
      <c r="O208" s="80">
        <v>240</v>
      </c>
      <c r="P208" s="80">
        <v>160</v>
      </c>
      <c r="Q208" s="80">
        <f t="shared" si="34"/>
        <v>195</v>
      </c>
      <c r="R208" s="80">
        <f t="shared" si="35"/>
        <v>100</v>
      </c>
      <c r="S208" s="78">
        <f t="shared" si="36"/>
        <v>695</v>
      </c>
      <c r="T208" s="78">
        <f>50</f>
        <v>50</v>
      </c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</row>
    <row r="209" spans="1:30" ht="15.75" x14ac:dyDescent="0.25">
      <c r="A209" s="16">
        <v>47270</v>
      </c>
      <c r="B209" s="91">
        <v>30</v>
      </c>
      <c r="C209" s="78">
        <f>194.205</f>
        <v>194.20500000000001</v>
      </c>
      <c r="D209" s="78">
        <f>267.466</f>
        <v>267.46600000000001</v>
      </c>
      <c r="E209" s="86">
        <f>133.845</f>
        <v>133.845</v>
      </c>
      <c r="F209" s="78">
        <f>278.484-40-25-60</f>
        <v>153.48399999999998</v>
      </c>
      <c r="G209" s="80">
        <v>40</v>
      </c>
      <c r="H209" s="78">
        <f t="shared" si="32"/>
        <v>85</v>
      </c>
      <c r="I209" s="78">
        <f t="shared" si="29"/>
        <v>0</v>
      </c>
      <c r="J209" s="80">
        <v>100</v>
      </c>
      <c r="K209" s="80">
        <v>300</v>
      </c>
      <c r="L209" s="78">
        <f t="shared" si="33"/>
        <v>1274</v>
      </c>
      <c r="M209" s="88">
        <v>600</v>
      </c>
      <c r="N209" s="78">
        <f>30</f>
        <v>30</v>
      </c>
      <c r="O209" s="80">
        <v>240</v>
      </c>
      <c r="P209" s="80">
        <v>160</v>
      </c>
      <c r="Q209" s="80">
        <f t="shared" si="34"/>
        <v>195</v>
      </c>
      <c r="R209" s="80">
        <f t="shared" si="35"/>
        <v>100</v>
      </c>
      <c r="S209" s="78">
        <f t="shared" si="36"/>
        <v>695</v>
      </c>
      <c r="T209" s="78">
        <f>50</f>
        <v>50</v>
      </c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</row>
    <row r="210" spans="1:30" ht="15.75" x14ac:dyDescent="0.25">
      <c r="A210" s="16">
        <v>47300</v>
      </c>
      <c r="B210" s="91">
        <v>31</v>
      </c>
      <c r="C210" s="78">
        <f>194.205</f>
        <v>194.20500000000001</v>
      </c>
      <c r="D210" s="78">
        <f>267.466</f>
        <v>267.46600000000001</v>
      </c>
      <c r="E210" s="86">
        <f>133.845</f>
        <v>133.845</v>
      </c>
      <c r="F210" s="78">
        <f>278.484-40-25-60</f>
        <v>153.48399999999998</v>
      </c>
      <c r="G210" s="80">
        <v>40</v>
      </c>
      <c r="H210" s="78">
        <f t="shared" si="32"/>
        <v>85</v>
      </c>
      <c r="I210" s="78">
        <f t="shared" si="29"/>
        <v>0</v>
      </c>
      <c r="J210" s="80">
        <v>100</v>
      </c>
      <c r="K210" s="80">
        <v>300</v>
      </c>
      <c r="L210" s="78">
        <f t="shared" si="33"/>
        <v>1274</v>
      </c>
      <c r="M210" s="88">
        <v>600</v>
      </c>
      <c r="N210" s="78">
        <f>30</f>
        <v>30</v>
      </c>
      <c r="O210" s="80">
        <v>240</v>
      </c>
      <c r="P210" s="80">
        <v>160</v>
      </c>
      <c r="Q210" s="80">
        <f t="shared" si="34"/>
        <v>195</v>
      </c>
      <c r="R210" s="80">
        <f t="shared" si="35"/>
        <v>100</v>
      </c>
      <c r="S210" s="78">
        <f t="shared" si="36"/>
        <v>695</v>
      </c>
      <c r="T210" s="78">
        <f>0</f>
        <v>0</v>
      </c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</row>
    <row r="211" spans="1:30" ht="15.75" x14ac:dyDescent="0.25">
      <c r="A211" s="16">
        <v>47331</v>
      </c>
      <c r="B211" s="91">
        <v>31</v>
      </c>
      <c r="C211" s="78">
        <f>194.205</f>
        <v>194.20500000000001</v>
      </c>
      <c r="D211" s="78">
        <f>267.466</f>
        <v>267.46600000000001</v>
      </c>
      <c r="E211" s="86">
        <f>133.845</f>
        <v>133.845</v>
      </c>
      <c r="F211" s="78">
        <f>278.484-40-25-60</f>
        <v>153.48399999999998</v>
      </c>
      <c r="G211" s="80">
        <v>40</v>
      </c>
      <c r="H211" s="78">
        <f t="shared" si="32"/>
        <v>85</v>
      </c>
      <c r="I211" s="78">
        <f t="shared" si="29"/>
        <v>0</v>
      </c>
      <c r="J211" s="80">
        <v>100</v>
      </c>
      <c r="K211" s="80">
        <v>300</v>
      </c>
      <c r="L211" s="78">
        <f t="shared" si="33"/>
        <v>1274</v>
      </c>
      <c r="M211" s="88">
        <v>600</v>
      </c>
      <c r="N211" s="78">
        <f>30</f>
        <v>30</v>
      </c>
      <c r="O211" s="80">
        <v>240</v>
      </c>
      <c r="P211" s="80">
        <v>160</v>
      </c>
      <c r="Q211" s="80">
        <f t="shared" si="34"/>
        <v>195</v>
      </c>
      <c r="R211" s="80">
        <f t="shared" si="35"/>
        <v>100</v>
      </c>
      <c r="S211" s="78">
        <f t="shared" si="36"/>
        <v>695</v>
      </c>
      <c r="T211" s="78">
        <f>0</f>
        <v>0</v>
      </c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</row>
    <row r="212" spans="1:30" ht="15.75" x14ac:dyDescent="0.25">
      <c r="A212" s="16">
        <v>47362</v>
      </c>
      <c r="B212" s="91">
        <v>30</v>
      </c>
      <c r="C212" s="78">
        <f>194.205</f>
        <v>194.20500000000001</v>
      </c>
      <c r="D212" s="78">
        <f>267.466</f>
        <v>267.46600000000001</v>
      </c>
      <c r="E212" s="86">
        <f>133.845</f>
        <v>133.845</v>
      </c>
      <c r="F212" s="78">
        <f>278.484-40-25-60</f>
        <v>153.48399999999998</v>
      </c>
      <c r="G212" s="80">
        <v>40</v>
      </c>
      <c r="H212" s="78">
        <f t="shared" si="32"/>
        <v>85</v>
      </c>
      <c r="I212" s="78">
        <f t="shared" si="29"/>
        <v>0</v>
      </c>
      <c r="J212" s="80">
        <v>100</v>
      </c>
      <c r="K212" s="80">
        <v>300</v>
      </c>
      <c r="L212" s="78">
        <f t="shared" si="33"/>
        <v>1274</v>
      </c>
      <c r="M212" s="88">
        <v>600</v>
      </c>
      <c r="N212" s="78">
        <f>30</f>
        <v>30</v>
      </c>
      <c r="O212" s="80">
        <v>240</v>
      </c>
      <c r="P212" s="80">
        <v>160</v>
      </c>
      <c r="Q212" s="80">
        <f t="shared" si="34"/>
        <v>195</v>
      </c>
      <c r="R212" s="80">
        <f t="shared" si="35"/>
        <v>100</v>
      </c>
      <c r="S212" s="78">
        <f t="shared" si="36"/>
        <v>695</v>
      </c>
      <c r="T212" s="78">
        <f>0</f>
        <v>0</v>
      </c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</row>
    <row r="213" spans="1:30" ht="15.75" x14ac:dyDescent="0.25">
      <c r="A213" s="16">
        <v>47392</v>
      </c>
      <c r="B213" s="91">
        <v>31</v>
      </c>
      <c r="C213" s="78">
        <f>131.881</f>
        <v>131.881</v>
      </c>
      <c r="D213" s="78">
        <f>277.167</f>
        <v>277.16699999999997</v>
      </c>
      <c r="E213" s="86">
        <f>79.08</f>
        <v>79.08</v>
      </c>
      <c r="F213" s="78">
        <f>350.872-40-25-60</f>
        <v>225.87200000000001</v>
      </c>
      <c r="G213" s="80">
        <v>40</v>
      </c>
      <c r="H213" s="78">
        <f t="shared" si="32"/>
        <v>85</v>
      </c>
      <c r="I213" s="78">
        <f t="shared" si="29"/>
        <v>0</v>
      </c>
      <c r="J213" s="80">
        <v>100</v>
      </c>
      <c r="K213" s="80">
        <v>300</v>
      </c>
      <c r="L213" s="78">
        <f t="shared" si="33"/>
        <v>1239</v>
      </c>
      <c r="M213" s="88">
        <v>600</v>
      </c>
      <c r="N213" s="78">
        <f>75</f>
        <v>75</v>
      </c>
      <c r="O213" s="80">
        <v>240</v>
      </c>
      <c r="P213" s="80">
        <v>160</v>
      </c>
      <c r="Q213" s="80">
        <f t="shared" si="34"/>
        <v>195</v>
      </c>
      <c r="R213" s="80">
        <f t="shared" si="35"/>
        <v>100</v>
      </c>
      <c r="S213" s="78">
        <f t="shared" si="36"/>
        <v>695</v>
      </c>
      <c r="T213" s="78">
        <f>0</f>
        <v>0</v>
      </c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</row>
    <row r="214" spans="1:30" ht="15.75" x14ac:dyDescent="0.25">
      <c r="A214" s="16">
        <v>47423</v>
      </c>
      <c r="B214" s="91">
        <v>30</v>
      </c>
      <c r="C214" s="78">
        <f>122.58</f>
        <v>122.58</v>
      </c>
      <c r="D214" s="78">
        <f>297.941</f>
        <v>297.94099999999997</v>
      </c>
      <c r="E214" s="86">
        <f>89.177</f>
        <v>89.177000000000007</v>
      </c>
      <c r="F214" s="78">
        <f>240.302-40-60</f>
        <v>140.30199999999999</v>
      </c>
      <c r="G214" s="80">
        <v>40</v>
      </c>
      <c r="H214" s="78">
        <v>60</v>
      </c>
      <c r="I214" s="78">
        <f t="shared" si="29"/>
        <v>0</v>
      </c>
      <c r="J214" s="80">
        <v>100</v>
      </c>
      <c r="K214" s="80">
        <v>300</v>
      </c>
      <c r="L214" s="78">
        <f t="shared" si="33"/>
        <v>1150</v>
      </c>
      <c r="M214" s="88">
        <v>600</v>
      </c>
      <c r="N214" s="78">
        <f>100</f>
        <v>100</v>
      </c>
      <c r="O214" s="80">
        <v>240</v>
      </c>
      <c r="P214" s="80">
        <v>40</v>
      </c>
      <c r="Q214" s="80">
        <f t="shared" si="34"/>
        <v>315</v>
      </c>
      <c r="R214" s="80">
        <f t="shared" si="35"/>
        <v>100</v>
      </c>
      <c r="S214" s="78">
        <f t="shared" si="36"/>
        <v>695</v>
      </c>
      <c r="T214" s="78">
        <f>50</f>
        <v>50</v>
      </c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</row>
    <row r="215" spans="1:30" ht="15.75" x14ac:dyDescent="0.25">
      <c r="A215" s="16">
        <v>47453</v>
      </c>
      <c r="B215" s="91">
        <v>31</v>
      </c>
      <c r="C215" s="78">
        <f>122.58</f>
        <v>122.58</v>
      </c>
      <c r="D215" s="78">
        <f>297.941</f>
        <v>297.94099999999997</v>
      </c>
      <c r="E215" s="86">
        <f>89.177</f>
        <v>89.177000000000007</v>
      </c>
      <c r="F215" s="78">
        <f>240.302-40-60</f>
        <v>140.30199999999999</v>
      </c>
      <c r="G215" s="80">
        <v>40</v>
      </c>
      <c r="H215" s="78">
        <v>60</v>
      </c>
      <c r="I215" s="78">
        <f t="shared" si="29"/>
        <v>0</v>
      </c>
      <c r="J215" s="80">
        <v>100</v>
      </c>
      <c r="K215" s="80">
        <v>300</v>
      </c>
      <c r="L215" s="78">
        <f t="shared" si="33"/>
        <v>1150</v>
      </c>
      <c r="M215" s="88">
        <v>600</v>
      </c>
      <c r="N215" s="78">
        <f>100</f>
        <v>100</v>
      </c>
      <c r="O215" s="80">
        <v>240</v>
      </c>
      <c r="P215" s="80">
        <v>40</v>
      </c>
      <c r="Q215" s="80">
        <f t="shared" si="34"/>
        <v>315</v>
      </c>
      <c r="R215" s="80">
        <f t="shared" si="35"/>
        <v>100</v>
      </c>
      <c r="S215" s="78">
        <f t="shared" si="36"/>
        <v>695</v>
      </c>
      <c r="T215" s="78">
        <f>50</f>
        <v>50</v>
      </c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</row>
    <row r="216" spans="1:30" ht="15.75" x14ac:dyDescent="0.25">
      <c r="A216" s="16">
        <v>47484</v>
      </c>
      <c r="B216" s="91">
        <v>31</v>
      </c>
      <c r="C216" s="78">
        <f>122.58</f>
        <v>122.58</v>
      </c>
      <c r="D216" s="78">
        <f>297.941</f>
        <v>297.94099999999997</v>
      </c>
      <c r="E216" s="86">
        <f>89.177</f>
        <v>89.177000000000007</v>
      </c>
      <c r="F216" s="78">
        <f>240.302-40-60</f>
        <v>140.30199999999999</v>
      </c>
      <c r="G216" s="80">
        <v>40</v>
      </c>
      <c r="H216" s="78">
        <v>60</v>
      </c>
      <c r="I216" s="78">
        <f t="shared" si="29"/>
        <v>0</v>
      </c>
      <c r="J216" s="80">
        <v>100</v>
      </c>
      <c r="K216" s="80">
        <v>300</v>
      </c>
      <c r="L216" s="78">
        <f t="shared" si="33"/>
        <v>1150</v>
      </c>
      <c r="M216" s="88">
        <v>600</v>
      </c>
      <c r="N216" s="78">
        <f>100</f>
        <v>100</v>
      </c>
      <c r="O216" s="80">
        <v>240</v>
      </c>
      <c r="P216" s="80">
        <v>40</v>
      </c>
      <c r="Q216" s="80">
        <f t="shared" si="34"/>
        <v>315</v>
      </c>
      <c r="R216" s="80">
        <f t="shared" si="35"/>
        <v>100</v>
      </c>
      <c r="S216" s="78">
        <f t="shared" si="36"/>
        <v>695</v>
      </c>
      <c r="T216" s="78">
        <f>50</f>
        <v>50</v>
      </c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</row>
    <row r="217" spans="1:30" ht="15.75" x14ac:dyDescent="0.25">
      <c r="A217" s="16">
        <v>47515</v>
      </c>
      <c r="B217" s="91">
        <v>28</v>
      </c>
      <c r="C217" s="78">
        <f>122.58</f>
        <v>122.58</v>
      </c>
      <c r="D217" s="78">
        <f>297.941</f>
        <v>297.94099999999997</v>
      </c>
      <c r="E217" s="86">
        <f>89.177</f>
        <v>89.177000000000007</v>
      </c>
      <c r="F217" s="78">
        <f>240.302-40-60</f>
        <v>140.30199999999999</v>
      </c>
      <c r="G217" s="80">
        <v>40</v>
      </c>
      <c r="H217" s="78">
        <v>60</v>
      </c>
      <c r="I217" s="78">
        <f t="shared" si="29"/>
        <v>0</v>
      </c>
      <c r="J217" s="80">
        <v>100</v>
      </c>
      <c r="K217" s="80">
        <v>300</v>
      </c>
      <c r="L217" s="78">
        <f t="shared" si="33"/>
        <v>1150</v>
      </c>
      <c r="M217" s="88">
        <v>600</v>
      </c>
      <c r="N217" s="78">
        <f>100</f>
        <v>100</v>
      </c>
      <c r="O217" s="80">
        <v>240</v>
      </c>
      <c r="P217" s="80">
        <v>40</v>
      </c>
      <c r="Q217" s="80">
        <f t="shared" si="34"/>
        <v>315</v>
      </c>
      <c r="R217" s="80">
        <f t="shared" si="35"/>
        <v>100</v>
      </c>
      <c r="S217" s="78">
        <f t="shared" si="36"/>
        <v>695</v>
      </c>
      <c r="T217" s="78">
        <f>50</f>
        <v>50</v>
      </c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</row>
    <row r="218" spans="1:30" ht="15.75" x14ac:dyDescent="0.25">
      <c r="A218" s="16">
        <v>47543</v>
      </c>
      <c r="B218" s="91">
        <v>31</v>
      </c>
      <c r="C218" s="78">
        <f>122.58</f>
        <v>122.58</v>
      </c>
      <c r="D218" s="78">
        <f>297.941</f>
        <v>297.94099999999997</v>
      </c>
      <c r="E218" s="86">
        <f>89.177</f>
        <v>89.177000000000007</v>
      </c>
      <c r="F218" s="78">
        <f>240.302-40-60</f>
        <v>140.30199999999999</v>
      </c>
      <c r="G218" s="80">
        <v>40</v>
      </c>
      <c r="H218" s="78">
        <v>60</v>
      </c>
      <c r="I218" s="78">
        <f t="shared" si="29"/>
        <v>0</v>
      </c>
      <c r="J218" s="80">
        <v>100</v>
      </c>
      <c r="K218" s="80">
        <v>300</v>
      </c>
      <c r="L218" s="78">
        <f t="shared" si="33"/>
        <v>1150</v>
      </c>
      <c r="M218" s="88">
        <v>600</v>
      </c>
      <c r="N218" s="78">
        <f>100</f>
        <v>100</v>
      </c>
      <c r="O218" s="80">
        <v>240</v>
      </c>
      <c r="P218" s="80">
        <v>40</v>
      </c>
      <c r="Q218" s="80">
        <f t="shared" si="34"/>
        <v>315</v>
      </c>
      <c r="R218" s="80">
        <f t="shared" si="35"/>
        <v>100</v>
      </c>
      <c r="S218" s="78">
        <f t="shared" si="36"/>
        <v>695</v>
      </c>
      <c r="T218" s="78">
        <f>50</f>
        <v>50</v>
      </c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</row>
    <row r="219" spans="1:30" ht="15.75" x14ac:dyDescent="0.25">
      <c r="A219" s="16">
        <v>47574</v>
      </c>
      <c r="B219" s="91">
        <v>30</v>
      </c>
      <c r="C219" s="78">
        <f>141.293</f>
        <v>141.29300000000001</v>
      </c>
      <c r="D219" s="78">
        <f>267.993</f>
        <v>267.99299999999999</v>
      </c>
      <c r="E219" s="86">
        <f>115.016</f>
        <v>115.01600000000001</v>
      </c>
      <c r="F219" s="78">
        <f>314.698-40-25-60</f>
        <v>189.69799999999998</v>
      </c>
      <c r="G219" s="80">
        <v>40</v>
      </c>
      <c r="H219" s="78">
        <f t="shared" ref="H219:H225" si="37">25+60</f>
        <v>85</v>
      </c>
      <c r="I219" s="78">
        <f t="shared" si="29"/>
        <v>0</v>
      </c>
      <c r="J219" s="80">
        <v>100</v>
      </c>
      <c r="K219" s="80">
        <v>300</v>
      </c>
      <c r="L219" s="78">
        <f t="shared" si="33"/>
        <v>1239</v>
      </c>
      <c r="M219" s="88">
        <v>600</v>
      </c>
      <c r="N219" s="78">
        <f>100</f>
        <v>100</v>
      </c>
      <c r="O219" s="80">
        <v>240</v>
      </c>
      <c r="P219" s="80">
        <v>160</v>
      </c>
      <c r="Q219" s="80">
        <f t="shared" si="34"/>
        <v>195</v>
      </c>
      <c r="R219" s="80">
        <f t="shared" si="35"/>
        <v>100</v>
      </c>
      <c r="S219" s="78">
        <f t="shared" si="36"/>
        <v>695</v>
      </c>
      <c r="T219" s="78">
        <f>50</f>
        <v>50</v>
      </c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</row>
    <row r="220" spans="1:30" ht="15.75" x14ac:dyDescent="0.25">
      <c r="A220" s="16">
        <v>47604</v>
      </c>
      <c r="B220" s="91">
        <v>31</v>
      </c>
      <c r="C220" s="78">
        <f>194.205</f>
        <v>194.20500000000001</v>
      </c>
      <c r="D220" s="78">
        <f>267.466</f>
        <v>267.46600000000001</v>
      </c>
      <c r="E220" s="86">
        <f>133.845</f>
        <v>133.845</v>
      </c>
      <c r="F220" s="78">
        <f>278.484-40-25-60</f>
        <v>153.48399999999998</v>
      </c>
      <c r="G220" s="80">
        <v>40</v>
      </c>
      <c r="H220" s="78">
        <f t="shared" si="37"/>
        <v>85</v>
      </c>
      <c r="I220" s="78">
        <f t="shared" si="29"/>
        <v>0</v>
      </c>
      <c r="J220" s="80">
        <v>100</v>
      </c>
      <c r="K220" s="80">
        <v>300</v>
      </c>
      <c r="L220" s="78">
        <f t="shared" si="33"/>
        <v>1274</v>
      </c>
      <c r="M220" s="88">
        <v>600</v>
      </c>
      <c r="N220" s="78">
        <f>75</f>
        <v>75</v>
      </c>
      <c r="O220" s="80">
        <v>240</v>
      </c>
      <c r="P220" s="80">
        <v>160</v>
      </c>
      <c r="Q220" s="80">
        <f t="shared" si="34"/>
        <v>195</v>
      </c>
      <c r="R220" s="80">
        <f t="shared" si="35"/>
        <v>100</v>
      </c>
      <c r="S220" s="78">
        <f t="shared" si="36"/>
        <v>695</v>
      </c>
      <c r="T220" s="78">
        <f>50</f>
        <v>50</v>
      </c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</row>
    <row r="221" spans="1:30" ht="15.75" x14ac:dyDescent="0.25">
      <c r="A221" s="16">
        <v>47635</v>
      </c>
      <c r="B221" s="91">
        <v>30</v>
      </c>
      <c r="C221" s="78">
        <f>194.205</f>
        <v>194.20500000000001</v>
      </c>
      <c r="D221" s="78">
        <f>267.466</f>
        <v>267.46600000000001</v>
      </c>
      <c r="E221" s="86">
        <f>133.845</f>
        <v>133.845</v>
      </c>
      <c r="F221" s="78">
        <f>278.484-40-25-60</f>
        <v>153.48399999999998</v>
      </c>
      <c r="G221" s="80">
        <v>40</v>
      </c>
      <c r="H221" s="78">
        <f t="shared" si="37"/>
        <v>85</v>
      </c>
      <c r="I221" s="78">
        <f t="shared" si="29"/>
        <v>0</v>
      </c>
      <c r="J221" s="80">
        <v>100</v>
      </c>
      <c r="K221" s="80">
        <v>300</v>
      </c>
      <c r="L221" s="78">
        <f t="shared" si="33"/>
        <v>1274</v>
      </c>
      <c r="M221" s="88">
        <v>600</v>
      </c>
      <c r="N221" s="78">
        <f>30</f>
        <v>30</v>
      </c>
      <c r="O221" s="80">
        <v>240</v>
      </c>
      <c r="P221" s="80">
        <v>160</v>
      </c>
      <c r="Q221" s="80">
        <f t="shared" si="34"/>
        <v>195</v>
      </c>
      <c r="R221" s="80">
        <f t="shared" si="35"/>
        <v>100</v>
      </c>
      <c r="S221" s="78">
        <f t="shared" si="36"/>
        <v>695</v>
      </c>
      <c r="T221" s="78">
        <f>50</f>
        <v>50</v>
      </c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</row>
    <row r="222" spans="1:30" ht="15.75" x14ac:dyDescent="0.25">
      <c r="A222" s="16">
        <v>47665</v>
      </c>
      <c r="B222" s="91">
        <v>31</v>
      </c>
      <c r="C222" s="78">
        <f>194.205</f>
        <v>194.20500000000001</v>
      </c>
      <c r="D222" s="78">
        <f>267.466</f>
        <v>267.46600000000001</v>
      </c>
      <c r="E222" s="86">
        <f>133.845</f>
        <v>133.845</v>
      </c>
      <c r="F222" s="78">
        <f>278.484-40-25-60</f>
        <v>153.48399999999998</v>
      </c>
      <c r="G222" s="80">
        <v>40</v>
      </c>
      <c r="H222" s="78">
        <f t="shared" si="37"/>
        <v>85</v>
      </c>
      <c r="I222" s="78">
        <f t="shared" si="29"/>
        <v>0</v>
      </c>
      <c r="J222" s="80">
        <v>100</v>
      </c>
      <c r="K222" s="80">
        <v>300</v>
      </c>
      <c r="L222" s="78">
        <f t="shared" si="33"/>
        <v>1274</v>
      </c>
      <c r="M222" s="88">
        <v>600</v>
      </c>
      <c r="N222" s="78">
        <f>30</f>
        <v>30</v>
      </c>
      <c r="O222" s="80">
        <v>240</v>
      </c>
      <c r="P222" s="80">
        <v>160</v>
      </c>
      <c r="Q222" s="80">
        <f t="shared" si="34"/>
        <v>195</v>
      </c>
      <c r="R222" s="80">
        <f t="shared" si="35"/>
        <v>100</v>
      </c>
      <c r="S222" s="78">
        <f t="shared" si="36"/>
        <v>695</v>
      </c>
      <c r="T222" s="78">
        <f>0</f>
        <v>0</v>
      </c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</row>
    <row r="223" spans="1:30" ht="15.75" x14ac:dyDescent="0.25">
      <c r="A223" s="16">
        <v>47696</v>
      </c>
      <c r="B223" s="91">
        <v>31</v>
      </c>
      <c r="C223" s="78">
        <f>194.205</f>
        <v>194.20500000000001</v>
      </c>
      <c r="D223" s="78">
        <f>267.466</f>
        <v>267.46600000000001</v>
      </c>
      <c r="E223" s="86">
        <f>133.845</f>
        <v>133.845</v>
      </c>
      <c r="F223" s="78">
        <f>278.484-40-25-60</f>
        <v>153.48399999999998</v>
      </c>
      <c r="G223" s="80">
        <v>40</v>
      </c>
      <c r="H223" s="78">
        <f t="shared" si="37"/>
        <v>85</v>
      </c>
      <c r="I223" s="78">
        <f t="shared" si="29"/>
        <v>0</v>
      </c>
      <c r="J223" s="80">
        <v>100</v>
      </c>
      <c r="K223" s="80">
        <v>300</v>
      </c>
      <c r="L223" s="78">
        <f t="shared" si="33"/>
        <v>1274</v>
      </c>
      <c r="M223" s="88">
        <v>600</v>
      </c>
      <c r="N223" s="78">
        <f>30</f>
        <v>30</v>
      </c>
      <c r="O223" s="80">
        <v>240</v>
      </c>
      <c r="P223" s="80">
        <v>160</v>
      </c>
      <c r="Q223" s="80">
        <f t="shared" si="34"/>
        <v>195</v>
      </c>
      <c r="R223" s="80">
        <f t="shared" si="35"/>
        <v>100</v>
      </c>
      <c r="S223" s="78">
        <f t="shared" si="36"/>
        <v>695</v>
      </c>
      <c r="T223" s="78">
        <f>0</f>
        <v>0</v>
      </c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</row>
    <row r="224" spans="1:30" ht="15.75" x14ac:dyDescent="0.25">
      <c r="A224" s="16">
        <v>47727</v>
      </c>
      <c r="B224" s="91">
        <v>30</v>
      </c>
      <c r="C224" s="78">
        <f>194.205</f>
        <v>194.20500000000001</v>
      </c>
      <c r="D224" s="78">
        <f>267.466</f>
        <v>267.46600000000001</v>
      </c>
      <c r="E224" s="86">
        <f>133.845</f>
        <v>133.845</v>
      </c>
      <c r="F224" s="78">
        <f>278.484-40-25-60</f>
        <v>153.48399999999998</v>
      </c>
      <c r="G224" s="80">
        <v>40</v>
      </c>
      <c r="H224" s="78">
        <f t="shared" si="37"/>
        <v>85</v>
      </c>
      <c r="I224" s="78">
        <f t="shared" si="29"/>
        <v>0</v>
      </c>
      <c r="J224" s="80">
        <v>100</v>
      </c>
      <c r="K224" s="80">
        <v>300</v>
      </c>
      <c r="L224" s="78">
        <f t="shared" si="33"/>
        <v>1274</v>
      </c>
      <c r="M224" s="88">
        <v>600</v>
      </c>
      <c r="N224" s="78">
        <f>30</f>
        <v>30</v>
      </c>
      <c r="O224" s="80">
        <v>240</v>
      </c>
      <c r="P224" s="80">
        <v>160</v>
      </c>
      <c r="Q224" s="80">
        <f t="shared" si="34"/>
        <v>195</v>
      </c>
      <c r="R224" s="80">
        <f t="shared" si="35"/>
        <v>100</v>
      </c>
      <c r="S224" s="78">
        <f t="shared" si="36"/>
        <v>695</v>
      </c>
      <c r="T224" s="78">
        <f>0</f>
        <v>0</v>
      </c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</row>
    <row r="225" spans="1:30" ht="15.75" x14ac:dyDescent="0.25">
      <c r="A225" s="16">
        <v>47757</v>
      </c>
      <c r="B225" s="91">
        <v>31</v>
      </c>
      <c r="C225" s="78">
        <f>131.881</f>
        <v>131.881</v>
      </c>
      <c r="D225" s="78">
        <f>277.167</f>
        <v>277.16699999999997</v>
      </c>
      <c r="E225" s="86">
        <f>79.08</f>
        <v>79.08</v>
      </c>
      <c r="F225" s="78">
        <f>350.872-40-25-60</f>
        <v>225.87200000000001</v>
      </c>
      <c r="G225" s="80">
        <v>40</v>
      </c>
      <c r="H225" s="78">
        <f t="shared" si="37"/>
        <v>85</v>
      </c>
      <c r="I225" s="78">
        <f t="shared" si="29"/>
        <v>0</v>
      </c>
      <c r="J225" s="80">
        <v>100</v>
      </c>
      <c r="K225" s="80">
        <v>300</v>
      </c>
      <c r="L225" s="78">
        <f t="shared" si="33"/>
        <v>1239</v>
      </c>
      <c r="M225" s="88">
        <v>600</v>
      </c>
      <c r="N225" s="78">
        <f>75</f>
        <v>75</v>
      </c>
      <c r="O225" s="80">
        <v>240</v>
      </c>
      <c r="P225" s="80">
        <v>160</v>
      </c>
      <c r="Q225" s="80">
        <f t="shared" si="34"/>
        <v>195</v>
      </c>
      <c r="R225" s="80">
        <f t="shared" si="35"/>
        <v>100</v>
      </c>
      <c r="S225" s="78">
        <f t="shared" si="36"/>
        <v>695</v>
      </c>
      <c r="T225" s="78">
        <f>0</f>
        <v>0</v>
      </c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</row>
    <row r="226" spans="1:30" ht="15.75" x14ac:dyDescent="0.25">
      <c r="A226" s="16">
        <v>47788</v>
      </c>
      <c r="B226" s="91">
        <v>30</v>
      </c>
      <c r="C226" s="78">
        <f>122.58</f>
        <v>122.58</v>
      </c>
      <c r="D226" s="78">
        <f>297.941</f>
        <v>297.94099999999997</v>
      </c>
      <c r="E226" s="86">
        <f>89.177</f>
        <v>89.177000000000007</v>
      </c>
      <c r="F226" s="78">
        <f>240.302-40-60</f>
        <v>140.30199999999999</v>
      </c>
      <c r="G226" s="80">
        <v>40</v>
      </c>
      <c r="H226" s="78">
        <v>60</v>
      </c>
      <c r="I226" s="78">
        <f t="shared" si="29"/>
        <v>0</v>
      </c>
      <c r="J226" s="80">
        <v>100</v>
      </c>
      <c r="K226" s="80">
        <v>300</v>
      </c>
      <c r="L226" s="78">
        <f t="shared" si="33"/>
        <v>1150</v>
      </c>
      <c r="M226" s="88">
        <v>600</v>
      </c>
      <c r="N226" s="78">
        <f>100</f>
        <v>100</v>
      </c>
      <c r="O226" s="80">
        <v>240</v>
      </c>
      <c r="P226" s="80">
        <v>40</v>
      </c>
      <c r="Q226" s="80">
        <f t="shared" si="34"/>
        <v>315</v>
      </c>
      <c r="R226" s="80">
        <f t="shared" si="35"/>
        <v>100</v>
      </c>
      <c r="S226" s="78">
        <f t="shared" si="36"/>
        <v>695</v>
      </c>
      <c r="T226" s="78">
        <f>50</f>
        <v>50</v>
      </c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</row>
    <row r="227" spans="1:30" ht="15.75" x14ac:dyDescent="0.25">
      <c r="A227" s="16">
        <v>47818</v>
      </c>
      <c r="B227" s="91">
        <v>31</v>
      </c>
      <c r="C227" s="78">
        <f>122.58</f>
        <v>122.58</v>
      </c>
      <c r="D227" s="78">
        <f>297.941</f>
        <v>297.94099999999997</v>
      </c>
      <c r="E227" s="86">
        <f>89.177</f>
        <v>89.177000000000007</v>
      </c>
      <c r="F227" s="78">
        <f>240.302-40-60</f>
        <v>140.30199999999999</v>
      </c>
      <c r="G227" s="80">
        <v>40</v>
      </c>
      <c r="H227" s="78">
        <v>60</v>
      </c>
      <c r="I227" s="78">
        <f t="shared" si="29"/>
        <v>0</v>
      </c>
      <c r="J227" s="80">
        <v>100</v>
      </c>
      <c r="K227" s="80">
        <v>300</v>
      </c>
      <c r="L227" s="78">
        <f t="shared" si="33"/>
        <v>1150</v>
      </c>
      <c r="M227" s="88">
        <v>600</v>
      </c>
      <c r="N227" s="78">
        <f>100</f>
        <v>100</v>
      </c>
      <c r="O227" s="80">
        <v>240</v>
      </c>
      <c r="P227" s="80">
        <v>40</v>
      </c>
      <c r="Q227" s="80">
        <f t="shared" si="34"/>
        <v>315</v>
      </c>
      <c r="R227" s="80">
        <f t="shared" si="35"/>
        <v>100</v>
      </c>
      <c r="S227" s="78">
        <f t="shared" si="36"/>
        <v>695</v>
      </c>
      <c r="T227" s="78">
        <f>50</f>
        <v>50</v>
      </c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</row>
    <row r="228" spans="1:30" ht="15.75" x14ac:dyDescent="0.25">
      <c r="A228" s="16">
        <v>47849</v>
      </c>
      <c r="B228" s="91">
        <v>31</v>
      </c>
      <c r="C228" s="78">
        <f>122.58</f>
        <v>122.58</v>
      </c>
      <c r="D228" s="78">
        <f>297.941</f>
        <v>297.94099999999997</v>
      </c>
      <c r="E228" s="86">
        <f>89.177</f>
        <v>89.177000000000007</v>
      </c>
      <c r="F228" s="78">
        <f>240.302-40-60</f>
        <v>140.30199999999999</v>
      </c>
      <c r="G228" s="80">
        <v>40</v>
      </c>
      <c r="H228" s="78">
        <v>60</v>
      </c>
      <c r="I228" s="78">
        <f t="shared" si="29"/>
        <v>0</v>
      </c>
      <c r="J228" s="80">
        <v>100</v>
      </c>
      <c r="K228" s="80">
        <v>300</v>
      </c>
      <c r="L228" s="78">
        <f t="shared" si="33"/>
        <v>1150</v>
      </c>
      <c r="M228" s="88">
        <v>600</v>
      </c>
      <c r="N228" s="78">
        <f>100</f>
        <v>100</v>
      </c>
      <c r="O228" s="80">
        <v>240</v>
      </c>
      <c r="P228" s="80">
        <v>40</v>
      </c>
      <c r="Q228" s="80">
        <f t="shared" si="34"/>
        <v>315</v>
      </c>
      <c r="R228" s="80">
        <f t="shared" si="35"/>
        <v>100</v>
      </c>
      <c r="S228" s="78">
        <f t="shared" si="36"/>
        <v>695</v>
      </c>
      <c r="T228" s="78">
        <f>50</f>
        <v>50</v>
      </c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</row>
    <row r="229" spans="1:30" ht="15.75" x14ac:dyDescent="0.25">
      <c r="A229" s="16">
        <v>47880</v>
      </c>
      <c r="B229" s="91">
        <v>28</v>
      </c>
      <c r="C229" s="78">
        <f>122.58</f>
        <v>122.58</v>
      </c>
      <c r="D229" s="78">
        <f>297.941</f>
        <v>297.94099999999997</v>
      </c>
      <c r="E229" s="86">
        <f>89.177</f>
        <v>89.177000000000007</v>
      </c>
      <c r="F229" s="78">
        <f>240.302-40-60</f>
        <v>140.30199999999999</v>
      </c>
      <c r="G229" s="80">
        <v>40</v>
      </c>
      <c r="H229" s="78">
        <v>60</v>
      </c>
      <c r="I229" s="78">
        <f t="shared" si="29"/>
        <v>0</v>
      </c>
      <c r="J229" s="80">
        <v>100</v>
      </c>
      <c r="K229" s="80">
        <v>300</v>
      </c>
      <c r="L229" s="78">
        <f t="shared" si="33"/>
        <v>1150</v>
      </c>
      <c r="M229" s="88">
        <v>600</v>
      </c>
      <c r="N229" s="78">
        <f>100</f>
        <v>100</v>
      </c>
      <c r="O229" s="80">
        <v>240</v>
      </c>
      <c r="P229" s="80">
        <v>40</v>
      </c>
      <c r="Q229" s="80">
        <f t="shared" si="34"/>
        <v>315</v>
      </c>
      <c r="R229" s="80">
        <f t="shared" si="35"/>
        <v>100</v>
      </c>
      <c r="S229" s="78">
        <f t="shared" si="36"/>
        <v>695</v>
      </c>
      <c r="T229" s="78">
        <f>50</f>
        <v>50</v>
      </c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</row>
    <row r="230" spans="1:30" ht="15.75" x14ac:dyDescent="0.25">
      <c r="A230" s="16">
        <v>47908</v>
      </c>
      <c r="B230" s="91">
        <v>31</v>
      </c>
      <c r="C230" s="78">
        <f>122.58</f>
        <v>122.58</v>
      </c>
      <c r="D230" s="78">
        <f>297.941</f>
        <v>297.94099999999997</v>
      </c>
      <c r="E230" s="86">
        <f>89.177</f>
        <v>89.177000000000007</v>
      </c>
      <c r="F230" s="78">
        <f>240.302-40-60</f>
        <v>140.30199999999999</v>
      </c>
      <c r="G230" s="80">
        <v>40</v>
      </c>
      <c r="H230" s="78">
        <v>60</v>
      </c>
      <c r="I230" s="78">
        <f t="shared" si="29"/>
        <v>0</v>
      </c>
      <c r="J230" s="80">
        <v>100</v>
      </c>
      <c r="K230" s="80">
        <v>300</v>
      </c>
      <c r="L230" s="78">
        <f t="shared" si="33"/>
        <v>1150</v>
      </c>
      <c r="M230" s="88">
        <v>600</v>
      </c>
      <c r="N230" s="78">
        <f>100</f>
        <v>100</v>
      </c>
      <c r="O230" s="80">
        <v>240</v>
      </c>
      <c r="P230" s="80">
        <v>40</v>
      </c>
      <c r="Q230" s="80">
        <f t="shared" si="34"/>
        <v>315</v>
      </c>
      <c r="R230" s="80">
        <f t="shared" si="35"/>
        <v>100</v>
      </c>
      <c r="S230" s="78">
        <f t="shared" si="36"/>
        <v>695</v>
      </c>
      <c r="T230" s="78">
        <f>50</f>
        <v>50</v>
      </c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</row>
    <row r="231" spans="1:30" ht="15.75" x14ac:dyDescent="0.25">
      <c r="A231" s="16">
        <v>47939</v>
      </c>
      <c r="B231" s="91">
        <v>30</v>
      </c>
      <c r="C231" s="78">
        <f>141.293</f>
        <v>141.29300000000001</v>
      </c>
      <c r="D231" s="78">
        <f>267.993</f>
        <v>267.99299999999999</v>
      </c>
      <c r="E231" s="86">
        <f>115.016</f>
        <v>115.01600000000001</v>
      </c>
      <c r="F231" s="78">
        <f>314.698-40-25-60</f>
        <v>189.69799999999998</v>
      </c>
      <c r="G231" s="80">
        <v>40</v>
      </c>
      <c r="H231" s="78">
        <f t="shared" ref="H231:H237" si="38">25+60</f>
        <v>85</v>
      </c>
      <c r="I231" s="78">
        <f t="shared" si="29"/>
        <v>0</v>
      </c>
      <c r="J231" s="80">
        <v>100</v>
      </c>
      <c r="K231" s="80">
        <v>300</v>
      </c>
      <c r="L231" s="78">
        <f t="shared" si="33"/>
        <v>1239</v>
      </c>
      <c r="M231" s="88">
        <v>600</v>
      </c>
      <c r="N231" s="78">
        <f>100</f>
        <v>100</v>
      </c>
      <c r="O231" s="80">
        <v>240</v>
      </c>
      <c r="P231" s="80">
        <v>160</v>
      </c>
      <c r="Q231" s="80">
        <f t="shared" si="34"/>
        <v>195</v>
      </c>
      <c r="R231" s="80">
        <f t="shared" si="35"/>
        <v>100</v>
      </c>
      <c r="S231" s="78">
        <f t="shared" si="36"/>
        <v>695</v>
      </c>
      <c r="T231" s="78">
        <f>50</f>
        <v>50</v>
      </c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</row>
    <row r="232" spans="1:30" ht="15.75" x14ac:dyDescent="0.25">
      <c r="A232" s="16">
        <v>47969</v>
      </c>
      <c r="B232" s="91">
        <v>31</v>
      </c>
      <c r="C232" s="78">
        <f>194.205</f>
        <v>194.20500000000001</v>
      </c>
      <c r="D232" s="78">
        <f>267.466</f>
        <v>267.46600000000001</v>
      </c>
      <c r="E232" s="86">
        <f>133.845</f>
        <v>133.845</v>
      </c>
      <c r="F232" s="78">
        <f>278.484-40-25-60</f>
        <v>153.48399999999998</v>
      </c>
      <c r="G232" s="80">
        <v>40</v>
      </c>
      <c r="H232" s="78">
        <f t="shared" si="38"/>
        <v>85</v>
      </c>
      <c r="I232" s="78">
        <f t="shared" si="29"/>
        <v>0</v>
      </c>
      <c r="J232" s="80">
        <v>100</v>
      </c>
      <c r="K232" s="80">
        <v>300</v>
      </c>
      <c r="L232" s="78">
        <f t="shared" si="33"/>
        <v>1274</v>
      </c>
      <c r="M232" s="88">
        <v>600</v>
      </c>
      <c r="N232" s="78">
        <f>75</f>
        <v>75</v>
      </c>
      <c r="O232" s="80">
        <v>240</v>
      </c>
      <c r="P232" s="80">
        <v>160</v>
      </c>
      <c r="Q232" s="80">
        <f t="shared" si="34"/>
        <v>195</v>
      </c>
      <c r="R232" s="80">
        <f t="shared" si="35"/>
        <v>100</v>
      </c>
      <c r="S232" s="78">
        <f t="shared" si="36"/>
        <v>695</v>
      </c>
      <c r="T232" s="78">
        <f>50</f>
        <v>50</v>
      </c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</row>
    <row r="233" spans="1:30" ht="15.75" x14ac:dyDescent="0.25">
      <c r="A233" s="16">
        <v>48000</v>
      </c>
      <c r="B233" s="91">
        <v>30</v>
      </c>
      <c r="C233" s="78">
        <f>194.205</f>
        <v>194.20500000000001</v>
      </c>
      <c r="D233" s="78">
        <f>267.466</f>
        <v>267.46600000000001</v>
      </c>
      <c r="E233" s="86">
        <f>133.845</f>
        <v>133.845</v>
      </c>
      <c r="F233" s="78">
        <f>278.484-40-25-60</f>
        <v>153.48399999999998</v>
      </c>
      <c r="G233" s="80">
        <v>40</v>
      </c>
      <c r="H233" s="78">
        <f t="shared" si="38"/>
        <v>85</v>
      </c>
      <c r="I233" s="78">
        <f t="shared" si="29"/>
        <v>0</v>
      </c>
      <c r="J233" s="80">
        <v>100</v>
      </c>
      <c r="K233" s="80">
        <v>300</v>
      </c>
      <c r="L233" s="78">
        <f t="shared" si="33"/>
        <v>1274</v>
      </c>
      <c r="M233" s="88">
        <v>600</v>
      </c>
      <c r="N233" s="78">
        <f>30</f>
        <v>30</v>
      </c>
      <c r="O233" s="80">
        <v>240</v>
      </c>
      <c r="P233" s="80">
        <v>160</v>
      </c>
      <c r="Q233" s="80">
        <f t="shared" si="34"/>
        <v>195</v>
      </c>
      <c r="R233" s="80">
        <f t="shared" si="35"/>
        <v>100</v>
      </c>
      <c r="S233" s="78">
        <f t="shared" si="36"/>
        <v>695</v>
      </c>
      <c r="T233" s="78">
        <f>50</f>
        <v>50</v>
      </c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</row>
    <row r="234" spans="1:30" ht="15.75" x14ac:dyDescent="0.25">
      <c r="A234" s="16">
        <v>48030</v>
      </c>
      <c r="B234" s="91">
        <v>31</v>
      </c>
      <c r="C234" s="78">
        <f>194.205</f>
        <v>194.20500000000001</v>
      </c>
      <c r="D234" s="78">
        <f>267.466</f>
        <v>267.46600000000001</v>
      </c>
      <c r="E234" s="86">
        <f>133.845</f>
        <v>133.845</v>
      </c>
      <c r="F234" s="78">
        <f>278.484-40-25-60</f>
        <v>153.48399999999998</v>
      </c>
      <c r="G234" s="80">
        <v>40</v>
      </c>
      <c r="H234" s="78">
        <f t="shared" si="38"/>
        <v>85</v>
      </c>
      <c r="I234" s="78">
        <f t="shared" si="29"/>
        <v>0</v>
      </c>
      <c r="J234" s="80">
        <v>100</v>
      </c>
      <c r="K234" s="80">
        <v>300</v>
      </c>
      <c r="L234" s="78">
        <f t="shared" si="33"/>
        <v>1274</v>
      </c>
      <c r="M234" s="88">
        <v>600</v>
      </c>
      <c r="N234" s="78">
        <f>30</f>
        <v>30</v>
      </c>
      <c r="O234" s="80">
        <v>240</v>
      </c>
      <c r="P234" s="80">
        <v>160</v>
      </c>
      <c r="Q234" s="80">
        <f t="shared" si="34"/>
        <v>195</v>
      </c>
      <c r="R234" s="80">
        <f t="shared" si="35"/>
        <v>100</v>
      </c>
      <c r="S234" s="78">
        <f t="shared" si="36"/>
        <v>695</v>
      </c>
      <c r="T234" s="78">
        <f>0</f>
        <v>0</v>
      </c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</row>
    <row r="235" spans="1:30" ht="15.75" x14ac:dyDescent="0.25">
      <c r="A235" s="16">
        <v>48061</v>
      </c>
      <c r="B235" s="91">
        <v>31</v>
      </c>
      <c r="C235" s="78">
        <f>194.205</f>
        <v>194.20500000000001</v>
      </c>
      <c r="D235" s="78">
        <f>267.466</f>
        <v>267.46600000000001</v>
      </c>
      <c r="E235" s="86">
        <f>133.845</f>
        <v>133.845</v>
      </c>
      <c r="F235" s="78">
        <f>278.484-40-25-60</f>
        <v>153.48399999999998</v>
      </c>
      <c r="G235" s="80">
        <v>40</v>
      </c>
      <c r="H235" s="78">
        <f t="shared" si="38"/>
        <v>85</v>
      </c>
      <c r="I235" s="78">
        <f t="shared" si="29"/>
        <v>0</v>
      </c>
      <c r="J235" s="80">
        <v>100</v>
      </c>
      <c r="K235" s="80">
        <v>300</v>
      </c>
      <c r="L235" s="78">
        <f t="shared" si="33"/>
        <v>1274</v>
      </c>
      <c r="M235" s="88">
        <v>600</v>
      </c>
      <c r="N235" s="78">
        <f>30</f>
        <v>30</v>
      </c>
      <c r="O235" s="80">
        <v>240</v>
      </c>
      <c r="P235" s="80">
        <v>160</v>
      </c>
      <c r="Q235" s="80">
        <f t="shared" si="34"/>
        <v>195</v>
      </c>
      <c r="R235" s="80">
        <f t="shared" si="35"/>
        <v>100</v>
      </c>
      <c r="S235" s="78">
        <f t="shared" si="36"/>
        <v>695</v>
      </c>
      <c r="T235" s="78">
        <f>0</f>
        <v>0</v>
      </c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</row>
    <row r="236" spans="1:30" ht="15.75" x14ac:dyDescent="0.25">
      <c r="A236" s="16">
        <v>48092</v>
      </c>
      <c r="B236" s="91">
        <v>30</v>
      </c>
      <c r="C236" s="78">
        <f>194.205</f>
        <v>194.20500000000001</v>
      </c>
      <c r="D236" s="78">
        <f>267.466</f>
        <v>267.46600000000001</v>
      </c>
      <c r="E236" s="86">
        <f>133.845</f>
        <v>133.845</v>
      </c>
      <c r="F236" s="78">
        <f>278.484-40-25-60</f>
        <v>153.48399999999998</v>
      </c>
      <c r="G236" s="80">
        <v>40</v>
      </c>
      <c r="H236" s="78">
        <f t="shared" si="38"/>
        <v>85</v>
      </c>
      <c r="I236" s="78">
        <f t="shared" si="29"/>
        <v>0</v>
      </c>
      <c r="J236" s="80">
        <v>100</v>
      </c>
      <c r="K236" s="80">
        <v>300</v>
      </c>
      <c r="L236" s="78">
        <f t="shared" si="33"/>
        <v>1274</v>
      </c>
      <c r="M236" s="88">
        <v>600</v>
      </c>
      <c r="N236" s="78">
        <f>30</f>
        <v>30</v>
      </c>
      <c r="O236" s="80">
        <v>240</v>
      </c>
      <c r="P236" s="80">
        <v>160</v>
      </c>
      <c r="Q236" s="80">
        <f t="shared" si="34"/>
        <v>195</v>
      </c>
      <c r="R236" s="80">
        <f t="shared" si="35"/>
        <v>100</v>
      </c>
      <c r="S236" s="78">
        <f t="shared" si="36"/>
        <v>695</v>
      </c>
      <c r="T236" s="78">
        <f>0</f>
        <v>0</v>
      </c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</row>
    <row r="237" spans="1:30" ht="15.75" x14ac:dyDescent="0.25">
      <c r="A237" s="16">
        <v>48122</v>
      </c>
      <c r="B237" s="91">
        <v>31</v>
      </c>
      <c r="C237" s="78">
        <f>131.881</f>
        <v>131.881</v>
      </c>
      <c r="D237" s="78">
        <f>277.167</f>
        <v>277.16699999999997</v>
      </c>
      <c r="E237" s="86">
        <f>79.08</f>
        <v>79.08</v>
      </c>
      <c r="F237" s="78">
        <f>350.872-40-25-60</f>
        <v>225.87200000000001</v>
      </c>
      <c r="G237" s="80">
        <v>40</v>
      </c>
      <c r="H237" s="78">
        <f t="shared" si="38"/>
        <v>85</v>
      </c>
      <c r="I237" s="78">
        <f t="shared" si="29"/>
        <v>0</v>
      </c>
      <c r="J237" s="80">
        <v>100</v>
      </c>
      <c r="K237" s="80">
        <v>300</v>
      </c>
      <c r="L237" s="78">
        <f t="shared" si="33"/>
        <v>1239</v>
      </c>
      <c r="M237" s="88">
        <v>600</v>
      </c>
      <c r="N237" s="78">
        <f>75</f>
        <v>75</v>
      </c>
      <c r="O237" s="80">
        <v>240</v>
      </c>
      <c r="P237" s="80">
        <v>160</v>
      </c>
      <c r="Q237" s="80">
        <f t="shared" si="34"/>
        <v>195</v>
      </c>
      <c r="R237" s="80">
        <f t="shared" si="35"/>
        <v>100</v>
      </c>
      <c r="S237" s="78">
        <f t="shared" si="36"/>
        <v>695</v>
      </c>
      <c r="T237" s="78">
        <f>0</f>
        <v>0</v>
      </c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</row>
    <row r="238" spans="1:30" ht="15.75" x14ac:dyDescent="0.25">
      <c r="A238" s="16">
        <v>48153</v>
      </c>
      <c r="B238" s="91">
        <v>30</v>
      </c>
      <c r="C238" s="78">
        <f>122.58</f>
        <v>122.58</v>
      </c>
      <c r="D238" s="78">
        <f>297.941</f>
        <v>297.94099999999997</v>
      </c>
      <c r="E238" s="86">
        <f>89.177</f>
        <v>89.177000000000007</v>
      </c>
      <c r="F238" s="78">
        <f>240.302-40-60</f>
        <v>140.30199999999999</v>
      </c>
      <c r="G238" s="80">
        <v>40</v>
      </c>
      <c r="H238" s="78">
        <v>60</v>
      </c>
      <c r="I238" s="78">
        <f t="shared" si="29"/>
        <v>0</v>
      </c>
      <c r="J238" s="80">
        <v>100</v>
      </c>
      <c r="K238" s="80">
        <v>300</v>
      </c>
      <c r="L238" s="78">
        <f t="shared" si="33"/>
        <v>1150</v>
      </c>
      <c r="M238" s="88">
        <v>600</v>
      </c>
      <c r="N238" s="78">
        <f>100</f>
        <v>100</v>
      </c>
      <c r="O238" s="80">
        <v>240</v>
      </c>
      <c r="P238" s="80">
        <v>40</v>
      </c>
      <c r="Q238" s="80">
        <f t="shared" si="34"/>
        <v>315</v>
      </c>
      <c r="R238" s="80">
        <f t="shared" si="35"/>
        <v>100</v>
      </c>
      <c r="S238" s="78">
        <f t="shared" si="36"/>
        <v>695</v>
      </c>
      <c r="T238" s="78">
        <f>50</f>
        <v>50</v>
      </c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</row>
    <row r="239" spans="1:30" ht="15.75" x14ac:dyDescent="0.25">
      <c r="A239" s="16">
        <v>48183</v>
      </c>
      <c r="B239" s="91">
        <v>31</v>
      </c>
      <c r="C239" s="78">
        <f>122.58</f>
        <v>122.58</v>
      </c>
      <c r="D239" s="78">
        <f>297.941</f>
        <v>297.94099999999997</v>
      </c>
      <c r="E239" s="86">
        <f>89.177</f>
        <v>89.177000000000007</v>
      </c>
      <c r="F239" s="78">
        <f>240.302-40-60</f>
        <v>140.30199999999999</v>
      </c>
      <c r="G239" s="80">
        <v>40</v>
      </c>
      <c r="H239" s="78">
        <v>60</v>
      </c>
      <c r="I239" s="78">
        <f t="shared" si="29"/>
        <v>0</v>
      </c>
      <c r="J239" s="80">
        <v>100</v>
      </c>
      <c r="K239" s="80">
        <v>300</v>
      </c>
      <c r="L239" s="78">
        <f t="shared" si="33"/>
        <v>1150</v>
      </c>
      <c r="M239" s="88">
        <v>600</v>
      </c>
      <c r="N239" s="78">
        <f>100</f>
        <v>100</v>
      </c>
      <c r="O239" s="80">
        <v>240</v>
      </c>
      <c r="P239" s="80">
        <v>40</v>
      </c>
      <c r="Q239" s="80">
        <f t="shared" si="34"/>
        <v>315</v>
      </c>
      <c r="R239" s="80">
        <f t="shared" si="35"/>
        <v>100</v>
      </c>
      <c r="S239" s="78">
        <f t="shared" si="36"/>
        <v>695</v>
      </c>
      <c r="T239" s="78">
        <f>50</f>
        <v>50</v>
      </c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</row>
    <row r="240" spans="1:30" ht="15.75" x14ac:dyDescent="0.25">
      <c r="A240" s="16">
        <v>48214</v>
      </c>
      <c r="B240" s="91">
        <v>31</v>
      </c>
      <c r="C240" s="78">
        <f>122.58</f>
        <v>122.58</v>
      </c>
      <c r="D240" s="78">
        <f>297.941</f>
        <v>297.94099999999997</v>
      </c>
      <c r="E240" s="86">
        <f>89.177</f>
        <v>89.177000000000007</v>
      </c>
      <c r="F240" s="78">
        <f>240.302-40-60</f>
        <v>140.30199999999999</v>
      </c>
      <c r="G240" s="80">
        <v>40</v>
      </c>
      <c r="H240" s="78">
        <v>60</v>
      </c>
      <c r="I240" s="78">
        <f t="shared" si="29"/>
        <v>0</v>
      </c>
      <c r="J240" s="80">
        <v>100</v>
      </c>
      <c r="K240" s="80">
        <v>300</v>
      </c>
      <c r="L240" s="78">
        <f t="shared" si="33"/>
        <v>1150</v>
      </c>
      <c r="M240" s="88">
        <v>600</v>
      </c>
      <c r="N240" s="78">
        <f>100</f>
        <v>100</v>
      </c>
      <c r="O240" s="80">
        <v>240</v>
      </c>
      <c r="P240" s="80">
        <v>40</v>
      </c>
      <c r="Q240" s="80">
        <f t="shared" si="34"/>
        <v>315</v>
      </c>
      <c r="R240" s="80">
        <f t="shared" si="35"/>
        <v>100</v>
      </c>
      <c r="S240" s="78">
        <f t="shared" si="36"/>
        <v>695</v>
      </c>
      <c r="T240" s="78">
        <f>50</f>
        <v>50</v>
      </c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</row>
    <row r="241" spans="1:30" ht="15.75" x14ac:dyDescent="0.25">
      <c r="A241" s="16">
        <v>48245</v>
      </c>
      <c r="B241" s="91">
        <v>29</v>
      </c>
      <c r="C241" s="78">
        <f>122.58</f>
        <v>122.58</v>
      </c>
      <c r="D241" s="78">
        <f>297.941</f>
        <v>297.94099999999997</v>
      </c>
      <c r="E241" s="86">
        <f>89.177</f>
        <v>89.177000000000007</v>
      </c>
      <c r="F241" s="78">
        <f>240.302-40-60</f>
        <v>140.30199999999999</v>
      </c>
      <c r="G241" s="80">
        <v>40</v>
      </c>
      <c r="H241" s="78">
        <v>60</v>
      </c>
      <c r="I241" s="78">
        <f t="shared" si="29"/>
        <v>0</v>
      </c>
      <c r="J241" s="80">
        <v>100</v>
      </c>
      <c r="K241" s="80">
        <v>300</v>
      </c>
      <c r="L241" s="78">
        <f t="shared" si="33"/>
        <v>1150</v>
      </c>
      <c r="M241" s="88">
        <v>600</v>
      </c>
      <c r="N241" s="78">
        <f>100</f>
        <v>100</v>
      </c>
      <c r="O241" s="80">
        <v>240</v>
      </c>
      <c r="P241" s="80">
        <v>40</v>
      </c>
      <c r="Q241" s="80">
        <f t="shared" si="34"/>
        <v>315</v>
      </c>
      <c r="R241" s="80">
        <f t="shared" si="35"/>
        <v>100</v>
      </c>
      <c r="S241" s="78">
        <f t="shared" si="36"/>
        <v>695</v>
      </c>
      <c r="T241" s="78">
        <f>50</f>
        <v>50</v>
      </c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</row>
    <row r="242" spans="1:30" ht="15.75" x14ac:dyDescent="0.25">
      <c r="A242" s="16">
        <v>48274</v>
      </c>
      <c r="B242" s="91">
        <v>31</v>
      </c>
      <c r="C242" s="78">
        <f>122.58</f>
        <v>122.58</v>
      </c>
      <c r="D242" s="78">
        <f>297.941</f>
        <v>297.94099999999997</v>
      </c>
      <c r="E242" s="86">
        <f>89.177</f>
        <v>89.177000000000007</v>
      </c>
      <c r="F242" s="78">
        <f>240.302-40-60</f>
        <v>140.30199999999999</v>
      </c>
      <c r="G242" s="80">
        <v>40</v>
      </c>
      <c r="H242" s="78">
        <v>60</v>
      </c>
      <c r="I242" s="78">
        <f t="shared" si="29"/>
        <v>0</v>
      </c>
      <c r="J242" s="80">
        <v>100</v>
      </c>
      <c r="K242" s="80">
        <v>300</v>
      </c>
      <c r="L242" s="78">
        <f t="shared" si="33"/>
        <v>1150</v>
      </c>
      <c r="M242" s="88">
        <v>600</v>
      </c>
      <c r="N242" s="78">
        <f>100</f>
        <v>100</v>
      </c>
      <c r="O242" s="80">
        <v>240</v>
      </c>
      <c r="P242" s="80">
        <v>40</v>
      </c>
      <c r="Q242" s="80">
        <f t="shared" si="34"/>
        <v>315</v>
      </c>
      <c r="R242" s="80">
        <f t="shared" si="35"/>
        <v>100</v>
      </c>
      <c r="S242" s="78">
        <f t="shared" si="36"/>
        <v>695</v>
      </c>
      <c r="T242" s="78">
        <f>50</f>
        <v>50</v>
      </c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</row>
    <row r="243" spans="1:30" ht="15.75" x14ac:dyDescent="0.25">
      <c r="A243" s="16">
        <v>48305</v>
      </c>
      <c r="B243" s="91">
        <v>30</v>
      </c>
      <c r="C243" s="78">
        <f>141.293</f>
        <v>141.29300000000001</v>
      </c>
      <c r="D243" s="78">
        <f>267.993</f>
        <v>267.99299999999999</v>
      </c>
      <c r="E243" s="86">
        <f>115.016</f>
        <v>115.01600000000001</v>
      </c>
      <c r="F243" s="78">
        <f>314.698-40-25-60</f>
        <v>189.69799999999998</v>
      </c>
      <c r="G243" s="80">
        <v>40</v>
      </c>
      <c r="H243" s="78">
        <f t="shared" ref="H243:H249" si="39">25+60</f>
        <v>85</v>
      </c>
      <c r="I243" s="78">
        <f t="shared" si="29"/>
        <v>0</v>
      </c>
      <c r="J243" s="80">
        <v>100</v>
      </c>
      <c r="K243" s="80">
        <v>300</v>
      </c>
      <c r="L243" s="78">
        <f t="shared" si="33"/>
        <v>1239</v>
      </c>
      <c r="M243" s="88">
        <v>600</v>
      </c>
      <c r="N243" s="78">
        <f>100</f>
        <v>100</v>
      </c>
      <c r="O243" s="80">
        <v>240</v>
      </c>
      <c r="P243" s="80">
        <v>160</v>
      </c>
      <c r="Q243" s="80">
        <f t="shared" si="34"/>
        <v>195</v>
      </c>
      <c r="R243" s="80">
        <f t="shared" si="35"/>
        <v>100</v>
      </c>
      <c r="S243" s="78">
        <f t="shared" si="36"/>
        <v>695</v>
      </c>
      <c r="T243" s="78">
        <f>50</f>
        <v>50</v>
      </c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</row>
    <row r="244" spans="1:30" ht="15.75" x14ac:dyDescent="0.25">
      <c r="A244" s="16">
        <v>48335</v>
      </c>
      <c r="B244" s="91">
        <v>31</v>
      </c>
      <c r="C244" s="78">
        <f>194.205</f>
        <v>194.20500000000001</v>
      </c>
      <c r="D244" s="78">
        <f>267.466</f>
        <v>267.46600000000001</v>
      </c>
      <c r="E244" s="86">
        <f>133.845</f>
        <v>133.845</v>
      </c>
      <c r="F244" s="78">
        <f>278.484-40-25-60</f>
        <v>153.48399999999998</v>
      </c>
      <c r="G244" s="80">
        <v>40</v>
      </c>
      <c r="H244" s="78">
        <f t="shared" si="39"/>
        <v>85</v>
      </c>
      <c r="I244" s="78">
        <f t="shared" ref="I244:I307" si="40">400-J244-K244</f>
        <v>0</v>
      </c>
      <c r="J244" s="80">
        <v>100</v>
      </c>
      <c r="K244" s="80">
        <v>300</v>
      </c>
      <c r="L244" s="78">
        <f t="shared" si="33"/>
        <v>1274</v>
      </c>
      <c r="M244" s="88">
        <v>600</v>
      </c>
      <c r="N244" s="78">
        <f>75</f>
        <v>75</v>
      </c>
      <c r="O244" s="80">
        <v>240</v>
      </c>
      <c r="P244" s="80">
        <v>160</v>
      </c>
      <c r="Q244" s="80">
        <f t="shared" si="34"/>
        <v>195</v>
      </c>
      <c r="R244" s="80">
        <f t="shared" si="35"/>
        <v>100</v>
      </c>
      <c r="S244" s="78">
        <f t="shared" si="36"/>
        <v>695</v>
      </c>
      <c r="T244" s="78">
        <f>50</f>
        <v>50</v>
      </c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</row>
    <row r="245" spans="1:30" ht="15.75" x14ac:dyDescent="0.25">
      <c r="A245" s="16">
        <v>48366</v>
      </c>
      <c r="B245" s="91">
        <v>30</v>
      </c>
      <c r="C245" s="78">
        <f>194.205</f>
        <v>194.20500000000001</v>
      </c>
      <c r="D245" s="78">
        <f>267.466</f>
        <v>267.46600000000001</v>
      </c>
      <c r="E245" s="86">
        <f>133.845</f>
        <v>133.845</v>
      </c>
      <c r="F245" s="78">
        <f>278.484-40-25-60</f>
        <v>153.48399999999998</v>
      </c>
      <c r="G245" s="80">
        <v>40</v>
      </c>
      <c r="H245" s="78">
        <f t="shared" si="39"/>
        <v>85</v>
      </c>
      <c r="I245" s="78">
        <f t="shared" si="40"/>
        <v>0</v>
      </c>
      <c r="J245" s="80">
        <v>100</v>
      </c>
      <c r="K245" s="80">
        <v>300</v>
      </c>
      <c r="L245" s="78">
        <f t="shared" si="33"/>
        <v>1274</v>
      </c>
      <c r="M245" s="88">
        <v>600</v>
      </c>
      <c r="N245" s="78">
        <f>30</f>
        <v>30</v>
      </c>
      <c r="O245" s="80">
        <v>240</v>
      </c>
      <c r="P245" s="80">
        <v>160</v>
      </c>
      <c r="Q245" s="80">
        <f t="shared" si="34"/>
        <v>195</v>
      </c>
      <c r="R245" s="80">
        <f t="shared" si="35"/>
        <v>100</v>
      </c>
      <c r="S245" s="78">
        <f t="shared" si="36"/>
        <v>695</v>
      </c>
      <c r="T245" s="78">
        <f>50</f>
        <v>50</v>
      </c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</row>
    <row r="246" spans="1:30" ht="15.75" x14ac:dyDescent="0.25">
      <c r="A246" s="16">
        <v>48396</v>
      </c>
      <c r="B246" s="91">
        <v>31</v>
      </c>
      <c r="C246" s="78">
        <f>194.205</f>
        <v>194.20500000000001</v>
      </c>
      <c r="D246" s="78">
        <f>267.466</f>
        <v>267.46600000000001</v>
      </c>
      <c r="E246" s="86">
        <f>133.845</f>
        <v>133.845</v>
      </c>
      <c r="F246" s="78">
        <f>278.484-40-25-60</f>
        <v>153.48399999999998</v>
      </c>
      <c r="G246" s="80">
        <v>40</v>
      </c>
      <c r="H246" s="78">
        <f t="shared" si="39"/>
        <v>85</v>
      </c>
      <c r="I246" s="78">
        <f t="shared" si="40"/>
        <v>0</v>
      </c>
      <c r="J246" s="80">
        <v>100</v>
      </c>
      <c r="K246" s="80">
        <v>300</v>
      </c>
      <c r="L246" s="78">
        <f t="shared" si="33"/>
        <v>1274</v>
      </c>
      <c r="M246" s="88">
        <v>600</v>
      </c>
      <c r="N246" s="78">
        <f>30</f>
        <v>30</v>
      </c>
      <c r="O246" s="80">
        <v>240</v>
      </c>
      <c r="P246" s="80">
        <v>160</v>
      </c>
      <c r="Q246" s="80">
        <f t="shared" si="34"/>
        <v>195</v>
      </c>
      <c r="R246" s="80">
        <f t="shared" si="35"/>
        <v>100</v>
      </c>
      <c r="S246" s="78">
        <f t="shared" si="36"/>
        <v>695</v>
      </c>
      <c r="T246" s="78">
        <f>0</f>
        <v>0</v>
      </c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</row>
    <row r="247" spans="1:30" ht="15.75" x14ac:dyDescent="0.25">
      <c r="A247" s="16">
        <v>48427</v>
      </c>
      <c r="B247" s="91">
        <v>31</v>
      </c>
      <c r="C247" s="78">
        <f>194.205</f>
        <v>194.20500000000001</v>
      </c>
      <c r="D247" s="78">
        <f>267.466</f>
        <v>267.46600000000001</v>
      </c>
      <c r="E247" s="86">
        <f>133.845</f>
        <v>133.845</v>
      </c>
      <c r="F247" s="78">
        <f>278.484-40-25-60</f>
        <v>153.48399999999998</v>
      </c>
      <c r="G247" s="80">
        <v>40</v>
      </c>
      <c r="H247" s="78">
        <f t="shared" si="39"/>
        <v>85</v>
      </c>
      <c r="I247" s="78">
        <f t="shared" si="40"/>
        <v>0</v>
      </c>
      <c r="J247" s="80">
        <v>100</v>
      </c>
      <c r="K247" s="80">
        <v>300</v>
      </c>
      <c r="L247" s="78">
        <f t="shared" si="33"/>
        <v>1274</v>
      </c>
      <c r="M247" s="88">
        <v>600</v>
      </c>
      <c r="N247" s="78">
        <f>30</f>
        <v>30</v>
      </c>
      <c r="O247" s="80">
        <v>240</v>
      </c>
      <c r="P247" s="80">
        <v>160</v>
      </c>
      <c r="Q247" s="80">
        <f t="shared" si="34"/>
        <v>195</v>
      </c>
      <c r="R247" s="80">
        <f t="shared" si="35"/>
        <v>100</v>
      </c>
      <c r="S247" s="78">
        <f t="shared" si="36"/>
        <v>695</v>
      </c>
      <c r="T247" s="78">
        <f>0</f>
        <v>0</v>
      </c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</row>
    <row r="248" spans="1:30" ht="15.75" x14ac:dyDescent="0.25">
      <c r="A248" s="16">
        <v>48458</v>
      </c>
      <c r="B248" s="91">
        <v>30</v>
      </c>
      <c r="C248" s="78">
        <f>194.205</f>
        <v>194.20500000000001</v>
      </c>
      <c r="D248" s="78">
        <f>267.466</f>
        <v>267.46600000000001</v>
      </c>
      <c r="E248" s="86">
        <f>133.845</f>
        <v>133.845</v>
      </c>
      <c r="F248" s="78">
        <f>278.484-40-25-60</f>
        <v>153.48399999999998</v>
      </c>
      <c r="G248" s="80">
        <v>40</v>
      </c>
      <c r="H248" s="78">
        <f t="shared" si="39"/>
        <v>85</v>
      </c>
      <c r="I248" s="78">
        <f t="shared" si="40"/>
        <v>0</v>
      </c>
      <c r="J248" s="80">
        <v>100</v>
      </c>
      <c r="K248" s="80">
        <v>300</v>
      </c>
      <c r="L248" s="78">
        <f t="shared" si="33"/>
        <v>1274</v>
      </c>
      <c r="M248" s="88">
        <v>600</v>
      </c>
      <c r="N248" s="78">
        <f>30</f>
        <v>30</v>
      </c>
      <c r="O248" s="80">
        <v>240</v>
      </c>
      <c r="P248" s="80">
        <v>160</v>
      </c>
      <c r="Q248" s="80">
        <f t="shared" si="34"/>
        <v>195</v>
      </c>
      <c r="R248" s="80">
        <f t="shared" si="35"/>
        <v>100</v>
      </c>
      <c r="S248" s="78">
        <f t="shared" si="36"/>
        <v>695</v>
      </c>
      <c r="T248" s="78">
        <f>0</f>
        <v>0</v>
      </c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</row>
    <row r="249" spans="1:30" ht="15.75" x14ac:dyDescent="0.25">
      <c r="A249" s="16">
        <v>48488</v>
      </c>
      <c r="B249" s="91">
        <v>31</v>
      </c>
      <c r="C249" s="78">
        <f>131.881</f>
        <v>131.881</v>
      </c>
      <c r="D249" s="78">
        <f>277.167</f>
        <v>277.16699999999997</v>
      </c>
      <c r="E249" s="86">
        <f>79.08</f>
        <v>79.08</v>
      </c>
      <c r="F249" s="78">
        <f>350.872-40-25-60</f>
        <v>225.87200000000001</v>
      </c>
      <c r="G249" s="80">
        <v>40</v>
      </c>
      <c r="H249" s="78">
        <f t="shared" si="39"/>
        <v>85</v>
      </c>
      <c r="I249" s="78">
        <f t="shared" si="40"/>
        <v>0</v>
      </c>
      <c r="J249" s="80">
        <v>100</v>
      </c>
      <c r="K249" s="80">
        <v>300</v>
      </c>
      <c r="L249" s="78">
        <f t="shared" si="33"/>
        <v>1239</v>
      </c>
      <c r="M249" s="88">
        <v>600</v>
      </c>
      <c r="N249" s="78">
        <f>75</f>
        <v>75</v>
      </c>
      <c r="O249" s="80">
        <v>240</v>
      </c>
      <c r="P249" s="80">
        <v>160</v>
      </c>
      <c r="Q249" s="80">
        <f t="shared" si="34"/>
        <v>195</v>
      </c>
      <c r="R249" s="80">
        <f t="shared" si="35"/>
        <v>100</v>
      </c>
      <c r="S249" s="78">
        <f t="shared" si="36"/>
        <v>695</v>
      </c>
      <c r="T249" s="78">
        <f>0</f>
        <v>0</v>
      </c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</row>
    <row r="250" spans="1:30" ht="15.75" x14ac:dyDescent="0.25">
      <c r="A250" s="16">
        <v>48519</v>
      </c>
      <c r="B250" s="91">
        <v>30</v>
      </c>
      <c r="C250" s="78">
        <f>122.58</f>
        <v>122.58</v>
      </c>
      <c r="D250" s="78">
        <f>297.941</f>
        <v>297.94099999999997</v>
      </c>
      <c r="E250" s="86">
        <f>89.177</f>
        <v>89.177000000000007</v>
      </c>
      <c r="F250" s="78">
        <f>240.302-40-60</f>
        <v>140.30199999999999</v>
      </c>
      <c r="G250" s="80">
        <v>40</v>
      </c>
      <c r="H250" s="78">
        <v>60</v>
      </c>
      <c r="I250" s="78">
        <f t="shared" si="40"/>
        <v>0</v>
      </c>
      <c r="J250" s="80">
        <v>100</v>
      </c>
      <c r="K250" s="80">
        <v>300</v>
      </c>
      <c r="L250" s="78">
        <f t="shared" si="33"/>
        <v>1150</v>
      </c>
      <c r="M250" s="88">
        <v>600</v>
      </c>
      <c r="N250" s="78">
        <f>100</f>
        <v>100</v>
      </c>
      <c r="O250" s="80">
        <v>240</v>
      </c>
      <c r="P250" s="80">
        <v>40</v>
      </c>
      <c r="Q250" s="80">
        <f t="shared" si="34"/>
        <v>315</v>
      </c>
      <c r="R250" s="80">
        <f t="shared" si="35"/>
        <v>100</v>
      </c>
      <c r="S250" s="78">
        <f t="shared" si="36"/>
        <v>695</v>
      </c>
      <c r="T250" s="78">
        <f>50</f>
        <v>50</v>
      </c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</row>
    <row r="251" spans="1:30" ht="15.75" x14ac:dyDescent="0.25">
      <c r="A251" s="16">
        <v>48549</v>
      </c>
      <c r="B251" s="91">
        <v>31</v>
      </c>
      <c r="C251" s="78">
        <f>122.58</f>
        <v>122.58</v>
      </c>
      <c r="D251" s="78">
        <f>297.941</f>
        <v>297.94099999999997</v>
      </c>
      <c r="E251" s="86">
        <f>89.177</f>
        <v>89.177000000000007</v>
      </c>
      <c r="F251" s="78">
        <f>240.302-40-60</f>
        <v>140.30199999999999</v>
      </c>
      <c r="G251" s="80">
        <v>40</v>
      </c>
      <c r="H251" s="78">
        <v>60</v>
      </c>
      <c r="I251" s="78">
        <f t="shared" si="40"/>
        <v>0</v>
      </c>
      <c r="J251" s="80">
        <v>100</v>
      </c>
      <c r="K251" s="80">
        <v>300</v>
      </c>
      <c r="L251" s="78">
        <f t="shared" si="33"/>
        <v>1150</v>
      </c>
      <c r="M251" s="88">
        <v>600</v>
      </c>
      <c r="N251" s="78">
        <f>100</f>
        <v>100</v>
      </c>
      <c r="O251" s="80">
        <v>240</v>
      </c>
      <c r="P251" s="80">
        <v>40</v>
      </c>
      <c r="Q251" s="80">
        <f t="shared" si="34"/>
        <v>315</v>
      </c>
      <c r="R251" s="80">
        <f t="shared" si="35"/>
        <v>100</v>
      </c>
      <c r="S251" s="78">
        <f t="shared" si="36"/>
        <v>695</v>
      </c>
      <c r="T251" s="78">
        <f>50</f>
        <v>50</v>
      </c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</row>
    <row r="252" spans="1:30" ht="15.75" x14ac:dyDescent="0.25">
      <c r="A252" s="16">
        <v>48580</v>
      </c>
      <c r="B252" s="91">
        <v>31</v>
      </c>
      <c r="C252" s="78">
        <f>122.58</f>
        <v>122.58</v>
      </c>
      <c r="D252" s="78">
        <f>297.941</f>
        <v>297.94099999999997</v>
      </c>
      <c r="E252" s="86">
        <f>89.177</f>
        <v>89.177000000000007</v>
      </c>
      <c r="F252" s="78">
        <f>240.302-40-60</f>
        <v>140.30199999999999</v>
      </c>
      <c r="G252" s="80">
        <v>40</v>
      </c>
      <c r="H252" s="78">
        <v>60</v>
      </c>
      <c r="I252" s="78">
        <f t="shared" si="40"/>
        <v>0</v>
      </c>
      <c r="J252" s="80">
        <v>100</v>
      </c>
      <c r="K252" s="80">
        <v>300</v>
      </c>
      <c r="L252" s="78">
        <f t="shared" si="33"/>
        <v>1150</v>
      </c>
      <c r="M252" s="88">
        <v>600</v>
      </c>
      <c r="N252" s="78">
        <f>100</f>
        <v>100</v>
      </c>
      <c r="O252" s="80">
        <v>240</v>
      </c>
      <c r="P252" s="80">
        <v>40</v>
      </c>
      <c r="Q252" s="80">
        <f t="shared" si="34"/>
        <v>315</v>
      </c>
      <c r="R252" s="80">
        <f t="shared" si="35"/>
        <v>100</v>
      </c>
      <c r="S252" s="78">
        <f t="shared" si="36"/>
        <v>695</v>
      </c>
      <c r="T252" s="78">
        <f>50</f>
        <v>50</v>
      </c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</row>
    <row r="253" spans="1:30" ht="15.75" x14ac:dyDescent="0.25">
      <c r="A253" s="16">
        <v>48611</v>
      </c>
      <c r="B253" s="91">
        <v>28</v>
      </c>
      <c r="C253" s="78">
        <f>122.58</f>
        <v>122.58</v>
      </c>
      <c r="D253" s="78">
        <f>297.941</f>
        <v>297.94099999999997</v>
      </c>
      <c r="E253" s="86">
        <f>89.177</f>
        <v>89.177000000000007</v>
      </c>
      <c r="F253" s="78">
        <f>240.302-40-60</f>
        <v>140.30199999999999</v>
      </c>
      <c r="G253" s="80">
        <v>40</v>
      </c>
      <c r="H253" s="78">
        <v>60</v>
      </c>
      <c r="I253" s="78">
        <f t="shared" si="40"/>
        <v>0</v>
      </c>
      <c r="J253" s="80">
        <v>100</v>
      </c>
      <c r="K253" s="80">
        <v>300</v>
      </c>
      <c r="L253" s="78">
        <f t="shared" si="33"/>
        <v>1150</v>
      </c>
      <c r="M253" s="88">
        <v>600</v>
      </c>
      <c r="N253" s="78">
        <f>100</f>
        <v>100</v>
      </c>
      <c r="O253" s="80">
        <v>240</v>
      </c>
      <c r="P253" s="80">
        <v>40</v>
      </c>
      <c r="Q253" s="80">
        <f t="shared" si="34"/>
        <v>315</v>
      </c>
      <c r="R253" s="80">
        <f t="shared" si="35"/>
        <v>100</v>
      </c>
      <c r="S253" s="78">
        <f t="shared" si="36"/>
        <v>695</v>
      </c>
      <c r="T253" s="78">
        <f>50</f>
        <v>50</v>
      </c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</row>
    <row r="254" spans="1:30" ht="15.75" x14ac:dyDescent="0.25">
      <c r="A254" s="16">
        <v>48639</v>
      </c>
      <c r="B254" s="91">
        <v>31</v>
      </c>
      <c r="C254" s="78">
        <f>122.58</f>
        <v>122.58</v>
      </c>
      <c r="D254" s="78">
        <f>297.941</f>
        <v>297.94099999999997</v>
      </c>
      <c r="E254" s="86">
        <f>89.177</f>
        <v>89.177000000000007</v>
      </c>
      <c r="F254" s="78">
        <f>240.302-40-60</f>
        <v>140.30199999999999</v>
      </c>
      <c r="G254" s="80">
        <v>40</v>
      </c>
      <c r="H254" s="78">
        <v>60</v>
      </c>
      <c r="I254" s="78">
        <f t="shared" si="40"/>
        <v>0</v>
      </c>
      <c r="J254" s="80">
        <v>100</v>
      </c>
      <c r="K254" s="80">
        <v>300</v>
      </c>
      <c r="L254" s="78">
        <f t="shared" si="33"/>
        <v>1150</v>
      </c>
      <c r="M254" s="88">
        <v>600</v>
      </c>
      <c r="N254" s="78">
        <f>100</f>
        <v>100</v>
      </c>
      <c r="O254" s="80">
        <v>240</v>
      </c>
      <c r="P254" s="80">
        <v>40</v>
      </c>
      <c r="Q254" s="80">
        <f t="shared" si="34"/>
        <v>315</v>
      </c>
      <c r="R254" s="80">
        <f t="shared" si="35"/>
        <v>100</v>
      </c>
      <c r="S254" s="78">
        <f t="shared" si="36"/>
        <v>695</v>
      </c>
      <c r="T254" s="78">
        <f>50</f>
        <v>50</v>
      </c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</row>
    <row r="255" spans="1:30" ht="15.75" x14ac:dyDescent="0.25">
      <c r="A255" s="16">
        <v>48670</v>
      </c>
      <c r="B255" s="91">
        <v>30</v>
      </c>
      <c r="C255" s="78">
        <f>141.293</f>
        <v>141.29300000000001</v>
      </c>
      <c r="D255" s="78">
        <f>267.993</f>
        <v>267.99299999999999</v>
      </c>
      <c r="E255" s="86">
        <f>115.016</f>
        <v>115.01600000000001</v>
      </c>
      <c r="F255" s="78">
        <f>314.698-40-25-60</f>
        <v>189.69799999999998</v>
      </c>
      <c r="G255" s="80">
        <v>40</v>
      </c>
      <c r="H255" s="78">
        <f t="shared" ref="H255:H261" si="41">25+60</f>
        <v>85</v>
      </c>
      <c r="I255" s="78">
        <f t="shared" si="40"/>
        <v>0</v>
      </c>
      <c r="J255" s="80">
        <v>100</v>
      </c>
      <c r="K255" s="80">
        <v>300</v>
      </c>
      <c r="L255" s="78">
        <f t="shared" si="33"/>
        <v>1239</v>
      </c>
      <c r="M255" s="88">
        <v>600</v>
      </c>
      <c r="N255" s="78">
        <f>100</f>
        <v>100</v>
      </c>
      <c r="O255" s="80">
        <v>240</v>
      </c>
      <c r="P255" s="80">
        <v>160</v>
      </c>
      <c r="Q255" s="80">
        <f t="shared" si="34"/>
        <v>195</v>
      </c>
      <c r="R255" s="80">
        <f t="shared" si="35"/>
        <v>100</v>
      </c>
      <c r="S255" s="78">
        <f t="shared" si="36"/>
        <v>695</v>
      </c>
      <c r="T255" s="78">
        <f>50</f>
        <v>50</v>
      </c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</row>
    <row r="256" spans="1:30" ht="15.75" x14ac:dyDescent="0.25">
      <c r="A256" s="16">
        <v>48700</v>
      </c>
      <c r="B256" s="91">
        <v>31</v>
      </c>
      <c r="C256" s="78">
        <f>194.205</f>
        <v>194.20500000000001</v>
      </c>
      <c r="D256" s="78">
        <f>267.466</f>
        <v>267.46600000000001</v>
      </c>
      <c r="E256" s="86">
        <f>133.845</f>
        <v>133.845</v>
      </c>
      <c r="F256" s="78">
        <f>278.484-40-25-60</f>
        <v>153.48399999999998</v>
      </c>
      <c r="G256" s="80">
        <v>40</v>
      </c>
      <c r="H256" s="78">
        <f t="shared" si="41"/>
        <v>85</v>
      </c>
      <c r="I256" s="78">
        <f t="shared" si="40"/>
        <v>0</v>
      </c>
      <c r="J256" s="80">
        <v>100</v>
      </c>
      <c r="K256" s="80">
        <v>300</v>
      </c>
      <c r="L256" s="78">
        <f t="shared" si="33"/>
        <v>1274</v>
      </c>
      <c r="M256" s="88">
        <v>600</v>
      </c>
      <c r="N256" s="78">
        <f>75</f>
        <v>75</v>
      </c>
      <c r="O256" s="80">
        <v>240</v>
      </c>
      <c r="P256" s="80">
        <v>160</v>
      </c>
      <c r="Q256" s="80">
        <f t="shared" si="34"/>
        <v>195</v>
      </c>
      <c r="R256" s="80">
        <f t="shared" si="35"/>
        <v>100</v>
      </c>
      <c r="S256" s="78">
        <f t="shared" si="36"/>
        <v>695</v>
      </c>
      <c r="T256" s="78">
        <f>50</f>
        <v>50</v>
      </c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</row>
    <row r="257" spans="1:30" ht="15.75" x14ac:dyDescent="0.25">
      <c r="A257" s="16">
        <v>48731</v>
      </c>
      <c r="B257" s="91">
        <v>30</v>
      </c>
      <c r="C257" s="78">
        <f>194.205</f>
        <v>194.20500000000001</v>
      </c>
      <c r="D257" s="78">
        <f>267.466</f>
        <v>267.46600000000001</v>
      </c>
      <c r="E257" s="86">
        <f>133.845</f>
        <v>133.845</v>
      </c>
      <c r="F257" s="78">
        <f>278.484-40-25-60</f>
        <v>153.48399999999998</v>
      </c>
      <c r="G257" s="80">
        <v>40</v>
      </c>
      <c r="H257" s="78">
        <f t="shared" si="41"/>
        <v>85</v>
      </c>
      <c r="I257" s="78">
        <f t="shared" si="40"/>
        <v>0</v>
      </c>
      <c r="J257" s="80">
        <v>100</v>
      </c>
      <c r="K257" s="80">
        <v>300</v>
      </c>
      <c r="L257" s="78">
        <f t="shared" si="33"/>
        <v>1274</v>
      </c>
      <c r="M257" s="88">
        <v>600</v>
      </c>
      <c r="N257" s="78">
        <f>30</f>
        <v>30</v>
      </c>
      <c r="O257" s="80">
        <v>240</v>
      </c>
      <c r="P257" s="80">
        <v>160</v>
      </c>
      <c r="Q257" s="80">
        <f t="shared" si="34"/>
        <v>195</v>
      </c>
      <c r="R257" s="80">
        <f t="shared" si="35"/>
        <v>100</v>
      </c>
      <c r="S257" s="78">
        <f t="shared" si="36"/>
        <v>695</v>
      </c>
      <c r="T257" s="78">
        <f>50</f>
        <v>50</v>
      </c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</row>
    <row r="258" spans="1:30" ht="15.75" x14ac:dyDescent="0.25">
      <c r="A258" s="16">
        <v>48761</v>
      </c>
      <c r="B258" s="91">
        <v>31</v>
      </c>
      <c r="C258" s="78">
        <f>194.205</f>
        <v>194.20500000000001</v>
      </c>
      <c r="D258" s="78">
        <f>267.466</f>
        <v>267.46600000000001</v>
      </c>
      <c r="E258" s="86">
        <f>133.845</f>
        <v>133.845</v>
      </c>
      <c r="F258" s="78">
        <f>278.484-40-25-60</f>
        <v>153.48399999999998</v>
      </c>
      <c r="G258" s="80">
        <v>40</v>
      </c>
      <c r="H258" s="78">
        <f t="shared" si="41"/>
        <v>85</v>
      </c>
      <c r="I258" s="78">
        <f t="shared" si="40"/>
        <v>0</v>
      </c>
      <c r="J258" s="80">
        <v>100</v>
      </c>
      <c r="K258" s="80">
        <v>300</v>
      </c>
      <c r="L258" s="78">
        <f t="shared" si="33"/>
        <v>1274</v>
      </c>
      <c r="M258" s="88">
        <v>600</v>
      </c>
      <c r="N258" s="78">
        <f>30</f>
        <v>30</v>
      </c>
      <c r="O258" s="80">
        <v>240</v>
      </c>
      <c r="P258" s="80">
        <v>160</v>
      </c>
      <c r="Q258" s="80">
        <f t="shared" si="34"/>
        <v>195</v>
      </c>
      <c r="R258" s="80">
        <f t="shared" si="35"/>
        <v>100</v>
      </c>
      <c r="S258" s="78">
        <f t="shared" si="36"/>
        <v>695</v>
      </c>
      <c r="T258" s="78">
        <f>0</f>
        <v>0</v>
      </c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</row>
    <row r="259" spans="1:30" ht="15.75" x14ac:dyDescent="0.25">
      <c r="A259" s="16">
        <v>48792</v>
      </c>
      <c r="B259" s="91">
        <v>31</v>
      </c>
      <c r="C259" s="78">
        <f>194.205</f>
        <v>194.20500000000001</v>
      </c>
      <c r="D259" s="78">
        <f>267.466</f>
        <v>267.46600000000001</v>
      </c>
      <c r="E259" s="86">
        <f>133.845</f>
        <v>133.845</v>
      </c>
      <c r="F259" s="78">
        <f>278.484-40-25-60</f>
        <v>153.48399999999998</v>
      </c>
      <c r="G259" s="80">
        <v>40</v>
      </c>
      <c r="H259" s="78">
        <f t="shared" si="41"/>
        <v>85</v>
      </c>
      <c r="I259" s="78">
        <f t="shared" si="40"/>
        <v>0</v>
      </c>
      <c r="J259" s="80">
        <v>100</v>
      </c>
      <c r="K259" s="80">
        <v>300</v>
      </c>
      <c r="L259" s="78">
        <f t="shared" si="33"/>
        <v>1274</v>
      </c>
      <c r="M259" s="88">
        <v>600</v>
      </c>
      <c r="N259" s="78">
        <f>30</f>
        <v>30</v>
      </c>
      <c r="O259" s="80">
        <v>240</v>
      </c>
      <c r="P259" s="80">
        <v>160</v>
      </c>
      <c r="Q259" s="80">
        <f t="shared" si="34"/>
        <v>195</v>
      </c>
      <c r="R259" s="80">
        <f t="shared" si="35"/>
        <v>100</v>
      </c>
      <c r="S259" s="78">
        <f t="shared" si="36"/>
        <v>695</v>
      </c>
      <c r="T259" s="78">
        <f>0</f>
        <v>0</v>
      </c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</row>
    <row r="260" spans="1:30" ht="15.75" x14ac:dyDescent="0.25">
      <c r="A260" s="16">
        <v>48823</v>
      </c>
      <c r="B260" s="91">
        <v>30</v>
      </c>
      <c r="C260" s="78">
        <f>194.205</f>
        <v>194.20500000000001</v>
      </c>
      <c r="D260" s="78">
        <f>267.466</f>
        <v>267.46600000000001</v>
      </c>
      <c r="E260" s="86">
        <f>133.845</f>
        <v>133.845</v>
      </c>
      <c r="F260" s="78">
        <f>278.484-40-25-60</f>
        <v>153.48399999999998</v>
      </c>
      <c r="G260" s="80">
        <v>40</v>
      </c>
      <c r="H260" s="78">
        <f t="shared" si="41"/>
        <v>85</v>
      </c>
      <c r="I260" s="78">
        <f t="shared" si="40"/>
        <v>0</v>
      </c>
      <c r="J260" s="80">
        <v>100</v>
      </c>
      <c r="K260" s="80">
        <v>300</v>
      </c>
      <c r="L260" s="78">
        <f t="shared" si="33"/>
        <v>1274</v>
      </c>
      <c r="M260" s="88">
        <v>600</v>
      </c>
      <c r="N260" s="78">
        <f>30</f>
        <v>30</v>
      </c>
      <c r="O260" s="80">
        <v>240</v>
      </c>
      <c r="P260" s="80">
        <v>160</v>
      </c>
      <c r="Q260" s="80">
        <f t="shared" si="34"/>
        <v>195</v>
      </c>
      <c r="R260" s="80">
        <f t="shared" si="35"/>
        <v>100</v>
      </c>
      <c r="S260" s="78">
        <f t="shared" si="36"/>
        <v>695</v>
      </c>
      <c r="T260" s="78">
        <f>0</f>
        <v>0</v>
      </c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</row>
    <row r="261" spans="1:30" ht="15.75" x14ac:dyDescent="0.25">
      <c r="A261" s="16">
        <v>48853</v>
      </c>
      <c r="B261" s="91">
        <v>31</v>
      </c>
      <c r="C261" s="78">
        <f>131.881</f>
        <v>131.881</v>
      </c>
      <c r="D261" s="78">
        <f>277.167</f>
        <v>277.16699999999997</v>
      </c>
      <c r="E261" s="86">
        <f>79.08</f>
        <v>79.08</v>
      </c>
      <c r="F261" s="78">
        <f>350.872-40-25-60</f>
        <v>225.87200000000001</v>
      </c>
      <c r="G261" s="80">
        <v>40</v>
      </c>
      <c r="H261" s="78">
        <f t="shared" si="41"/>
        <v>85</v>
      </c>
      <c r="I261" s="78">
        <f t="shared" si="40"/>
        <v>0</v>
      </c>
      <c r="J261" s="80">
        <v>100</v>
      </c>
      <c r="K261" s="80">
        <v>300</v>
      </c>
      <c r="L261" s="78">
        <f t="shared" si="33"/>
        <v>1239</v>
      </c>
      <c r="M261" s="88">
        <v>600</v>
      </c>
      <c r="N261" s="78">
        <f>75</f>
        <v>75</v>
      </c>
      <c r="O261" s="80">
        <v>240</v>
      </c>
      <c r="P261" s="80">
        <v>160</v>
      </c>
      <c r="Q261" s="80">
        <f t="shared" si="34"/>
        <v>195</v>
      </c>
      <c r="R261" s="80">
        <f t="shared" si="35"/>
        <v>100</v>
      </c>
      <c r="S261" s="78">
        <f t="shared" si="36"/>
        <v>695</v>
      </c>
      <c r="T261" s="78">
        <f>0</f>
        <v>0</v>
      </c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</row>
    <row r="262" spans="1:30" ht="15.75" x14ac:dyDescent="0.25">
      <c r="A262" s="16">
        <v>48884</v>
      </c>
      <c r="B262" s="91">
        <v>30</v>
      </c>
      <c r="C262" s="78">
        <f>122.58</f>
        <v>122.58</v>
      </c>
      <c r="D262" s="78">
        <f>297.941</f>
        <v>297.94099999999997</v>
      </c>
      <c r="E262" s="86">
        <f>89.177</f>
        <v>89.177000000000007</v>
      </c>
      <c r="F262" s="78">
        <f>240.302-40-60</f>
        <v>140.30199999999999</v>
      </c>
      <c r="G262" s="80">
        <v>40</v>
      </c>
      <c r="H262" s="78">
        <v>60</v>
      </c>
      <c r="I262" s="78">
        <f t="shared" si="40"/>
        <v>0</v>
      </c>
      <c r="J262" s="80">
        <v>100</v>
      </c>
      <c r="K262" s="80">
        <v>300</v>
      </c>
      <c r="L262" s="78">
        <f t="shared" si="33"/>
        <v>1150</v>
      </c>
      <c r="M262" s="88">
        <v>600</v>
      </c>
      <c r="N262" s="78">
        <f>100</f>
        <v>100</v>
      </c>
      <c r="O262" s="80">
        <v>240</v>
      </c>
      <c r="P262" s="80">
        <v>40</v>
      </c>
      <c r="Q262" s="80">
        <f t="shared" si="34"/>
        <v>315</v>
      </c>
      <c r="R262" s="80">
        <f t="shared" si="35"/>
        <v>100</v>
      </c>
      <c r="S262" s="78">
        <f t="shared" si="36"/>
        <v>695</v>
      </c>
      <c r="T262" s="78">
        <f>50</f>
        <v>50</v>
      </c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</row>
    <row r="263" spans="1:30" ht="15.75" x14ac:dyDescent="0.25">
      <c r="A263" s="16">
        <v>48914</v>
      </c>
      <c r="B263" s="91">
        <v>31</v>
      </c>
      <c r="C263" s="78">
        <f>122.58</f>
        <v>122.58</v>
      </c>
      <c r="D263" s="78">
        <f>297.941</f>
        <v>297.94099999999997</v>
      </c>
      <c r="E263" s="86">
        <f>89.177</f>
        <v>89.177000000000007</v>
      </c>
      <c r="F263" s="78">
        <f>240.302-40-60</f>
        <v>140.30199999999999</v>
      </c>
      <c r="G263" s="80">
        <v>40</v>
      </c>
      <c r="H263" s="78">
        <v>60</v>
      </c>
      <c r="I263" s="78">
        <f t="shared" si="40"/>
        <v>0</v>
      </c>
      <c r="J263" s="80">
        <v>100</v>
      </c>
      <c r="K263" s="80">
        <v>300</v>
      </c>
      <c r="L263" s="78">
        <f t="shared" si="33"/>
        <v>1150</v>
      </c>
      <c r="M263" s="88">
        <v>600</v>
      </c>
      <c r="N263" s="78">
        <f>100</f>
        <v>100</v>
      </c>
      <c r="O263" s="80">
        <v>240</v>
      </c>
      <c r="P263" s="80">
        <v>40</v>
      </c>
      <c r="Q263" s="80">
        <f t="shared" si="34"/>
        <v>315</v>
      </c>
      <c r="R263" s="80">
        <f t="shared" si="35"/>
        <v>100</v>
      </c>
      <c r="S263" s="78">
        <f t="shared" si="36"/>
        <v>695</v>
      </c>
      <c r="T263" s="78">
        <f>50</f>
        <v>50</v>
      </c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</row>
    <row r="264" spans="1:30" ht="15.75" x14ac:dyDescent="0.25">
      <c r="A264" s="16">
        <v>48945</v>
      </c>
      <c r="B264" s="91">
        <v>31</v>
      </c>
      <c r="C264" s="78">
        <f>122.58</f>
        <v>122.58</v>
      </c>
      <c r="D264" s="78">
        <f>297.941</f>
        <v>297.94099999999997</v>
      </c>
      <c r="E264" s="86">
        <f>89.177</f>
        <v>89.177000000000007</v>
      </c>
      <c r="F264" s="78">
        <f>240.302-40-60</f>
        <v>140.30199999999999</v>
      </c>
      <c r="G264" s="80">
        <v>40</v>
      </c>
      <c r="H264" s="78">
        <v>60</v>
      </c>
      <c r="I264" s="78">
        <f t="shared" si="40"/>
        <v>0</v>
      </c>
      <c r="J264" s="80">
        <v>100</v>
      </c>
      <c r="K264" s="80">
        <v>300</v>
      </c>
      <c r="L264" s="78">
        <f t="shared" si="33"/>
        <v>1150</v>
      </c>
      <c r="M264" s="88">
        <v>600</v>
      </c>
      <c r="N264" s="78">
        <f>100</f>
        <v>100</v>
      </c>
      <c r="O264" s="80">
        <v>240</v>
      </c>
      <c r="P264" s="80">
        <v>40</v>
      </c>
      <c r="Q264" s="80">
        <f t="shared" si="34"/>
        <v>315</v>
      </c>
      <c r="R264" s="80">
        <f t="shared" si="35"/>
        <v>100</v>
      </c>
      <c r="S264" s="78">
        <f t="shared" si="36"/>
        <v>695</v>
      </c>
      <c r="T264" s="78">
        <f>50</f>
        <v>50</v>
      </c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</row>
    <row r="265" spans="1:30" ht="15.75" x14ac:dyDescent="0.25">
      <c r="A265" s="16">
        <v>48976</v>
      </c>
      <c r="B265" s="91">
        <v>28</v>
      </c>
      <c r="C265" s="78">
        <f>122.58</f>
        <v>122.58</v>
      </c>
      <c r="D265" s="78">
        <f>297.941</f>
        <v>297.94099999999997</v>
      </c>
      <c r="E265" s="86">
        <f>89.177</f>
        <v>89.177000000000007</v>
      </c>
      <c r="F265" s="78">
        <f>240.302-40-60</f>
        <v>140.30199999999999</v>
      </c>
      <c r="G265" s="80">
        <v>40</v>
      </c>
      <c r="H265" s="78">
        <v>60</v>
      </c>
      <c r="I265" s="78">
        <f t="shared" si="40"/>
        <v>0</v>
      </c>
      <c r="J265" s="80">
        <v>100</v>
      </c>
      <c r="K265" s="80">
        <v>300</v>
      </c>
      <c r="L265" s="78">
        <f t="shared" si="33"/>
        <v>1150</v>
      </c>
      <c r="M265" s="88">
        <v>600</v>
      </c>
      <c r="N265" s="78">
        <f>100</f>
        <v>100</v>
      </c>
      <c r="O265" s="80">
        <v>240</v>
      </c>
      <c r="P265" s="80">
        <v>40</v>
      </c>
      <c r="Q265" s="80">
        <f t="shared" si="34"/>
        <v>315</v>
      </c>
      <c r="R265" s="80">
        <f t="shared" si="35"/>
        <v>100</v>
      </c>
      <c r="S265" s="78">
        <f t="shared" si="36"/>
        <v>695</v>
      </c>
      <c r="T265" s="78">
        <f>50</f>
        <v>50</v>
      </c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</row>
    <row r="266" spans="1:30" ht="15.75" x14ac:dyDescent="0.25">
      <c r="A266" s="16">
        <v>49004</v>
      </c>
      <c r="B266" s="91">
        <v>31</v>
      </c>
      <c r="C266" s="78">
        <f>122.58</f>
        <v>122.58</v>
      </c>
      <c r="D266" s="78">
        <f>297.941</f>
        <v>297.94099999999997</v>
      </c>
      <c r="E266" s="86">
        <f>89.177</f>
        <v>89.177000000000007</v>
      </c>
      <c r="F266" s="78">
        <f>240.302-40-60</f>
        <v>140.30199999999999</v>
      </c>
      <c r="G266" s="80">
        <v>40</v>
      </c>
      <c r="H266" s="78">
        <v>60</v>
      </c>
      <c r="I266" s="78">
        <f t="shared" si="40"/>
        <v>0</v>
      </c>
      <c r="J266" s="80">
        <v>100</v>
      </c>
      <c r="K266" s="80">
        <v>300</v>
      </c>
      <c r="L266" s="78">
        <f t="shared" si="33"/>
        <v>1150</v>
      </c>
      <c r="M266" s="88">
        <v>600</v>
      </c>
      <c r="N266" s="78">
        <f>100</f>
        <v>100</v>
      </c>
      <c r="O266" s="80">
        <v>240</v>
      </c>
      <c r="P266" s="80">
        <v>40</v>
      </c>
      <c r="Q266" s="80">
        <f t="shared" si="34"/>
        <v>315</v>
      </c>
      <c r="R266" s="80">
        <f t="shared" si="35"/>
        <v>100</v>
      </c>
      <c r="S266" s="78">
        <f t="shared" si="36"/>
        <v>695</v>
      </c>
      <c r="T266" s="78">
        <f>50</f>
        <v>50</v>
      </c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</row>
    <row r="267" spans="1:30" ht="15.75" x14ac:dyDescent="0.25">
      <c r="A267" s="16">
        <v>49035</v>
      </c>
      <c r="B267" s="91">
        <v>30</v>
      </c>
      <c r="C267" s="78">
        <f>141.293</f>
        <v>141.29300000000001</v>
      </c>
      <c r="D267" s="78">
        <f>267.993</f>
        <v>267.99299999999999</v>
      </c>
      <c r="E267" s="86">
        <f>115.016</f>
        <v>115.01600000000001</v>
      </c>
      <c r="F267" s="78">
        <f>314.698-40-25-60</f>
        <v>189.69799999999998</v>
      </c>
      <c r="G267" s="80">
        <v>40</v>
      </c>
      <c r="H267" s="78">
        <f t="shared" ref="H267:H273" si="42">25+60</f>
        <v>85</v>
      </c>
      <c r="I267" s="78">
        <f t="shared" si="40"/>
        <v>0</v>
      </c>
      <c r="J267" s="80">
        <v>100</v>
      </c>
      <c r="K267" s="80">
        <v>300</v>
      </c>
      <c r="L267" s="78">
        <f t="shared" si="33"/>
        <v>1239</v>
      </c>
      <c r="M267" s="88">
        <v>600</v>
      </c>
      <c r="N267" s="78">
        <f>100</f>
        <v>100</v>
      </c>
      <c r="O267" s="80">
        <v>240</v>
      </c>
      <c r="P267" s="80">
        <v>160</v>
      </c>
      <c r="Q267" s="80">
        <f t="shared" si="34"/>
        <v>195</v>
      </c>
      <c r="R267" s="80">
        <f t="shared" si="35"/>
        <v>100</v>
      </c>
      <c r="S267" s="78">
        <f t="shared" si="36"/>
        <v>695</v>
      </c>
      <c r="T267" s="78">
        <f>50</f>
        <v>50</v>
      </c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</row>
    <row r="268" spans="1:30" ht="15.75" x14ac:dyDescent="0.25">
      <c r="A268" s="16">
        <v>49065</v>
      </c>
      <c r="B268" s="91">
        <v>31</v>
      </c>
      <c r="C268" s="78">
        <f>194.205</f>
        <v>194.20500000000001</v>
      </c>
      <c r="D268" s="78">
        <f>267.466</f>
        <v>267.46600000000001</v>
      </c>
      <c r="E268" s="86">
        <f>133.845</f>
        <v>133.845</v>
      </c>
      <c r="F268" s="78">
        <f>278.484-40-25-60</f>
        <v>153.48399999999998</v>
      </c>
      <c r="G268" s="80">
        <v>40</v>
      </c>
      <c r="H268" s="78">
        <f t="shared" si="42"/>
        <v>85</v>
      </c>
      <c r="I268" s="78">
        <f t="shared" si="40"/>
        <v>0</v>
      </c>
      <c r="J268" s="80">
        <v>100</v>
      </c>
      <c r="K268" s="80">
        <v>300</v>
      </c>
      <c r="L268" s="78">
        <f t="shared" si="33"/>
        <v>1274</v>
      </c>
      <c r="M268" s="88">
        <v>600</v>
      </c>
      <c r="N268" s="78">
        <f>75</f>
        <v>75</v>
      </c>
      <c r="O268" s="80">
        <v>240</v>
      </c>
      <c r="P268" s="80">
        <v>160</v>
      </c>
      <c r="Q268" s="80">
        <f t="shared" si="34"/>
        <v>195</v>
      </c>
      <c r="R268" s="80">
        <f t="shared" si="35"/>
        <v>100</v>
      </c>
      <c r="S268" s="78">
        <f t="shared" si="36"/>
        <v>695</v>
      </c>
      <c r="T268" s="78">
        <f>50</f>
        <v>50</v>
      </c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</row>
    <row r="269" spans="1:30" ht="15.75" x14ac:dyDescent="0.25">
      <c r="A269" s="16">
        <v>49096</v>
      </c>
      <c r="B269" s="91">
        <v>30</v>
      </c>
      <c r="C269" s="78">
        <f>194.205</f>
        <v>194.20500000000001</v>
      </c>
      <c r="D269" s="78">
        <f>267.466</f>
        <v>267.46600000000001</v>
      </c>
      <c r="E269" s="86">
        <f>133.845</f>
        <v>133.845</v>
      </c>
      <c r="F269" s="78">
        <f>278.484-40-25-60</f>
        <v>153.48399999999998</v>
      </c>
      <c r="G269" s="80">
        <v>40</v>
      </c>
      <c r="H269" s="78">
        <f t="shared" si="42"/>
        <v>85</v>
      </c>
      <c r="I269" s="78">
        <f t="shared" si="40"/>
        <v>0</v>
      </c>
      <c r="J269" s="80">
        <v>100</v>
      </c>
      <c r="K269" s="80">
        <v>300</v>
      </c>
      <c r="L269" s="78">
        <f t="shared" si="33"/>
        <v>1274</v>
      </c>
      <c r="M269" s="88">
        <v>600</v>
      </c>
      <c r="N269" s="78">
        <f>30</f>
        <v>30</v>
      </c>
      <c r="O269" s="80">
        <v>240</v>
      </c>
      <c r="P269" s="80">
        <v>160</v>
      </c>
      <c r="Q269" s="80">
        <f t="shared" si="34"/>
        <v>195</v>
      </c>
      <c r="R269" s="80">
        <f t="shared" si="35"/>
        <v>100</v>
      </c>
      <c r="S269" s="78">
        <f t="shared" si="36"/>
        <v>695</v>
      </c>
      <c r="T269" s="78">
        <f>50</f>
        <v>50</v>
      </c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</row>
    <row r="270" spans="1:30" ht="15.75" x14ac:dyDescent="0.25">
      <c r="A270" s="16">
        <v>49126</v>
      </c>
      <c r="B270" s="91">
        <v>31</v>
      </c>
      <c r="C270" s="78">
        <f>194.205</f>
        <v>194.20500000000001</v>
      </c>
      <c r="D270" s="78">
        <f>267.466</f>
        <v>267.46600000000001</v>
      </c>
      <c r="E270" s="86">
        <f>133.845</f>
        <v>133.845</v>
      </c>
      <c r="F270" s="78">
        <f>278.484-40-25-60</f>
        <v>153.48399999999998</v>
      </c>
      <c r="G270" s="80">
        <v>40</v>
      </c>
      <c r="H270" s="78">
        <f t="shared" si="42"/>
        <v>85</v>
      </c>
      <c r="I270" s="78">
        <f t="shared" si="40"/>
        <v>0</v>
      </c>
      <c r="J270" s="80">
        <v>100</v>
      </c>
      <c r="K270" s="80">
        <v>300</v>
      </c>
      <c r="L270" s="78">
        <f t="shared" si="33"/>
        <v>1274</v>
      </c>
      <c r="M270" s="88">
        <v>600</v>
      </c>
      <c r="N270" s="78">
        <f>30</f>
        <v>30</v>
      </c>
      <c r="O270" s="80">
        <v>240</v>
      </c>
      <c r="P270" s="80">
        <v>160</v>
      </c>
      <c r="Q270" s="80">
        <f t="shared" si="34"/>
        <v>195</v>
      </c>
      <c r="R270" s="80">
        <f t="shared" si="35"/>
        <v>100</v>
      </c>
      <c r="S270" s="78">
        <f t="shared" si="36"/>
        <v>695</v>
      </c>
      <c r="T270" s="78">
        <f>0</f>
        <v>0</v>
      </c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</row>
    <row r="271" spans="1:30" ht="15.75" x14ac:dyDescent="0.25">
      <c r="A271" s="16">
        <v>49157</v>
      </c>
      <c r="B271" s="91">
        <v>31</v>
      </c>
      <c r="C271" s="78">
        <f>194.205</f>
        <v>194.20500000000001</v>
      </c>
      <c r="D271" s="78">
        <f>267.466</f>
        <v>267.46600000000001</v>
      </c>
      <c r="E271" s="86">
        <f>133.845</f>
        <v>133.845</v>
      </c>
      <c r="F271" s="78">
        <f>278.484-40-25-60</f>
        <v>153.48399999999998</v>
      </c>
      <c r="G271" s="80">
        <v>40</v>
      </c>
      <c r="H271" s="78">
        <f t="shared" si="42"/>
        <v>85</v>
      </c>
      <c r="I271" s="78">
        <f t="shared" si="40"/>
        <v>0</v>
      </c>
      <c r="J271" s="80">
        <v>100</v>
      </c>
      <c r="K271" s="80">
        <v>300</v>
      </c>
      <c r="L271" s="78">
        <f t="shared" ref="L271:L334" si="43">SUM(C271:K271)</f>
        <v>1274</v>
      </c>
      <c r="M271" s="88">
        <v>600</v>
      </c>
      <c r="N271" s="78">
        <f>30</f>
        <v>30</v>
      </c>
      <c r="O271" s="80">
        <v>240</v>
      </c>
      <c r="P271" s="80">
        <v>160</v>
      </c>
      <c r="Q271" s="80">
        <f t="shared" ref="Q271:Q334" si="44">695-R271-O271-P271</f>
        <v>195</v>
      </c>
      <c r="R271" s="80">
        <f t="shared" ref="R271:R334" si="45">200-J271</f>
        <v>100</v>
      </c>
      <c r="S271" s="78">
        <f t="shared" ref="S271:S334" si="46">SUM(O271:R271)</f>
        <v>695</v>
      </c>
      <c r="T271" s="78">
        <f>0</f>
        <v>0</v>
      </c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</row>
    <row r="272" spans="1:30" ht="15.75" x14ac:dyDescent="0.25">
      <c r="A272" s="16">
        <v>49188</v>
      </c>
      <c r="B272" s="91">
        <v>30</v>
      </c>
      <c r="C272" s="78">
        <f>194.205</f>
        <v>194.20500000000001</v>
      </c>
      <c r="D272" s="78">
        <f>267.466</f>
        <v>267.46600000000001</v>
      </c>
      <c r="E272" s="86">
        <f>133.845</f>
        <v>133.845</v>
      </c>
      <c r="F272" s="78">
        <f>278.484-40-25-60</f>
        <v>153.48399999999998</v>
      </c>
      <c r="G272" s="80">
        <v>40</v>
      </c>
      <c r="H272" s="78">
        <f t="shared" si="42"/>
        <v>85</v>
      </c>
      <c r="I272" s="78">
        <f t="shared" si="40"/>
        <v>0</v>
      </c>
      <c r="J272" s="80">
        <v>100</v>
      </c>
      <c r="K272" s="80">
        <v>300</v>
      </c>
      <c r="L272" s="78">
        <f t="shared" si="43"/>
        <v>1274</v>
      </c>
      <c r="M272" s="88">
        <v>600</v>
      </c>
      <c r="N272" s="78">
        <f>30</f>
        <v>30</v>
      </c>
      <c r="O272" s="80">
        <v>240</v>
      </c>
      <c r="P272" s="80">
        <v>160</v>
      </c>
      <c r="Q272" s="80">
        <f t="shared" si="44"/>
        <v>195</v>
      </c>
      <c r="R272" s="80">
        <f t="shared" si="45"/>
        <v>100</v>
      </c>
      <c r="S272" s="78">
        <f t="shared" si="46"/>
        <v>695</v>
      </c>
      <c r="T272" s="78">
        <f>0</f>
        <v>0</v>
      </c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</row>
    <row r="273" spans="1:30" ht="15.75" x14ac:dyDescent="0.25">
      <c r="A273" s="16">
        <v>49218</v>
      </c>
      <c r="B273" s="91">
        <v>31</v>
      </c>
      <c r="C273" s="78">
        <f>131.881</f>
        <v>131.881</v>
      </c>
      <c r="D273" s="78">
        <f>277.167</f>
        <v>277.16699999999997</v>
      </c>
      <c r="E273" s="86">
        <f>79.08</f>
        <v>79.08</v>
      </c>
      <c r="F273" s="78">
        <f>350.872-40-25-60</f>
        <v>225.87200000000001</v>
      </c>
      <c r="G273" s="80">
        <v>40</v>
      </c>
      <c r="H273" s="78">
        <f t="shared" si="42"/>
        <v>85</v>
      </c>
      <c r="I273" s="78">
        <f t="shared" si="40"/>
        <v>0</v>
      </c>
      <c r="J273" s="80">
        <v>100</v>
      </c>
      <c r="K273" s="80">
        <v>300</v>
      </c>
      <c r="L273" s="78">
        <f t="shared" si="43"/>
        <v>1239</v>
      </c>
      <c r="M273" s="88">
        <v>600</v>
      </c>
      <c r="N273" s="78">
        <f>75</f>
        <v>75</v>
      </c>
      <c r="O273" s="80">
        <v>240</v>
      </c>
      <c r="P273" s="80">
        <v>160</v>
      </c>
      <c r="Q273" s="80">
        <f t="shared" si="44"/>
        <v>195</v>
      </c>
      <c r="R273" s="80">
        <f t="shared" si="45"/>
        <v>100</v>
      </c>
      <c r="S273" s="78">
        <f t="shared" si="46"/>
        <v>695</v>
      </c>
      <c r="T273" s="78">
        <f>0</f>
        <v>0</v>
      </c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</row>
    <row r="274" spans="1:30" ht="15.75" x14ac:dyDescent="0.25">
      <c r="A274" s="16">
        <v>49249</v>
      </c>
      <c r="B274" s="91">
        <v>30</v>
      </c>
      <c r="C274" s="78">
        <f>122.58</f>
        <v>122.58</v>
      </c>
      <c r="D274" s="78">
        <f>297.941</f>
        <v>297.94099999999997</v>
      </c>
      <c r="E274" s="86">
        <f>89.177</f>
        <v>89.177000000000007</v>
      </c>
      <c r="F274" s="78">
        <f>240.302-40-60</f>
        <v>140.30199999999999</v>
      </c>
      <c r="G274" s="80">
        <v>40</v>
      </c>
      <c r="H274" s="78">
        <v>60</v>
      </c>
      <c r="I274" s="78">
        <f t="shared" si="40"/>
        <v>0</v>
      </c>
      <c r="J274" s="80">
        <v>100</v>
      </c>
      <c r="K274" s="80">
        <v>300</v>
      </c>
      <c r="L274" s="78">
        <f t="shared" si="43"/>
        <v>1150</v>
      </c>
      <c r="M274" s="88">
        <v>600</v>
      </c>
      <c r="N274" s="78">
        <f>100</f>
        <v>100</v>
      </c>
      <c r="O274" s="80">
        <v>240</v>
      </c>
      <c r="P274" s="80">
        <v>40</v>
      </c>
      <c r="Q274" s="80">
        <f t="shared" si="44"/>
        <v>315</v>
      </c>
      <c r="R274" s="80">
        <f t="shared" si="45"/>
        <v>100</v>
      </c>
      <c r="S274" s="78">
        <f t="shared" si="46"/>
        <v>695</v>
      </c>
      <c r="T274" s="78">
        <f>50</f>
        <v>50</v>
      </c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</row>
    <row r="275" spans="1:30" ht="15.75" x14ac:dyDescent="0.25">
      <c r="A275" s="16">
        <v>49279</v>
      </c>
      <c r="B275" s="91">
        <v>31</v>
      </c>
      <c r="C275" s="78">
        <f>122.58</f>
        <v>122.58</v>
      </c>
      <c r="D275" s="78">
        <f>297.941</f>
        <v>297.94099999999997</v>
      </c>
      <c r="E275" s="86">
        <f>89.177</f>
        <v>89.177000000000007</v>
      </c>
      <c r="F275" s="78">
        <f>240.302-40-60</f>
        <v>140.30199999999999</v>
      </c>
      <c r="G275" s="80">
        <v>40</v>
      </c>
      <c r="H275" s="78">
        <v>60</v>
      </c>
      <c r="I275" s="78">
        <f t="shared" si="40"/>
        <v>0</v>
      </c>
      <c r="J275" s="80">
        <v>100</v>
      </c>
      <c r="K275" s="80">
        <v>300</v>
      </c>
      <c r="L275" s="78">
        <f t="shared" si="43"/>
        <v>1150</v>
      </c>
      <c r="M275" s="88">
        <v>600</v>
      </c>
      <c r="N275" s="78">
        <f>100</f>
        <v>100</v>
      </c>
      <c r="O275" s="80">
        <v>240</v>
      </c>
      <c r="P275" s="80">
        <v>40</v>
      </c>
      <c r="Q275" s="80">
        <f t="shared" si="44"/>
        <v>315</v>
      </c>
      <c r="R275" s="80">
        <f t="shared" si="45"/>
        <v>100</v>
      </c>
      <c r="S275" s="78">
        <f t="shared" si="46"/>
        <v>695</v>
      </c>
      <c r="T275" s="78">
        <f>50</f>
        <v>50</v>
      </c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</row>
    <row r="276" spans="1:30" ht="15.75" x14ac:dyDescent="0.25">
      <c r="A276" s="16">
        <v>49310</v>
      </c>
      <c r="B276" s="91">
        <v>31</v>
      </c>
      <c r="C276" s="78">
        <f>122.58</f>
        <v>122.58</v>
      </c>
      <c r="D276" s="78">
        <f>297.941</f>
        <v>297.94099999999997</v>
      </c>
      <c r="E276" s="86">
        <f>89.177</f>
        <v>89.177000000000007</v>
      </c>
      <c r="F276" s="78">
        <f>240.302-40-60</f>
        <v>140.30199999999999</v>
      </c>
      <c r="G276" s="80">
        <v>40</v>
      </c>
      <c r="H276" s="78">
        <v>60</v>
      </c>
      <c r="I276" s="78">
        <f t="shared" si="40"/>
        <v>0</v>
      </c>
      <c r="J276" s="80">
        <v>100</v>
      </c>
      <c r="K276" s="80">
        <v>300</v>
      </c>
      <c r="L276" s="78">
        <f t="shared" si="43"/>
        <v>1150</v>
      </c>
      <c r="M276" s="88">
        <v>600</v>
      </c>
      <c r="N276" s="78">
        <f>100</f>
        <v>100</v>
      </c>
      <c r="O276" s="80">
        <v>240</v>
      </c>
      <c r="P276" s="80">
        <v>40</v>
      </c>
      <c r="Q276" s="80">
        <f t="shared" si="44"/>
        <v>315</v>
      </c>
      <c r="R276" s="80">
        <f t="shared" si="45"/>
        <v>100</v>
      </c>
      <c r="S276" s="78">
        <f t="shared" si="46"/>
        <v>695</v>
      </c>
      <c r="T276" s="78">
        <f>50</f>
        <v>50</v>
      </c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</row>
    <row r="277" spans="1:30" ht="15.75" x14ac:dyDescent="0.25">
      <c r="A277" s="16">
        <v>49341</v>
      </c>
      <c r="B277" s="91">
        <v>28</v>
      </c>
      <c r="C277" s="78">
        <f>122.58</f>
        <v>122.58</v>
      </c>
      <c r="D277" s="78">
        <f>297.941</f>
        <v>297.94099999999997</v>
      </c>
      <c r="E277" s="86">
        <f>89.177</f>
        <v>89.177000000000007</v>
      </c>
      <c r="F277" s="78">
        <f>240.302-40-60</f>
        <v>140.30199999999999</v>
      </c>
      <c r="G277" s="80">
        <v>40</v>
      </c>
      <c r="H277" s="78">
        <v>60</v>
      </c>
      <c r="I277" s="78">
        <f t="shared" si="40"/>
        <v>0</v>
      </c>
      <c r="J277" s="80">
        <v>100</v>
      </c>
      <c r="K277" s="80">
        <v>300</v>
      </c>
      <c r="L277" s="78">
        <f t="shared" si="43"/>
        <v>1150</v>
      </c>
      <c r="M277" s="88">
        <v>600</v>
      </c>
      <c r="N277" s="78">
        <f>100</f>
        <v>100</v>
      </c>
      <c r="O277" s="80">
        <v>240</v>
      </c>
      <c r="P277" s="80">
        <v>40</v>
      </c>
      <c r="Q277" s="80">
        <f t="shared" si="44"/>
        <v>315</v>
      </c>
      <c r="R277" s="80">
        <f t="shared" si="45"/>
        <v>100</v>
      </c>
      <c r="S277" s="78">
        <f t="shared" si="46"/>
        <v>695</v>
      </c>
      <c r="T277" s="78">
        <f>50</f>
        <v>50</v>
      </c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</row>
    <row r="278" spans="1:30" ht="15.75" x14ac:dyDescent="0.25">
      <c r="A278" s="16">
        <v>49369</v>
      </c>
      <c r="B278" s="91">
        <v>31</v>
      </c>
      <c r="C278" s="78">
        <f>122.58</f>
        <v>122.58</v>
      </c>
      <c r="D278" s="78">
        <f>297.941</f>
        <v>297.94099999999997</v>
      </c>
      <c r="E278" s="86">
        <f>89.177</f>
        <v>89.177000000000007</v>
      </c>
      <c r="F278" s="78">
        <f>240.302-40-60</f>
        <v>140.30199999999999</v>
      </c>
      <c r="G278" s="80">
        <v>40</v>
      </c>
      <c r="H278" s="78">
        <v>60</v>
      </c>
      <c r="I278" s="78">
        <f t="shared" si="40"/>
        <v>0</v>
      </c>
      <c r="J278" s="80">
        <v>100</v>
      </c>
      <c r="K278" s="80">
        <v>300</v>
      </c>
      <c r="L278" s="78">
        <f t="shared" si="43"/>
        <v>1150</v>
      </c>
      <c r="M278" s="88">
        <v>600</v>
      </c>
      <c r="N278" s="78">
        <f>100</f>
        <v>100</v>
      </c>
      <c r="O278" s="80">
        <v>240</v>
      </c>
      <c r="P278" s="80">
        <v>40</v>
      </c>
      <c r="Q278" s="80">
        <f t="shared" si="44"/>
        <v>315</v>
      </c>
      <c r="R278" s="80">
        <f t="shared" si="45"/>
        <v>100</v>
      </c>
      <c r="S278" s="78">
        <f t="shared" si="46"/>
        <v>695</v>
      </c>
      <c r="T278" s="78">
        <f>50</f>
        <v>50</v>
      </c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</row>
    <row r="279" spans="1:30" ht="15.75" x14ac:dyDescent="0.25">
      <c r="A279" s="16">
        <v>49400</v>
      </c>
      <c r="B279" s="91">
        <v>30</v>
      </c>
      <c r="C279" s="78">
        <f>141.293</f>
        <v>141.29300000000001</v>
      </c>
      <c r="D279" s="78">
        <f>267.993</f>
        <v>267.99299999999999</v>
      </c>
      <c r="E279" s="86">
        <f>115.016</f>
        <v>115.01600000000001</v>
      </c>
      <c r="F279" s="78">
        <f>314.698-40-25-60</f>
        <v>189.69799999999998</v>
      </c>
      <c r="G279" s="80">
        <v>40</v>
      </c>
      <c r="H279" s="78">
        <f t="shared" ref="H279:H285" si="47">25+60</f>
        <v>85</v>
      </c>
      <c r="I279" s="78">
        <f t="shared" si="40"/>
        <v>0</v>
      </c>
      <c r="J279" s="80">
        <v>100</v>
      </c>
      <c r="K279" s="80">
        <v>300</v>
      </c>
      <c r="L279" s="78">
        <f t="shared" si="43"/>
        <v>1239</v>
      </c>
      <c r="M279" s="88">
        <v>600</v>
      </c>
      <c r="N279" s="78">
        <f>100</f>
        <v>100</v>
      </c>
      <c r="O279" s="80">
        <v>240</v>
      </c>
      <c r="P279" s="80">
        <v>160</v>
      </c>
      <c r="Q279" s="80">
        <f t="shared" si="44"/>
        <v>195</v>
      </c>
      <c r="R279" s="80">
        <f t="shared" si="45"/>
        <v>100</v>
      </c>
      <c r="S279" s="78">
        <f t="shared" si="46"/>
        <v>695</v>
      </c>
      <c r="T279" s="78">
        <f>50</f>
        <v>50</v>
      </c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</row>
    <row r="280" spans="1:30" ht="15.75" x14ac:dyDescent="0.25">
      <c r="A280" s="16">
        <v>49430</v>
      </c>
      <c r="B280" s="91">
        <v>31</v>
      </c>
      <c r="C280" s="78">
        <f>194.205</f>
        <v>194.20500000000001</v>
      </c>
      <c r="D280" s="78">
        <f>267.466</f>
        <v>267.46600000000001</v>
      </c>
      <c r="E280" s="86">
        <f>133.845</f>
        <v>133.845</v>
      </c>
      <c r="F280" s="78">
        <f>278.484-40-25-60</f>
        <v>153.48399999999998</v>
      </c>
      <c r="G280" s="80">
        <v>40</v>
      </c>
      <c r="H280" s="78">
        <f t="shared" si="47"/>
        <v>85</v>
      </c>
      <c r="I280" s="78">
        <f t="shared" si="40"/>
        <v>0</v>
      </c>
      <c r="J280" s="80">
        <v>100</v>
      </c>
      <c r="K280" s="80">
        <v>300</v>
      </c>
      <c r="L280" s="78">
        <f t="shared" si="43"/>
        <v>1274</v>
      </c>
      <c r="M280" s="88">
        <v>600</v>
      </c>
      <c r="N280" s="78">
        <f>75</f>
        <v>75</v>
      </c>
      <c r="O280" s="80">
        <v>240</v>
      </c>
      <c r="P280" s="80">
        <v>160</v>
      </c>
      <c r="Q280" s="80">
        <f t="shared" si="44"/>
        <v>195</v>
      </c>
      <c r="R280" s="80">
        <f t="shared" si="45"/>
        <v>100</v>
      </c>
      <c r="S280" s="78">
        <f t="shared" si="46"/>
        <v>695</v>
      </c>
      <c r="T280" s="78">
        <f>50</f>
        <v>50</v>
      </c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</row>
    <row r="281" spans="1:30" ht="15.75" x14ac:dyDescent="0.25">
      <c r="A281" s="15">
        <v>49461</v>
      </c>
      <c r="B281" s="91">
        <v>30</v>
      </c>
      <c r="C281" s="78">
        <f>194.205</f>
        <v>194.20500000000001</v>
      </c>
      <c r="D281" s="78">
        <f>267.466</f>
        <v>267.46600000000001</v>
      </c>
      <c r="E281" s="86">
        <f>133.845</f>
        <v>133.845</v>
      </c>
      <c r="F281" s="78">
        <f>278.484-40-25-60</f>
        <v>153.48399999999998</v>
      </c>
      <c r="G281" s="80">
        <v>40</v>
      </c>
      <c r="H281" s="78">
        <f t="shared" si="47"/>
        <v>85</v>
      </c>
      <c r="I281" s="78">
        <f t="shared" si="40"/>
        <v>0</v>
      </c>
      <c r="J281" s="80">
        <v>100</v>
      </c>
      <c r="K281" s="80">
        <v>300</v>
      </c>
      <c r="L281" s="78">
        <f t="shared" si="43"/>
        <v>1274</v>
      </c>
      <c r="M281" s="88">
        <v>600</v>
      </c>
      <c r="N281" s="78">
        <f>30</f>
        <v>30</v>
      </c>
      <c r="O281" s="80">
        <v>240</v>
      </c>
      <c r="P281" s="80">
        <v>160</v>
      </c>
      <c r="Q281" s="80">
        <f t="shared" si="44"/>
        <v>195</v>
      </c>
      <c r="R281" s="80">
        <f t="shared" si="45"/>
        <v>100</v>
      </c>
      <c r="S281" s="78">
        <f t="shared" si="46"/>
        <v>695</v>
      </c>
      <c r="T281" s="78">
        <f>50</f>
        <v>50</v>
      </c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</row>
    <row r="282" spans="1:30" ht="15.75" x14ac:dyDescent="0.25">
      <c r="A282" s="15">
        <v>49491</v>
      </c>
      <c r="B282" s="91">
        <v>31</v>
      </c>
      <c r="C282" s="78">
        <f>194.205</f>
        <v>194.20500000000001</v>
      </c>
      <c r="D282" s="78">
        <f>267.466</f>
        <v>267.46600000000001</v>
      </c>
      <c r="E282" s="86">
        <f>133.845</f>
        <v>133.845</v>
      </c>
      <c r="F282" s="78">
        <f>278.484-40-25-60</f>
        <v>153.48399999999998</v>
      </c>
      <c r="G282" s="80">
        <v>40</v>
      </c>
      <c r="H282" s="78">
        <f t="shared" si="47"/>
        <v>85</v>
      </c>
      <c r="I282" s="78">
        <f t="shared" si="40"/>
        <v>0</v>
      </c>
      <c r="J282" s="80">
        <v>100</v>
      </c>
      <c r="K282" s="80">
        <v>300</v>
      </c>
      <c r="L282" s="78">
        <f t="shared" si="43"/>
        <v>1274</v>
      </c>
      <c r="M282" s="88">
        <v>600</v>
      </c>
      <c r="N282" s="78">
        <f>30</f>
        <v>30</v>
      </c>
      <c r="O282" s="80">
        <v>240</v>
      </c>
      <c r="P282" s="80">
        <v>160</v>
      </c>
      <c r="Q282" s="80">
        <f t="shared" si="44"/>
        <v>195</v>
      </c>
      <c r="R282" s="80">
        <f t="shared" si="45"/>
        <v>100</v>
      </c>
      <c r="S282" s="78">
        <f t="shared" si="46"/>
        <v>695</v>
      </c>
      <c r="T282" s="78">
        <f>0</f>
        <v>0</v>
      </c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</row>
    <row r="283" spans="1:30" ht="15.75" x14ac:dyDescent="0.25">
      <c r="A283" s="15">
        <v>49522</v>
      </c>
      <c r="B283" s="91">
        <v>31</v>
      </c>
      <c r="C283" s="78">
        <f>194.205</f>
        <v>194.20500000000001</v>
      </c>
      <c r="D283" s="78">
        <f>267.466</f>
        <v>267.46600000000001</v>
      </c>
      <c r="E283" s="86">
        <f>133.845</f>
        <v>133.845</v>
      </c>
      <c r="F283" s="78">
        <f>278.484-40-25-60</f>
        <v>153.48399999999998</v>
      </c>
      <c r="G283" s="80">
        <v>40</v>
      </c>
      <c r="H283" s="78">
        <f t="shared" si="47"/>
        <v>85</v>
      </c>
      <c r="I283" s="78">
        <f t="shared" si="40"/>
        <v>0</v>
      </c>
      <c r="J283" s="80">
        <v>100</v>
      </c>
      <c r="K283" s="80">
        <v>300</v>
      </c>
      <c r="L283" s="78">
        <f t="shared" si="43"/>
        <v>1274</v>
      </c>
      <c r="M283" s="88">
        <v>600</v>
      </c>
      <c r="N283" s="78">
        <f>30</f>
        <v>30</v>
      </c>
      <c r="O283" s="80">
        <v>240</v>
      </c>
      <c r="P283" s="80">
        <v>160</v>
      </c>
      <c r="Q283" s="80">
        <f t="shared" si="44"/>
        <v>195</v>
      </c>
      <c r="R283" s="80">
        <f t="shared" si="45"/>
        <v>100</v>
      </c>
      <c r="S283" s="78">
        <f t="shared" si="46"/>
        <v>695</v>
      </c>
      <c r="T283" s="78">
        <f>0</f>
        <v>0</v>
      </c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</row>
    <row r="284" spans="1:30" ht="15.75" x14ac:dyDescent="0.25">
      <c r="A284" s="15">
        <v>49553</v>
      </c>
      <c r="B284" s="91">
        <v>30</v>
      </c>
      <c r="C284" s="78">
        <f>194.205</f>
        <v>194.20500000000001</v>
      </c>
      <c r="D284" s="78">
        <f>267.466</f>
        <v>267.46600000000001</v>
      </c>
      <c r="E284" s="86">
        <f>133.845</f>
        <v>133.845</v>
      </c>
      <c r="F284" s="78">
        <f>278.484-40-25-60</f>
        <v>153.48399999999998</v>
      </c>
      <c r="G284" s="80">
        <v>40</v>
      </c>
      <c r="H284" s="78">
        <f t="shared" si="47"/>
        <v>85</v>
      </c>
      <c r="I284" s="78">
        <f t="shared" si="40"/>
        <v>0</v>
      </c>
      <c r="J284" s="80">
        <v>100</v>
      </c>
      <c r="K284" s="80">
        <v>300</v>
      </c>
      <c r="L284" s="78">
        <f t="shared" si="43"/>
        <v>1274</v>
      </c>
      <c r="M284" s="88">
        <v>600</v>
      </c>
      <c r="N284" s="78">
        <f>30</f>
        <v>30</v>
      </c>
      <c r="O284" s="80">
        <v>240</v>
      </c>
      <c r="P284" s="80">
        <v>160</v>
      </c>
      <c r="Q284" s="80">
        <f t="shared" si="44"/>
        <v>195</v>
      </c>
      <c r="R284" s="80">
        <f t="shared" si="45"/>
        <v>100</v>
      </c>
      <c r="S284" s="78">
        <f t="shared" si="46"/>
        <v>695</v>
      </c>
      <c r="T284" s="78">
        <f>0</f>
        <v>0</v>
      </c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</row>
    <row r="285" spans="1:30" ht="15.75" x14ac:dyDescent="0.25">
      <c r="A285" s="15">
        <v>49583</v>
      </c>
      <c r="B285" s="91">
        <v>31</v>
      </c>
      <c r="C285" s="78">
        <f>131.881</f>
        <v>131.881</v>
      </c>
      <c r="D285" s="78">
        <f>277.167</f>
        <v>277.16699999999997</v>
      </c>
      <c r="E285" s="86">
        <f>79.08</f>
        <v>79.08</v>
      </c>
      <c r="F285" s="78">
        <f>350.872-40-25-60</f>
        <v>225.87200000000001</v>
      </c>
      <c r="G285" s="80">
        <v>40</v>
      </c>
      <c r="H285" s="78">
        <f t="shared" si="47"/>
        <v>85</v>
      </c>
      <c r="I285" s="78">
        <f t="shared" si="40"/>
        <v>0</v>
      </c>
      <c r="J285" s="80">
        <v>100</v>
      </c>
      <c r="K285" s="80">
        <v>300</v>
      </c>
      <c r="L285" s="78">
        <f t="shared" si="43"/>
        <v>1239</v>
      </c>
      <c r="M285" s="88">
        <v>600</v>
      </c>
      <c r="N285" s="78">
        <f>75</f>
        <v>75</v>
      </c>
      <c r="O285" s="80">
        <v>240</v>
      </c>
      <c r="P285" s="80">
        <v>160</v>
      </c>
      <c r="Q285" s="80">
        <f t="shared" si="44"/>
        <v>195</v>
      </c>
      <c r="R285" s="80">
        <f t="shared" si="45"/>
        <v>100</v>
      </c>
      <c r="S285" s="78">
        <f t="shared" si="46"/>
        <v>695</v>
      </c>
      <c r="T285" s="78">
        <f>0</f>
        <v>0</v>
      </c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</row>
    <row r="286" spans="1:30" ht="15.75" x14ac:dyDescent="0.25">
      <c r="A286" s="15">
        <v>49614</v>
      </c>
      <c r="B286" s="91">
        <v>30</v>
      </c>
      <c r="C286" s="78">
        <f>122.58</f>
        <v>122.58</v>
      </c>
      <c r="D286" s="78">
        <f>297.941</f>
        <v>297.94099999999997</v>
      </c>
      <c r="E286" s="86">
        <f>89.177</f>
        <v>89.177000000000007</v>
      </c>
      <c r="F286" s="78">
        <f>240.302-40-60</f>
        <v>140.30199999999999</v>
      </c>
      <c r="G286" s="80">
        <v>40</v>
      </c>
      <c r="H286" s="78">
        <v>60</v>
      </c>
      <c r="I286" s="78">
        <f t="shared" si="40"/>
        <v>0</v>
      </c>
      <c r="J286" s="80">
        <v>100</v>
      </c>
      <c r="K286" s="80">
        <v>300</v>
      </c>
      <c r="L286" s="78">
        <f t="shared" si="43"/>
        <v>1150</v>
      </c>
      <c r="M286" s="88">
        <v>600</v>
      </c>
      <c r="N286" s="78">
        <f>100</f>
        <v>100</v>
      </c>
      <c r="O286" s="80">
        <v>240</v>
      </c>
      <c r="P286" s="80">
        <v>40</v>
      </c>
      <c r="Q286" s="80">
        <f t="shared" si="44"/>
        <v>315</v>
      </c>
      <c r="R286" s="80">
        <f t="shared" si="45"/>
        <v>100</v>
      </c>
      <c r="S286" s="78">
        <f t="shared" si="46"/>
        <v>695</v>
      </c>
      <c r="T286" s="78">
        <f>50</f>
        <v>50</v>
      </c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</row>
    <row r="287" spans="1:30" ht="15.75" x14ac:dyDescent="0.25">
      <c r="A287" s="15">
        <v>49644</v>
      </c>
      <c r="B287" s="91">
        <v>31</v>
      </c>
      <c r="C287" s="78">
        <f>122.58</f>
        <v>122.58</v>
      </c>
      <c r="D287" s="78">
        <f>297.941</f>
        <v>297.94099999999997</v>
      </c>
      <c r="E287" s="86">
        <f>89.177</f>
        <v>89.177000000000007</v>
      </c>
      <c r="F287" s="78">
        <f>240.302-40-60</f>
        <v>140.30199999999999</v>
      </c>
      <c r="G287" s="80">
        <v>40</v>
      </c>
      <c r="H287" s="78">
        <v>60</v>
      </c>
      <c r="I287" s="78">
        <f t="shared" si="40"/>
        <v>0</v>
      </c>
      <c r="J287" s="80">
        <v>100</v>
      </c>
      <c r="K287" s="80">
        <v>300</v>
      </c>
      <c r="L287" s="78">
        <f t="shared" si="43"/>
        <v>1150</v>
      </c>
      <c r="M287" s="88">
        <v>600</v>
      </c>
      <c r="N287" s="78">
        <f>100</f>
        <v>100</v>
      </c>
      <c r="O287" s="80">
        <v>240</v>
      </c>
      <c r="P287" s="80">
        <v>40</v>
      </c>
      <c r="Q287" s="80">
        <f t="shared" si="44"/>
        <v>315</v>
      </c>
      <c r="R287" s="80">
        <f t="shared" si="45"/>
        <v>100</v>
      </c>
      <c r="S287" s="78">
        <f t="shared" si="46"/>
        <v>695</v>
      </c>
      <c r="T287" s="78">
        <f>50</f>
        <v>50</v>
      </c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</row>
    <row r="288" spans="1:30" ht="15.75" x14ac:dyDescent="0.25">
      <c r="A288" s="15">
        <v>49675</v>
      </c>
      <c r="B288" s="91">
        <v>31</v>
      </c>
      <c r="C288" s="78">
        <f>122.58</f>
        <v>122.58</v>
      </c>
      <c r="D288" s="78">
        <f>297.941</f>
        <v>297.94099999999997</v>
      </c>
      <c r="E288" s="86">
        <f>89.177</f>
        <v>89.177000000000007</v>
      </c>
      <c r="F288" s="78">
        <f>240.302-40-60</f>
        <v>140.30199999999999</v>
      </c>
      <c r="G288" s="80">
        <v>40</v>
      </c>
      <c r="H288" s="78">
        <v>60</v>
      </c>
      <c r="I288" s="78">
        <f t="shared" si="40"/>
        <v>0</v>
      </c>
      <c r="J288" s="80">
        <v>100</v>
      </c>
      <c r="K288" s="80">
        <v>300</v>
      </c>
      <c r="L288" s="78">
        <f t="shared" si="43"/>
        <v>1150</v>
      </c>
      <c r="M288" s="88">
        <v>600</v>
      </c>
      <c r="N288" s="78">
        <f>100</f>
        <v>100</v>
      </c>
      <c r="O288" s="80">
        <v>240</v>
      </c>
      <c r="P288" s="80">
        <v>40</v>
      </c>
      <c r="Q288" s="80">
        <f t="shared" si="44"/>
        <v>315</v>
      </c>
      <c r="R288" s="80">
        <f t="shared" si="45"/>
        <v>100</v>
      </c>
      <c r="S288" s="78">
        <f t="shared" si="46"/>
        <v>695</v>
      </c>
      <c r="T288" s="78">
        <f>50</f>
        <v>50</v>
      </c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</row>
    <row r="289" spans="1:30" ht="15.75" x14ac:dyDescent="0.25">
      <c r="A289" s="15">
        <v>49706</v>
      </c>
      <c r="B289" s="91">
        <v>29</v>
      </c>
      <c r="C289" s="78">
        <f>122.58</f>
        <v>122.58</v>
      </c>
      <c r="D289" s="78">
        <f>297.941</f>
        <v>297.94099999999997</v>
      </c>
      <c r="E289" s="86">
        <f>89.177</f>
        <v>89.177000000000007</v>
      </c>
      <c r="F289" s="78">
        <f>240.302-40-60</f>
        <v>140.30199999999999</v>
      </c>
      <c r="G289" s="80">
        <v>40</v>
      </c>
      <c r="H289" s="78">
        <v>60</v>
      </c>
      <c r="I289" s="78">
        <f t="shared" si="40"/>
        <v>0</v>
      </c>
      <c r="J289" s="80">
        <v>100</v>
      </c>
      <c r="K289" s="80">
        <v>300</v>
      </c>
      <c r="L289" s="78">
        <f t="shared" si="43"/>
        <v>1150</v>
      </c>
      <c r="M289" s="88">
        <v>600</v>
      </c>
      <c r="N289" s="78">
        <f>100</f>
        <v>100</v>
      </c>
      <c r="O289" s="80">
        <v>240</v>
      </c>
      <c r="P289" s="80">
        <v>40</v>
      </c>
      <c r="Q289" s="80">
        <f t="shared" si="44"/>
        <v>315</v>
      </c>
      <c r="R289" s="80">
        <f t="shared" si="45"/>
        <v>100</v>
      </c>
      <c r="S289" s="78">
        <f t="shared" si="46"/>
        <v>695</v>
      </c>
      <c r="T289" s="78">
        <f>50</f>
        <v>50</v>
      </c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</row>
    <row r="290" spans="1:30" ht="15.75" x14ac:dyDescent="0.25">
      <c r="A290" s="15">
        <v>49735</v>
      </c>
      <c r="B290" s="91">
        <v>31</v>
      </c>
      <c r="C290" s="78">
        <f>122.58</f>
        <v>122.58</v>
      </c>
      <c r="D290" s="78">
        <f>297.941</f>
        <v>297.94099999999997</v>
      </c>
      <c r="E290" s="86">
        <f>89.177</f>
        <v>89.177000000000007</v>
      </c>
      <c r="F290" s="78">
        <f>240.302-40-60</f>
        <v>140.30199999999999</v>
      </c>
      <c r="G290" s="80">
        <v>40</v>
      </c>
      <c r="H290" s="78">
        <v>60</v>
      </c>
      <c r="I290" s="78">
        <f t="shared" si="40"/>
        <v>0</v>
      </c>
      <c r="J290" s="80">
        <v>100</v>
      </c>
      <c r="K290" s="80">
        <v>300</v>
      </c>
      <c r="L290" s="78">
        <f t="shared" si="43"/>
        <v>1150</v>
      </c>
      <c r="M290" s="88">
        <v>600</v>
      </c>
      <c r="N290" s="78">
        <f>100</f>
        <v>100</v>
      </c>
      <c r="O290" s="80">
        <v>240</v>
      </c>
      <c r="P290" s="80">
        <v>40</v>
      </c>
      <c r="Q290" s="80">
        <f t="shared" si="44"/>
        <v>315</v>
      </c>
      <c r="R290" s="80">
        <f t="shared" si="45"/>
        <v>100</v>
      </c>
      <c r="S290" s="78">
        <f t="shared" si="46"/>
        <v>695</v>
      </c>
      <c r="T290" s="78">
        <f>50</f>
        <v>50</v>
      </c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</row>
    <row r="291" spans="1:30" ht="15.75" x14ac:dyDescent="0.25">
      <c r="A291" s="15">
        <v>49766</v>
      </c>
      <c r="B291" s="91">
        <v>30</v>
      </c>
      <c r="C291" s="78">
        <f>141.293</f>
        <v>141.29300000000001</v>
      </c>
      <c r="D291" s="78">
        <f>267.993</f>
        <v>267.99299999999999</v>
      </c>
      <c r="E291" s="86">
        <f>115.016</f>
        <v>115.01600000000001</v>
      </c>
      <c r="F291" s="78">
        <f>314.698-40-25-60</f>
        <v>189.69799999999998</v>
      </c>
      <c r="G291" s="80">
        <v>40</v>
      </c>
      <c r="H291" s="78">
        <f t="shared" ref="H291:H297" si="48">25+60</f>
        <v>85</v>
      </c>
      <c r="I291" s="78">
        <f t="shared" si="40"/>
        <v>0</v>
      </c>
      <c r="J291" s="80">
        <v>100</v>
      </c>
      <c r="K291" s="80">
        <v>300</v>
      </c>
      <c r="L291" s="78">
        <f t="shared" si="43"/>
        <v>1239</v>
      </c>
      <c r="M291" s="88">
        <v>600</v>
      </c>
      <c r="N291" s="78">
        <f>100</f>
        <v>100</v>
      </c>
      <c r="O291" s="80">
        <v>240</v>
      </c>
      <c r="P291" s="80">
        <v>160</v>
      </c>
      <c r="Q291" s="80">
        <f t="shared" si="44"/>
        <v>195</v>
      </c>
      <c r="R291" s="80">
        <f t="shared" si="45"/>
        <v>100</v>
      </c>
      <c r="S291" s="78">
        <f t="shared" si="46"/>
        <v>695</v>
      </c>
      <c r="T291" s="78">
        <f>50</f>
        <v>50</v>
      </c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</row>
    <row r="292" spans="1:30" ht="15.75" x14ac:dyDescent="0.25">
      <c r="A292" s="15">
        <v>49796</v>
      </c>
      <c r="B292" s="91">
        <v>31</v>
      </c>
      <c r="C292" s="78">
        <f>194.205</f>
        <v>194.20500000000001</v>
      </c>
      <c r="D292" s="78">
        <f>267.466</f>
        <v>267.46600000000001</v>
      </c>
      <c r="E292" s="86">
        <f>133.845</f>
        <v>133.845</v>
      </c>
      <c r="F292" s="78">
        <f>278.484-40-25-60</f>
        <v>153.48399999999998</v>
      </c>
      <c r="G292" s="80">
        <v>40</v>
      </c>
      <c r="H292" s="78">
        <f t="shared" si="48"/>
        <v>85</v>
      </c>
      <c r="I292" s="78">
        <f t="shared" si="40"/>
        <v>0</v>
      </c>
      <c r="J292" s="80">
        <v>100</v>
      </c>
      <c r="K292" s="80">
        <v>300</v>
      </c>
      <c r="L292" s="78">
        <f t="shared" si="43"/>
        <v>1274</v>
      </c>
      <c r="M292" s="88">
        <v>600</v>
      </c>
      <c r="N292" s="78">
        <f>75</f>
        <v>75</v>
      </c>
      <c r="O292" s="80">
        <v>240</v>
      </c>
      <c r="P292" s="80">
        <v>160</v>
      </c>
      <c r="Q292" s="80">
        <f t="shared" si="44"/>
        <v>195</v>
      </c>
      <c r="R292" s="80">
        <f t="shared" si="45"/>
        <v>100</v>
      </c>
      <c r="S292" s="78">
        <f t="shared" si="46"/>
        <v>695</v>
      </c>
      <c r="T292" s="78">
        <f>50</f>
        <v>50</v>
      </c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</row>
    <row r="293" spans="1:30" ht="15.75" x14ac:dyDescent="0.25">
      <c r="A293" s="15">
        <v>49827</v>
      </c>
      <c r="B293" s="91">
        <v>30</v>
      </c>
      <c r="C293" s="78">
        <f>194.205</f>
        <v>194.20500000000001</v>
      </c>
      <c r="D293" s="78">
        <f>267.466</f>
        <v>267.46600000000001</v>
      </c>
      <c r="E293" s="86">
        <f>133.845</f>
        <v>133.845</v>
      </c>
      <c r="F293" s="78">
        <f>278.484-40-25-60</f>
        <v>153.48399999999998</v>
      </c>
      <c r="G293" s="80">
        <v>40</v>
      </c>
      <c r="H293" s="78">
        <f t="shared" si="48"/>
        <v>85</v>
      </c>
      <c r="I293" s="78">
        <f t="shared" si="40"/>
        <v>0</v>
      </c>
      <c r="J293" s="80">
        <v>100</v>
      </c>
      <c r="K293" s="80">
        <v>300</v>
      </c>
      <c r="L293" s="78">
        <f t="shared" si="43"/>
        <v>1274</v>
      </c>
      <c r="M293" s="88">
        <v>600</v>
      </c>
      <c r="N293" s="78">
        <f>30</f>
        <v>30</v>
      </c>
      <c r="O293" s="80">
        <v>240</v>
      </c>
      <c r="P293" s="80">
        <v>160</v>
      </c>
      <c r="Q293" s="80">
        <f t="shared" si="44"/>
        <v>195</v>
      </c>
      <c r="R293" s="80">
        <f t="shared" si="45"/>
        <v>100</v>
      </c>
      <c r="S293" s="78">
        <f t="shared" si="46"/>
        <v>695</v>
      </c>
      <c r="T293" s="78">
        <f>50</f>
        <v>50</v>
      </c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</row>
    <row r="294" spans="1:30" ht="15.75" x14ac:dyDescent="0.25">
      <c r="A294" s="15">
        <v>49857</v>
      </c>
      <c r="B294" s="91">
        <v>31</v>
      </c>
      <c r="C294" s="78">
        <f>194.205</f>
        <v>194.20500000000001</v>
      </c>
      <c r="D294" s="78">
        <f>267.466</f>
        <v>267.46600000000001</v>
      </c>
      <c r="E294" s="86">
        <f>133.845</f>
        <v>133.845</v>
      </c>
      <c r="F294" s="78">
        <f>278.484-40-25-60</f>
        <v>153.48399999999998</v>
      </c>
      <c r="G294" s="80">
        <v>40</v>
      </c>
      <c r="H294" s="78">
        <f t="shared" si="48"/>
        <v>85</v>
      </c>
      <c r="I294" s="78">
        <f t="shared" si="40"/>
        <v>0</v>
      </c>
      <c r="J294" s="80">
        <v>100</v>
      </c>
      <c r="K294" s="80">
        <v>300</v>
      </c>
      <c r="L294" s="78">
        <f t="shared" si="43"/>
        <v>1274</v>
      </c>
      <c r="M294" s="88">
        <v>600</v>
      </c>
      <c r="N294" s="78">
        <f>30</f>
        <v>30</v>
      </c>
      <c r="O294" s="80">
        <v>240</v>
      </c>
      <c r="P294" s="80">
        <v>160</v>
      </c>
      <c r="Q294" s="80">
        <f t="shared" si="44"/>
        <v>195</v>
      </c>
      <c r="R294" s="80">
        <f t="shared" si="45"/>
        <v>100</v>
      </c>
      <c r="S294" s="78">
        <f t="shared" si="46"/>
        <v>695</v>
      </c>
      <c r="T294" s="78">
        <f>0</f>
        <v>0</v>
      </c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</row>
    <row r="295" spans="1:30" ht="15.75" x14ac:dyDescent="0.25">
      <c r="A295" s="15">
        <v>49888</v>
      </c>
      <c r="B295" s="91">
        <v>31</v>
      </c>
      <c r="C295" s="78">
        <f>194.205</f>
        <v>194.20500000000001</v>
      </c>
      <c r="D295" s="78">
        <f>267.466</f>
        <v>267.46600000000001</v>
      </c>
      <c r="E295" s="86">
        <f>133.845</f>
        <v>133.845</v>
      </c>
      <c r="F295" s="78">
        <f>278.484-40-25-60</f>
        <v>153.48399999999998</v>
      </c>
      <c r="G295" s="80">
        <v>40</v>
      </c>
      <c r="H295" s="78">
        <f t="shared" si="48"/>
        <v>85</v>
      </c>
      <c r="I295" s="78">
        <f t="shared" si="40"/>
        <v>0</v>
      </c>
      <c r="J295" s="80">
        <v>100</v>
      </c>
      <c r="K295" s="80">
        <v>300</v>
      </c>
      <c r="L295" s="78">
        <f t="shared" si="43"/>
        <v>1274</v>
      </c>
      <c r="M295" s="88">
        <v>600</v>
      </c>
      <c r="N295" s="78">
        <f>30</f>
        <v>30</v>
      </c>
      <c r="O295" s="80">
        <v>240</v>
      </c>
      <c r="P295" s="80">
        <v>160</v>
      </c>
      <c r="Q295" s="80">
        <f t="shared" si="44"/>
        <v>195</v>
      </c>
      <c r="R295" s="80">
        <f t="shared" si="45"/>
        <v>100</v>
      </c>
      <c r="S295" s="78">
        <f t="shared" si="46"/>
        <v>695</v>
      </c>
      <c r="T295" s="78">
        <f>0</f>
        <v>0</v>
      </c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</row>
    <row r="296" spans="1:30" ht="15.75" x14ac:dyDescent="0.25">
      <c r="A296" s="15">
        <v>49919</v>
      </c>
      <c r="B296" s="91">
        <v>30</v>
      </c>
      <c r="C296" s="78">
        <f>194.205</f>
        <v>194.20500000000001</v>
      </c>
      <c r="D296" s="78">
        <f>267.466</f>
        <v>267.46600000000001</v>
      </c>
      <c r="E296" s="86">
        <f>133.845</f>
        <v>133.845</v>
      </c>
      <c r="F296" s="78">
        <f>278.484-40-25-60</f>
        <v>153.48399999999998</v>
      </c>
      <c r="G296" s="80">
        <v>40</v>
      </c>
      <c r="H296" s="78">
        <f t="shared" si="48"/>
        <v>85</v>
      </c>
      <c r="I296" s="78">
        <f t="shared" si="40"/>
        <v>0</v>
      </c>
      <c r="J296" s="80">
        <v>100</v>
      </c>
      <c r="K296" s="80">
        <v>300</v>
      </c>
      <c r="L296" s="78">
        <f t="shared" si="43"/>
        <v>1274</v>
      </c>
      <c r="M296" s="88">
        <v>600</v>
      </c>
      <c r="N296" s="78">
        <f>30</f>
        <v>30</v>
      </c>
      <c r="O296" s="80">
        <v>240</v>
      </c>
      <c r="P296" s="80">
        <v>160</v>
      </c>
      <c r="Q296" s="80">
        <f t="shared" si="44"/>
        <v>195</v>
      </c>
      <c r="R296" s="80">
        <f t="shared" si="45"/>
        <v>100</v>
      </c>
      <c r="S296" s="78">
        <f t="shared" si="46"/>
        <v>695</v>
      </c>
      <c r="T296" s="78">
        <f>0</f>
        <v>0</v>
      </c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</row>
    <row r="297" spans="1:30" ht="15.75" x14ac:dyDescent="0.25">
      <c r="A297" s="15">
        <v>49949</v>
      </c>
      <c r="B297" s="91">
        <v>31</v>
      </c>
      <c r="C297" s="78">
        <f>131.881</f>
        <v>131.881</v>
      </c>
      <c r="D297" s="78">
        <f>277.167</f>
        <v>277.16699999999997</v>
      </c>
      <c r="E297" s="86">
        <f>79.08</f>
        <v>79.08</v>
      </c>
      <c r="F297" s="78">
        <f>350.872-40-25-60</f>
        <v>225.87200000000001</v>
      </c>
      <c r="G297" s="80">
        <v>40</v>
      </c>
      <c r="H297" s="78">
        <f t="shared" si="48"/>
        <v>85</v>
      </c>
      <c r="I297" s="78">
        <f t="shared" si="40"/>
        <v>0</v>
      </c>
      <c r="J297" s="80">
        <v>100</v>
      </c>
      <c r="K297" s="80">
        <v>300</v>
      </c>
      <c r="L297" s="78">
        <f t="shared" si="43"/>
        <v>1239</v>
      </c>
      <c r="M297" s="88">
        <v>600</v>
      </c>
      <c r="N297" s="78">
        <f>75</f>
        <v>75</v>
      </c>
      <c r="O297" s="80">
        <v>240</v>
      </c>
      <c r="P297" s="80">
        <v>160</v>
      </c>
      <c r="Q297" s="80">
        <f t="shared" si="44"/>
        <v>195</v>
      </c>
      <c r="R297" s="80">
        <f t="shared" si="45"/>
        <v>100</v>
      </c>
      <c r="S297" s="78">
        <f t="shared" si="46"/>
        <v>695</v>
      </c>
      <c r="T297" s="78">
        <f>0</f>
        <v>0</v>
      </c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</row>
    <row r="298" spans="1:30" ht="15.75" x14ac:dyDescent="0.25">
      <c r="A298" s="15">
        <v>49980</v>
      </c>
      <c r="B298" s="91">
        <v>30</v>
      </c>
      <c r="C298" s="78">
        <f>122.58</f>
        <v>122.58</v>
      </c>
      <c r="D298" s="78">
        <f>297.941</f>
        <v>297.94099999999997</v>
      </c>
      <c r="E298" s="86">
        <f>89.177</f>
        <v>89.177000000000007</v>
      </c>
      <c r="F298" s="78">
        <f>240.302-40-60</f>
        <v>140.30199999999999</v>
      </c>
      <c r="G298" s="80">
        <v>40</v>
      </c>
      <c r="H298" s="78">
        <v>60</v>
      </c>
      <c r="I298" s="78">
        <f t="shared" si="40"/>
        <v>0</v>
      </c>
      <c r="J298" s="80">
        <v>100</v>
      </c>
      <c r="K298" s="80">
        <v>300</v>
      </c>
      <c r="L298" s="78">
        <f t="shared" si="43"/>
        <v>1150</v>
      </c>
      <c r="M298" s="88">
        <v>600</v>
      </c>
      <c r="N298" s="78">
        <f>100</f>
        <v>100</v>
      </c>
      <c r="O298" s="80">
        <v>240</v>
      </c>
      <c r="P298" s="80">
        <v>40</v>
      </c>
      <c r="Q298" s="80">
        <f t="shared" si="44"/>
        <v>315</v>
      </c>
      <c r="R298" s="80">
        <f t="shared" si="45"/>
        <v>100</v>
      </c>
      <c r="S298" s="78">
        <f t="shared" si="46"/>
        <v>695</v>
      </c>
      <c r="T298" s="78">
        <f>50</f>
        <v>50</v>
      </c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</row>
    <row r="299" spans="1:30" ht="15.75" x14ac:dyDescent="0.25">
      <c r="A299" s="15">
        <v>50010</v>
      </c>
      <c r="B299" s="91">
        <v>31</v>
      </c>
      <c r="C299" s="78">
        <f>122.58</f>
        <v>122.58</v>
      </c>
      <c r="D299" s="78">
        <f>297.941</f>
        <v>297.94099999999997</v>
      </c>
      <c r="E299" s="86">
        <f>89.177</f>
        <v>89.177000000000007</v>
      </c>
      <c r="F299" s="78">
        <f>240.302-40-60</f>
        <v>140.30199999999999</v>
      </c>
      <c r="G299" s="80">
        <v>40</v>
      </c>
      <c r="H299" s="78">
        <v>60</v>
      </c>
      <c r="I299" s="78">
        <f t="shared" si="40"/>
        <v>0</v>
      </c>
      <c r="J299" s="80">
        <v>100</v>
      </c>
      <c r="K299" s="80">
        <v>300</v>
      </c>
      <c r="L299" s="78">
        <f t="shared" si="43"/>
        <v>1150</v>
      </c>
      <c r="M299" s="88">
        <v>600</v>
      </c>
      <c r="N299" s="78">
        <f>100</f>
        <v>100</v>
      </c>
      <c r="O299" s="80">
        <v>240</v>
      </c>
      <c r="P299" s="80">
        <v>40</v>
      </c>
      <c r="Q299" s="80">
        <f t="shared" si="44"/>
        <v>315</v>
      </c>
      <c r="R299" s="80">
        <f t="shared" si="45"/>
        <v>100</v>
      </c>
      <c r="S299" s="78">
        <f t="shared" si="46"/>
        <v>695</v>
      </c>
      <c r="T299" s="78">
        <f>50</f>
        <v>50</v>
      </c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</row>
    <row r="300" spans="1:30" ht="15.75" x14ac:dyDescent="0.25">
      <c r="A300" s="15">
        <v>50041</v>
      </c>
      <c r="B300" s="91">
        <v>31</v>
      </c>
      <c r="C300" s="78">
        <f>122.58</f>
        <v>122.58</v>
      </c>
      <c r="D300" s="78">
        <f>297.941</f>
        <v>297.94099999999997</v>
      </c>
      <c r="E300" s="86">
        <f>89.177</f>
        <v>89.177000000000007</v>
      </c>
      <c r="F300" s="78">
        <f>240.302-40-60</f>
        <v>140.30199999999999</v>
      </c>
      <c r="G300" s="80">
        <v>40</v>
      </c>
      <c r="H300" s="78">
        <v>60</v>
      </c>
      <c r="I300" s="78">
        <f t="shared" si="40"/>
        <v>0</v>
      </c>
      <c r="J300" s="80">
        <v>100</v>
      </c>
      <c r="K300" s="80">
        <v>300</v>
      </c>
      <c r="L300" s="78">
        <f t="shared" si="43"/>
        <v>1150</v>
      </c>
      <c r="M300" s="88">
        <v>600</v>
      </c>
      <c r="N300" s="78">
        <f>100</f>
        <v>100</v>
      </c>
      <c r="O300" s="80">
        <v>240</v>
      </c>
      <c r="P300" s="80">
        <v>40</v>
      </c>
      <c r="Q300" s="80">
        <f t="shared" si="44"/>
        <v>315</v>
      </c>
      <c r="R300" s="80">
        <f t="shared" si="45"/>
        <v>100</v>
      </c>
      <c r="S300" s="78">
        <f t="shared" si="46"/>
        <v>695</v>
      </c>
      <c r="T300" s="78">
        <f>50</f>
        <v>50</v>
      </c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</row>
    <row r="301" spans="1:30" ht="15.75" x14ac:dyDescent="0.25">
      <c r="A301" s="15">
        <v>50072</v>
      </c>
      <c r="B301" s="91">
        <v>28</v>
      </c>
      <c r="C301" s="78">
        <f>122.58</f>
        <v>122.58</v>
      </c>
      <c r="D301" s="78">
        <f>297.941</f>
        <v>297.94099999999997</v>
      </c>
      <c r="E301" s="86">
        <f>89.177</f>
        <v>89.177000000000007</v>
      </c>
      <c r="F301" s="78">
        <f>240.302-40-60</f>
        <v>140.30199999999999</v>
      </c>
      <c r="G301" s="80">
        <v>40</v>
      </c>
      <c r="H301" s="78">
        <v>60</v>
      </c>
      <c r="I301" s="78">
        <f t="shared" si="40"/>
        <v>0</v>
      </c>
      <c r="J301" s="80">
        <v>100</v>
      </c>
      <c r="K301" s="80">
        <v>300</v>
      </c>
      <c r="L301" s="78">
        <f t="shared" si="43"/>
        <v>1150</v>
      </c>
      <c r="M301" s="88">
        <v>600</v>
      </c>
      <c r="N301" s="78">
        <f>100</f>
        <v>100</v>
      </c>
      <c r="O301" s="80">
        <v>240</v>
      </c>
      <c r="P301" s="80">
        <v>40</v>
      </c>
      <c r="Q301" s="80">
        <f t="shared" si="44"/>
        <v>315</v>
      </c>
      <c r="R301" s="80">
        <f t="shared" si="45"/>
        <v>100</v>
      </c>
      <c r="S301" s="78">
        <f t="shared" si="46"/>
        <v>695</v>
      </c>
      <c r="T301" s="78">
        <f>50</f>
        <v>50</v>
      </c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</row>
    <row r="302" spans="1:30" ht="15.75" x14ac:dyDescent="0.25">
      <c r="A302" s="15">
        <v>50100</v>
      </c>
      <c r="B302" s="91">
        <v>31</v>
      </c>
      <c r="C302" s="78">
        <f>122.58</f>
        <v>122.58</v>
      </c>
      <c r="D302" s="78">
        <f>297.941</f>
        <v>297.94099999999997</v>
      </c>
      <c r="E302" s="86">
        <f>89.177</f>
        <v>89.177000000000007</v>
      </c>
      <c r="F302" s="78">
        <f>240.302-40-60</f>
        <v>140.30199999999999</v>
      </c>
      <c r="G302" s="80">
        <v>40</v>
      </c>
      <c r="H302" s="78">
        <v>60</v>
      </c>
      <c r="I302" s="78">
        <f t="shared" si="40"/>
        <v>0</v>
      </c>
      <c r="J302" s="80">
        <v>100</v>
      </c>
      <c r="K302" s="80">
        <v>300</v>
      </c>
      <c r="L302" s="78">
        <f t="shared" si="43"/>
        <v>1150</v>
      </c>
      <c r="M302" s="88">
        <v>600</v>
      </c>
      <c r="N302" s="78">
        <f>100</f>
        <v>100</v>
      </c>
      <c r="O302" s="80">
        <v>240</v>
      </c>
      <c r="P302" s="80">
        <v>40</v>
      </c>
      <c r="Q302" s="80">
        <f t="shared" si="44"/>
        <v>315</v>
      </c>
      <c r="R302" s="80">
        <f t="shared" si="45"/>
        <v>100</v>
      </c>
      <c r="S302" s="78">
        <f t="shared" si="46"/>
        <v>695</v>
      </c>
      <c r="T302" s="78">
        <f>50</f>
        <v>50</v>
      </c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</row>
    <row r="303" spans="1:30" ht="15.75" x14ac:dyDescent="0.25">
      <c r="A303" s="15">
        <v>50131</v>
      </c>
      <c r="B303" s="91">
        <v>30</v>
      </c>
      <c r="C303" s="78">
        <f>141.293</f>
        <v>141.29300000000001</v>
      </c>
      <c r="D303" s="78">
        <f>267.993</f>
        <v>267.99299999999999</v>
      </c>
      <c r="E303" s="86">
        <f>115.016</f>
        <v>115.01600000000001</v>
      </c>
      <c r="F303" s="78">
        <f>314.698-40-25-60</f>
        <v>189.69799999999998</v>
      </c>
      <c r="G303" s="80">
        <v>40</v>
      </c>
      <c r="H303" s="78">
        <f t="shared" ref="H303:H309" si="49">25+60</f>
        <v>85</v>
      </c>
      <c r="I303" s="78">
        <f t="shared" si="40"/>
        <v>0</v>
      </c>
      <c r="J303" s="80">
        <v>100</v>
      </c>
      <c r="K303" s="80">
        <v>300</v>
      </c>
      <c r="L303" s="78">
        <f t="shared" si="43"/>
        <v>1239</v>
      </c>
      <c r="M303" s="88">
        <v>600</v>
      </c>
      <c r="N303" s="78">
        <f>100</f>
        <v>100</v>
      </c>
      <c r="O303" s="80">
        <v>240</v>
      </c>
      <c r="P303" s="80">
        <v>160</v>
      </c>
      <c r="Q303" s="80">
        <f t="shared" si="44"/>
        <v>195</v>
      </c>
      <c r="R303" s="80">
        <f t="shared" si="45"/>
        <v>100</v>
      </c>
      <c r="S303" s="78">
        <f t="shared" si="46"/>
        <v>695</v>
      </c>
      <c r="T303" s="78">
        <f>50</f>
        <v>50</v>
      </c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</row>
    <row r="304" spans="1:30" ht="15.75" x14ac:dyDescent="0.25">
      <c r="A304" s="15">
        <v>50161</v>
      </c>
      <c r="B304" s="91">
        <v>31</v>
      </c>
      <c r="C304" s="78">
        <f>194.205</f>
        <v>194.20500000000001</v>
      </c>
      <c r="D304" s="78">
        <f>267.466</f>
        <v>267.46600000000001</v>
      </c>
      <c r="E304" s="86">
        <f>133.845</f>
        <v>133.845</v>
      </c>
      <c r="F304" s="78">
        <f>278.484-40-25-60</f>
        <v>153.48399999999998</v>
      </c>
      <c r="G304" s="80">
        <v>40</v>
      </c>
      <c r="H304" s="78">
        <f t="shared" si="49"/>
        <v>85</v>
      </c>
      <c r="I304" s="78">
        <f t="shared" si="40"/>
        <v>0</v>
      </c>
      <c r="J304" s="80">
        <v>100</v>
      </c>
      <c r="K304" s="80">
        <v>300</v>
      </c>
      <c r="L304" s="78">
        <f t="shared" si="43"/>
        <v>1274</v>
      </c>
      <c r="M304" s="88">
        <v>600</v>
      </c>
      <c r="N304" s="78">
        <f>75</f>
        <v>75</v>
      </c>
      <c r="O304" s="80">
        <v>240</v>
      </c>
      <c r="P304" s="80">
        <v>160</v>
      </c>
      <c r="Q304" s="80">
        <f t="shared" si="44"/>
        <v>195</v>
      </c>
      <c r="R304" s="80">
        <f t="shared" si="45"/>
        <v>100</v>
      </c>
      <c r="S304" s="78">
        <f t="shared" si="46"/>
        <v>695</v>
      </c>
      <c r="T304" s="78">
        <f>50</f>
        <v>50</v>
      </c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</row>
    <row r="305" spans="1:30" ht="15.75" x14ac:dyDescent="0.25">
      <c r="A305" s="15">
        <v>50192</v>
      </c>
      <c r="B305" s="91">
        <v>30</v>
      </c>
      <c r="C305" s="78">
        <f>194.205</f>
        <v>194.20500000000001</v>
      </c>
      <c r="D305" s="78">
        <f>267.466</f>
        <v>267.46600000000001</v>
      </c>
      <c r="E305" s="86">
        <f>133.845</f>
        <v>133.845</v>
      </c>
      <c r="F305" s="78">
        <f>278.484-40-25-60</f>
        <v>153.48399999999998</v>
      </c>
      <c r="G305" s="80">
        <v>40</v>
      </c>
      <c r="H305" s="78">
        <f t="shared" si="49"/>
        <v>85</v>
      </c>
      <c r="I305" s="78">
        <f t="shared" si="40"/>
        <v>0</v>
      </c>
      <c r="J305" s="80">
        <v>100</v>
      </c>
      <c r="K305" s="80">
        <v>300</v>
      </c>
      <c r="L305" s="78">
        <f t="shared" si="43"/>
        <v>1274</v>
      </c>
      <c r="M305" s="88">
        <v>600</v>
      </c>
      <c r="N305" s="78">
        <f>30</f>
        <v>30</v>
      </c>
      <c r="O305" s="80">
        <v>240</v>
      </c>
      <c r="P305" s="80">
        <v>160</v>
      </c>
      <c r="Q305" s="80">
        <f t="shared" si="44"/>
        <v>195</v>
      </c>
      <c r="R305" s="80">
        <f t="shared" si="45"/>
        <v>100</v>
      </c>
      <c r="S305" s="78">
        <f t="shared" si="46"/>
        <v>695</v>
      </c>
      <c r="T305" s="78">
        <f>50</f>
        <v>50</v>
      </c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</row>
    <row r="306" spans="1:30" ht="15.75" x14ac:dyDescent="0.25">
      <c r="A306" s="15">
        <v>50222</v>
      </c>
      <c r="B306" s="91">
        <v>31</v>
      </c>
      <c r="C306" s="78">
        <f>194.205</f>
        <v>194.20500000000001</v>
      </c>
      <c r="D306" s="78">
        <f>267.466</f>
        <v>267.46600000000001</v>
      </c>
      <c r="E306" s="86">
        <f>133.845</f>
        <v>133.845</v>
      </c>
      <c r="F306" s="78">
        <f>278.484-40-25-60</f>
        <v>153.48399999999998</v>
      </c>
      <c r="G306" s="80">
        <v>40</v>
      </c>
      <c r="H306" s="78">
        <f t="shared" si="49"/>
        <v>85</v>
      </c>
      <c r="I306" s="78">
        <f t="shared" si="40"/>
        <v>0</v>
      </c>
      <c r="J306" s="80">
        <v>100</v>
      </c>
      <c r="K306" s="80">
        <v>300</v>
      </c>
      <c r="L306" s="78">
        <f t="shared" si="43"/>
        <v>1274</v>
      </c>
      <c r="M306" s="88">
        <v>600</v>
      </c>
      <c r="N306" s="78">
        <f>30</f>
        <v>30</v>
      </c>
      <c r="O306" s="80">
        <v>240</v>
      </c>
      <c r="P306" s="80">
        <v>160</v>
      </c>
      <c r="Q306" s="80">
        <f t="shared" si="44"/>
        <v>195</v>
      </c>
      <c r="R306" s="80">
        <f t="shared" si="45"/>
        <v>100</v>
      </c>
      <c r="S306" s="78">
        <f t="shared" si="46"/>
        <v>695</v>
      </c>
      <c r="T306" s="78">
        <f>0</f>
        <v>0</v>
      </c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</row>
    <row r="307" spans="1:30" ht="15.75" x14ac:dyDescent="0.25">
      <c r="A307" s="15">
        <v>50253</v>
      </c>
      <c r="B307" s="91">
        <v>31</v>
      </c>
      <c r="C307" s="78">
        <f>194.205</f>
        <v>194.20500000000001</v>
      </c>
      <c r="D307" s="78">
        <f>267.466</f>
        <v>267.46600000000001</v>
      </c>
      <c r="E307" s="86">
        <f>133.845</f>
        <v>133.845</v>
      </c>
      <c r="F307" s="78">
        <f>278.484-40-25-60</f>
        <v>153.48399999999998</v>
      </c>
      <c r="G307" s="80">
        <v>40</v>
      </c>
      <c r="H307" s="78">
        <f t="shared" si="49"/>
        <v>85</v>
      </c>
      <c r="I307" s="78">
        <f t="shared" si="40"/>
        <v>0</v>
      </c>
      <c r="J307" s="80">
        <v>100</v>
      </c>
      <c r="K307" s="80">
        <v>300</v>
      </c>
      <c r="L307" s="78">
        <f t="shared" si="43"/>
        <v>1274</v>
      </c>
      <c r="M307" s="88">
        <v>600</v>
      </c>
      <c r="N307" s="78">
        <f>30</f>
        <v>30</v>
      </c>
      <c r="O307" s="80">
        <v>240</v>
      </c>
      <c r="P307" s="80">
        <v>160</v>
      </c>
      <c r="Q307" s="80">
        <f t="shared" si="44"/>
        <v>195</v>
      </c>
      <c r="R307" s="80">
        <f t="shared" si="45"/>
        <v>100</v>
      </c>
      <c r="S307" s="78">
        <f t="shared" si="46"/>
        <v>695</v>
      </c>
      <c r="T307" s="78">
        <f>0</f>
        <v>0</v>
      </c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</row>
    <row r="308" spans="1:30" ht="15.75" x14ac:dyDescent="0.25">
      <c r="A308" s="15">
        <v>50284</v>
      </c>
      <c r="B308" s="91">
        <v>30</v>
      </c>
      <c r="C308" s="78">
        <f>194.205</f>
        <v>194.20500000000001</v>
      </c>
      <c r="D308" s="78">
        <f>267.466</f>
        <v>267.46600000000001</v>
      </c>
      <c r="E308" s="86">
        <f>133.845</f>
        <v>133.845</v>
      </c>
      <c r="F308" s="78">
        <f>278.484-40-25-60</f>
        <v>153.48399999999998</v>
      </c>
      <c r="G308" s="80">
        <v>40</v>
      </c>
      <c r="H308" s="78">
        <f t="shared" si="49"/>
        <v>85</v>
      </c>
      <c r="I308" s="78">
        <f t="shared" ref="I308:I371" si="50">400-J308-K308</f>
        <v>0</v>
      </c>
      <c r="J308" s="80">
        <v>100</v>
      </c>
      <c r="K308" s="80">
        <v>300</v>
      </c>
      <c r="L308" s="78">
        <f t="shared" si="43"/>
        <v>1274</v>
      </c>
      <c r="M308" s="88">
        <v>600</v>
      </c>
      <c r="N308" s="78">
        <f>30</f>
        <v>30</v>
      </c>
      <c r="O308" s="80">
        <v>240</v>
      </c>
      <c r="P308" s="80">
        <v>160</v>
      </c>
      <c r="Q308" s="80">
        <f t="shared" si="44"/>
        <v>195</v>
      </c>
      <c r="R308" s="80">
        <f t="shared" si="45"/>
        <v>100</v>
      </c>
      <c r="S308" s="78">
        <f t="shared" si="46"/>
        <v>695</v>
      </c>
      <c r="T308" s="78">
        <f>0</f>
        <v>0</v>
      </c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</row>
    <row r="309" spans="1:30" ht="15.75" x14ac:dyDescent="0.25">
      <c r="A309" s="15">
        <v>50314</v>
      </c>
      <c r="B309" s="91">
        <v>31</v>
      </c>
      <c r="C309" s="78">
        <f>131.881</f>
        <v>131.881</v>
      </c>
      <c r="D309" s="78">
        <f>277.167</f>
        <v>277.16699999999997</v>
      </c>
      <c r="E309" s="86">
        <f>79.08</f>
        <v>79.08</v>
      </c>
      <c r="F309" s="78">
        <f>350.872-40-25-60</f>
        <v>225.87200000000001</v>
      </c>
      <c r="G309" s="80">
        <v>40</v>
      </c>
      <c r="H309" s="78">
        <f t="shared" si="49"/>
        <v>85</v>
      </c>
      <c r="I309" s="78">
        <f t="shared" si="50"/>
        <v>0</v>
      </c>
      <c r="J309" s="80">
        <v>100</v>
      </c>
      <c r="K309" s="80">
        <v>300</v>
      </c>
      <c r="L309" s="78">
        <f t="shared" si="43"/>
        <v>1239</v>
      </c>
      <c r="M309" s="88">
        <v>600</v>
      </c>
      <c r="N309" s="78">
        <f>75</f>
        <v>75</v>
      </c>
      <c r="O309" s="80">
        <v>240</v>
      </c>
      <c r="P309" s="80">
        <v>160</v>
      </c>
      <c r="Q309" s="80">
        <f t="shared" si="44"/>
        <v>195</v>
      </c>
      <c r="R309" s="80">
        <f t="shared" si="45"/>
        <v>100</v>
      </c>
      <c r="S309" s="78">
        <f t="shared" si="46"/>
        <v>695</v>
      </c>
      <c r="T309" s="78">
        <f>0</f>
        <v>0</v>
      </c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</row>
    <row r="310" spans="1:30" ht="15.75" x14ac:dyDescent="0.25">
      <c r="A310" s="15">
        <v>50345</v>
      </c>
      <c r="B310" s="91">
        <v>30</v>
      </c>
      <c r="C310" s="78">
        <f>122.58</f>
        <v>122.58</v>
      </c>
      <c r="D310" s="78">
        <f>297.941</f>
        <v>297.94099999999997</v>
      </c>
      <c r="E310" s="86">
        <f>89.177</f>
        <v>89.177000000000007</v>
      </c>
      <c r="F310" s="78">
        <f>240.302-40-60</f>
        <v>140.30199999999999</v>
      </c>
      <c r="G310" s="80">
        <v>40</v>
      </c>
      <c r="H310" s="78">
        <v>60</v>
      </c>
      <c r="I310" s="78">
        <f t="shared" si="50"/>
        <v>0</v>
      </c>
      <c r="J310" s="80">
        <v>100</v>
      </c>
      <c r="K310" s="80">
        <v>300</v>
      </c>
      <c r="L310" s="78">
        <f t="shared" si="43"/>
        <v>1150</v>
      </c>
      <c r="M310" s="88">
        <v>600</v>
      </c>
      <c r="N310" s="78">
        <f>100</f>
        <v>100</v>
      </c>
      <c r="O310" s="80">
        <v>240</v>
      </c>
      <c r="P310" s="80">
        <v>40</v>
      </c>
      <c r="Q310" s="80">
        <f t="shared" si="44"/>
        <v>315</v>
      </c>
      <c r="R310" s="80">
        <f t="shared" si="45"/>
        <v>100</v>
      </c>
      <c r="S310" s="78">
        <f t="shared" si="46"/>
        <v>695</v>
      </c>
      <c r="T310" s="78">
        <f>50</f>
        <v>50</v>
      </c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</row>
    <row r="311" spans="1:30" ht="15.75" x14ac:dyDescent="0.25">
      <c r="A311" s="15">
        <v>50375</v>
      </c>
      <c r="B311" s="91">
        <v>31</v>
      </c>
      <c r="C311" s="78">
        <f>122.58</f>
        <v>122.58</v>
      </c>
      <c r="D311" s="78">
        <f>297.941</f>
        <v>297.94099999999997</v>
      </c>
      <c r="E311" s="86">
        <f>89.177</f>
        <v>89.177000000000007</v>
      </c>
      <c r="F311" s="78">
        <f>240.302-40-60</f>
        <v>140.30199999999999</v>
      </c>
      <c r="G311" s="80">
        <v>40</v>
      </c>
      <c r="H311" s="78">
        <v>60</v>
      </c>
      <c r="I311" s="78">
        <f t="shared" si="50"/>
        <v>0</v>
      </c>
      <c r="J311" s="80">
        <v>100</v>
      </c>
      <c r="K311" s="80">
        <v>300</v>
      </c>
      <c r="L311" s="78">
        <f t="shared" si="43"/>
        <v>1150</v>
      </c>
      <c r="M311" s="88">
        <v>600</v>
      </c>
      <c r="N311" s="78">
        <f>100</f>
        <v>100</v>
      </c>
      <c r="O311" s="80">
        <v>240</v>
      </c>
      <c r="P311" s="80">
        <v>40</v>
      </c>
      <c r="Q311" s="80">
        <f t="shared" si="44"/>
        <v>315</v>
      </c>
      <c r="R311" s="80">
        <f t="shared" si="45"/>
        <v>100</v>
      </c>
      <c r="S311" s="78">
        <f t="shared" si="46"/>
        <v>695</v>
      </c>
      <c r="T311" s="78">
        <f>50</f>
        <v>50</v>
      </c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</row>
    <row r="312" spans="1:30" ht="15.75" x14ac:dyDescent="0.25">
      <c r="A312" s="14">
        <v>50436</v>
      </c>
      <c r="B312" s="90">
        <v>31</v>
      </c>
      <c r="C312" s="78">
        <f>122.58</f>
        <v>122.58</v>
      </c>
      <c r="D312" s="78">
        <f>297.941</f>
        <v>297.94099999999997</v>
      </c>
      <c r="E312" s="86">
        <f>89.177</f>
        <v>89.177000000000007</v>
      </c>
      <c r="F312" s="78">
        <f>240.302-40-60</f>
        <v>140.30199999999999</v>
      </c>
      <c r="G312" s="80">
        <v>40</v>
      </c>
      <c r="H312" s="78">
        <v>60</v>
      </c>
      <c r="I312" s="78">
        <f t="shared" si="50"/>
        <v>0</v>
      </c>
      <c r="J312" s="80">
        <v>100</v>
      </c>
      <c r="K312" s="80">
        <v>300</v>
      </c>
      <c r="L312" s="78">
        <f t="shared" si="43"/>
        <v>1150</v>
      </c>
      <c r="M312" s="88">
        <v>600</v>
      </c>
      <c r="N312" s="78">
        <f>100</f>
        <v>100</v>
      </c>
      <c r="O312" s="80">
        <v>240</v>
      </c>
      <c r="P312" s="80">
        <v>40</v>
      </c>
      <c r="Q312" s="80">
        <f t="shared" si="44"/>
        <v>315</v>
      </c>
      <c r="R312" s="80">
        <f t="shared" si="45"/>
        <v>100</v>
      </c>
      <c r="S312" s="78">
        <f t="shared" si="46"/>
        <v>695</v>
      </c>
      <c r="T312" s="78">
        <f>50</f>
        <v>50</v>
      </c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</row>
    <row r="313" spans="1:30" ht="15.75" x14ac:dyDescent="0.25">
      <c r="A313" s="14">
        <v>50464</v>
      </c>
      <c r="B313" s="90">
        <v>28</v>
      </c>
      <c r="C313" s="78">
        <f>122.58</f>
        <v>122.58</v>
      </c>
      <c r="D313" s="78">
        <f>297.941</f>
        <v>297.94099999999997</v>
      </c>
      <c r="E313" s="86">
        <f>89.177</f>
        <v>89.177000000000007</v>
      </c>
      <c r="F313" s="78">
        <f>240.302-40-60</f>
        <v>140.30199999999999</v>
      </c>
      <c r="G313" s="80">
        <v>40</v>
      </c>
      <c r="H313" s="78">
        <v>60</v>
      </c>
      <c r="I313" s="78">
        <f t="shared" si="50"/>
        <v>0</v>
      </c>
      <c r="J313" s="80">
        <v>100</v>
      </c>
      <c r="K313" s="80">
        <v>300</v>
      </c>
      <c r="L313" s="78">
        <f t="shared" si="43"/>
        <v>1150</v>
      </c>
      <c r="M313" s="88">
        <v>600</v>
      </c>
      <c r="N313" s="78">
        <f>100</f>
        <v>100</v>
      </c>
      <c r="O313" s="80">
        <v>240</v>
      </c>
      <c r="P313" s="80">
        <v>40</v>
      </c>
      <c r="Q313" s="80">
        <f t="shared" si="44"/>
        <v>315</v>
      </c>
      <c r="R313" s="80">
        <f t="shared" si="45"/>
        <v>100</v>
      </c>
      <c r="S313" s="78">
        <f t="shared" si="46"/>
        <v>695</v>
      </c>
      <c r="T313" s="78">
        <f>50</f>
        <v>50</v>
      </c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</row>
    <row r="314" spans="1:30" ht="15.75" x14ac:dyDescent="0.25">
      <c r="A314" s="14">
        <v>50495</v>
      </c>
      <c r="B314" s="90">
        <v>31</v>
      </c>
      <c r="C314" s="78">
        <f>122.58</f>
        <v>122.58</v>
      </c>
      <c r="D314" s="78">
        <f>297.941</f>
        <v>297.94099999999997</v>
      </c>
      <c r="E314" s="86">
        <f>89.177</f>
        <v>89.177000000000007</v>
      </c>
      <c r="F314" s="78">
        <f>240.302-40-60</f>
        <v>140.30199999999999</v>
      </c>
      <c r="G314" s="80">
        <v>40</v>
      </c>
      <c r="H314" s="78">
        <v>60</v>
      </c>
      <c r="I314" s="78">
        <f t="shared" si="50"/>
        <v>0</v>
      </c>
      <c r="J314" s="80">
        <v>100</v>
      </c>
      <c r="K314" s="80">
        <v>300</v>
      </c>
      <c r="L314" s="78">
        <f t="shared" si="43"/>
        <v>1150</v>
      </c>
      <c r="M314" s="88">
        <v>600</v>
      </c>
      <c r="N314" s="78">
        <f>100</f>
        <v>100</v>
      </c>
      <c r="O314" s="80">
        <v>240</v>
      </c>
      <c r="P314" s="80">
        <v>40</v>
      </c>
      <c r="Q314" s="80">
        <f t="shared" si="44"/>
        <v>315</v>
      </c>
      <c r="R314" s="80">
        <f t="shared" si="45"/>
        <v>100</v>
      </c>
      <c r="S314" s="78">
        <f t="shared" si="46"/>
        <v>695</v>
      </c>
      <c r="T314" s="78">
        <f>50</f>
        <v>50</v>
      </c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</row>
    <row r="315" spans="1:30" ht="15.75" x14ac:dyDescent="0.25">
      <c r="A315" s="14">
        <v>50525</v>
      </c>
      <c r="B315" s="90">
        <v>30</v>
      </c>
      <c r="C315" s="78">
        <f>141.293</f>
        <v>141.29300000000001</v>
      </c>
      <c r="D315" s="78">
        <f>267.993</f>
        <v>267.99299999999999</v>
      </c>
      <c r="E315" s="86">
        <f>115.016</f>
        <v>115.01600000000001</v>
      </c>
      <c r="F315" s="78">
        <f>314.698-40-25-60</f>
        <v>189.69799999999998</v>
      </c>
      <c r="G315" s="80">
        <v>40</v>
      </c>
      <c r="H315" s="78">
        <f t="shared" ref="H315:H321" si="51">25+60</f>
        <v>85</v>
      </c>
      <c r="I315" s="78">
        <f t="shared" si="50"/>
        <v>0</v>
      </c>
      <c r="J315" s="80">
        <v>100</v>
      </c>
      <c r="K315" s="80">
        <v>300</v>
      </c>
      <c r="L315" s="78">
        <f t="shared" si="43"/>
        <v>1239</v>
      </c>
      <c r="M315" s="88">
        <v>600</v>
      </c>
      <c r="N315" s="78">
        <f>100</f>
        <v>100</v>
      </c>
      <c r="O315" s="80">
        <v>240</v>
      </c>
      <c r="P315" s="80">
        <v>160</v>
      </c>
      <c r="Q315" s="80">
        <f t="shared" si="44"/>
        <v>195</v>
      </c>
      <c r="R315" s="80">
        <f t="shared" si="45"/>
        <v>100</v>
      </c>
      <c r="S315" s="78">
        <f t="shared" si="46"/>
        <v>695</v>
      </c>
      <c r="T315" s="78">
        <f>50</f>
        <v>50</v>
      </c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</row>
    <row r="316" spans="1:30" ht="15.75" x14ac:dyDescent="0.25">
      <c r="A316" s="14">
        <v>50556</v>
      </c>
      <c r="B316" s="90">
        <v>31</v>
      </c>
      <c r="C316" s="78">
        <f>194.205</f>
        <v>194.20500000000001</v>
      </c>
      <c r="D316" s="78">
        <f>267.466</f>
        <v>267.46600000000001</v>
      </c>
      <c r="E316" s="86">
        <f>133.845</f>
        <v>133.845</v>
      </c>
      <c r="F316" s="78">
        <f>278.484-40-25-60</f>
        <v>153.48399999999998</v>
      </c>
      <c r="G316" s="80">
        <v>40</v>
      </c>
      <c r="H316" s="78">
        <f t="shared" si="51"/>
        <v>85</v>
      </c>
      <c r="I316" s="78">
        <f t="shared" si="50"/>
        <v>0</v>
      </c>
      <c r="J316" s="80">
        <v>100</v>
      </c>
      <c r="K316" s="80">
        <v>300</v>
      </c>
      <c r="L316" s="78">
        <f t="shared" si="43"/>
        <v>1274</v>
      </c>
      <c r="M316" s="88">
        <v>600</v>
      </c>
      <c r="N316" s="78">
        <f>75</f>
        <v>75</v>
      </c>
      <c r="O316" s="80">
        <v>240</v>
      </c>
      <c r="P316" s="80">
        <v>160</v>
      </c>
      <c r="Q316" s="80">
        <f t="shared" si="44"/>
        <v>195</v>
      </c>
      <c r="R316" s="80">
        <f t="shared" si="45"/>
        <v>100</v>
      </c>
      <c r="S316" s="78">
        <f t="shared" si="46"/>
        <v>695</v>
      </c>
      <c r="T316" s="78">
        <f>50</f>
        <v>50</v>
      </c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</row>
    <row r="317" spans="1:30" ht="15.75" x14ac:dyDescent="0.25">
      <c r="A317" s="14">
        <v>50586</v>
      </c>
      <c r="B317" s="90">
        <v>30</v>
      </c>
      <c r="C317" s="78">
        <f>194.205</f>
        <v>194.20500000000001</v>
      </c>
      <c r="D317" s="78">
        <f>267.466</f>
        <v>267.46600000000001</v>
      </c>
      <c r="E317" s="86">
        <f>133.845</f>
        <v>133.845</v>
      </c>
      <c r="F317" s="78">
        <f>278.484-40-25-60</f>
        <v>153.48399999999998</v>
      </c>
      <c r="G317" s="80">
        <v>40</v>
      </c>
      <c r="H317" s="78">
        <f t="shared" si="51"/>
        <v>85</v>
      </c>
      <c r="I317" s="78">
        <f t="shared" si="50"/>
        <v>0</v>
      </c>
      <c r="J317" s="80">
        <v>100</v>
      </c>
      <c r="K317" s="80">
        <v>300</v>
      </c>
      <c r="L317" s="78">
        <f t="shared" si="43"/>
        <v>1274</v>
      </c>
      <c r="M317" s="88">
        <v>600</v>
      </c>
      <c r="N317" s="78">
        <f>30</f>
        <v>30</v>
      </c>
      <c r="O317" s="80">
        <v>240</v>
      </c>
      <c r="P317" s="80">
        <v>160</v>
      </c>
      <c r="Q317" s="80">
        <f t="shared" si="44"/>
        <v>195</v>
      </c>
      <c r="R317" s="80">
        <f t="shared" si="45"/>
        <v>100</v>
      </c>
      <c r="S317" s="78">
        <f t="shared" si="46"/>
        <v>695</v>
      </c>
      <c r="T317" s="78">
        <f>50</f>
        <v>50</v>
      </c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</row>
    <row r="318" spans="1:30" ht="15.75" x14ac:dyDescent="0.25">
      <c r="A318" s="14">
        <v>50617</v>
      </c>
      <c r="B318" s="90">
        <v>31</v>
      </c>
      <c r="C318" s="78">
        <f>194.205</f>
        <v>194.20500000000001</v>
      </c>
      <c r="D318" s="78">
        <f>267.466</f>
        <v>267.46600000000001</v>
      </c>
      <c r="E318" s="86">
        <f>133.845</f>
        <v>133.845</v>
      </c>
      <c r="F318" s="78">
        <f>278.484-40-25-60</f>
        <v>153.48399999999998</v>
      </c>
      <c r="G318" s="80">
        <v>40</v>
      </c>
      <c r="H318" s="78">
        <f t="shared" si="51"/>
        <v>85</v>
      </c>
      <c r="I318" s="78">
        <f t="shared" si="50"/>
        <v>0</v>
      </c>
      <c r="J318" s="80">
        <v>100</v>
      </c>
      <c r="K318" s="80">
        <v>300</v>
      </c>
      <c r="L318" s="78">
        <f t="shared" si="43"/>
        <v>1274</v>
      </c>
      <c r="M318" s="88">
        <v>600</v>
      </c>
      <c r="N318" s="78">
        <f>30</f>
        <v>30</v>
      </c>
      <c r="O318" s="80">
        <v>240</v>
      </c>
      <c r="P318" s="80">
        <v>160</v>
      </c>
      <c r="Q318" s="80">
        <f t="shared" si="44"/>
        <v>195</v>
      </c>
      <c r="R318" s="80">
        <f t="shared" si="45"/>
        <v>100</v>
      </c>
      <c r="S318" s="78">
        <f t="shared" si="46"/>
        <v>695</v>
      </c>
      <c r="T318" s="78">
        <f>0</f>
        <v>0</v>
      </c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</row>
    <row r="319" spans="1:30" ht="15.75" x14ac:dyDescent="0.25">
      <c r="A319" s="14">
        <v>50648</v>
      </c>
      <c r="B319" s="90">
        <v>31</v>
      </c>
      <c r="C319" s="78">
        <f>194.205</f>
        <v>194.20500000000001</v>
      </c>
      <c r="D319" s="78">
        <f>267.466</f>
        <v>267.46600000000001</v>
      </c>
      <c r="E319" s="86">
        <f>133.845</f>
        <v>133.845</v>
      </c>
      <c r="F319" s="78">
        <f>278.484-40-25-60</f>
        <v>153.48399999999998</v>
      </c>
      <c r="G319" s="80">
        <v>40</v>
      </c>
      <c r="H319" s="78">
        <f t="shared" si="51"/>
        <v>85</v>
      </c>
      <c r="I319" s="78">
        <f t="shared" si="50"/>
        <v>0</v>
      </c>
      <c r="J319" s="80">
        <v>100</v>
      </c>
      <c r="K319" s="80">
        <v>300</v>
      </c>
      <c r="L319" s="78">
        <f t="shared" si="43"/>
        <v>1274</v>
      </c>
      <c r="M319" s="88">
        <v>600</v>
      </c>
      <c r="N319" s="78">
        <f>30</f>
        <v>30</v>
      </c>
      <c r="O319" s="80">
        <v>240</v>
      </c>
      <c r="P319" s="80">
        <v>160</v>
      </c>
      <c r="Q319" s="80">
        <f t="shared" si="44"/>
        <v>195</v>
      </c>
      <c r="R319" s="80">
        <f t="shared" si="45"/>
        <v>100</v>
      </c>
      <c r="S319" s="78">
        <f t="shared" si="46"/>
        <v>695</v>
      </c>
      <c r="T319" s="78">
        <f>0</f>
        <v>0</v>
      </c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</row>
    <row r="320" spans="1:30" ht="15.75" x14ac:dyDescent="0.25">
      <c r="A320" s="14">
        <v>50678</v>
      </c>
      <c r="B320" s="90">
        <v>30</v>
      </c>
      <c r="C320" s="78">
        <f>194.205</f>
        <v>194.20500000000001</v>
      </c>
      <c r="D320" s="78">
        <f>267.466</f>
        <v>267.46600000000001</v>
      </c>
      <c r="E320" s="86">
        <f>133.845</f>
        <v>133.845</v>
      </c>
      <c r="F320" s="78">
        <f>278.484-40-25-60</f>
        <v>153.48399999999998</v>
      </c>
      <c r="G320" s="80">
        <v>40</v>
      </c>
      <c r="H320" s="78">
        <f t="shared" si="51"/>
        <v>85</v>
      </c>
      <c r="I320" s="78">
        <f t="shared" si="50"/>
        <v>0</v>
      </c>
      <c r="J320" s="80">
        <v>100</v>
      </c>
      <c r="K320" s="80">
        <v>300</v>
      </c>
      <c r="L320" s="78">
        <f t="shared" si="43"/>
        <v>1274</v>
      </c>
      <c r="M320" s="88">
        <v>600</v>
      </c>
      <c r="N320" s="78">
        <f>30</f>
        <v>30</v>
      </c>
      <c r="O320" s="80">
        <v>240</v>
      </c>
      <c r="P320" s="80">
        <v>160</v>
      </c>
      <c r="Q320" s="80">
        <f t="shared" si="44"/>
        <v>195</v>
      </c>
      <c r="R320" s="80">
        <f t="shared" si="45"/>
        <v>100</v>
      </c>
      <c r="S320" s="78">
        <f t="shared" si="46"/>
        <v>695</v>
      </c>
      <c r="T320" s="78">
        <f>0</f>
        <v>0</v>
      </c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</row>
    <row r="321" spans="1:30" ht="15.75" x14ac:dyDescent="0.25">
      <c r="A321" s="14">
        <v>50709</v>
      </c>
      <c r="B321" s="90">
        <v>31</v>
      </c>
      <c r="C321" s="78">
        <f>131.881</f>
        <v>131.881</v>
      </c>
      <c r="D321" s="78">
        <f>277.167</f>
        <v>277.16699999999997</v>
      </c>
      <c r="E321" s="86">
        <f>79.08</f>
        <v>79.08</v>
      </c>
      <c r="F321" s="78">
        <f>350.872-40-25-60</f>
        <v>225.87200000000001</v>
      </c>
      <c r="G321" s="80">
        <v>40</v>
      </c>
      <c r="H321" s="78">
        <f t="shared" si="51"/>
        <v>85</v>
      </c>
      <c r="I321" s="78">
        <f t="shared" si="50"/>
        <v>0</v>
      </c>
      <c r="J321" s="80">
        <v>100</v>
      </c>
      <c r="K321" s="80">
        <v>300</v>
      </c>
      <c r="L321" s="78">
        <f t="shared" si="43"/>
        <v>1239</v>
      </c>
      <c r="M321" s="88">
        <v>600</v>
      </c>
      <c r="N321" s="78">
        <f>75</f>
        <v>75</v>
      </c>
      <c r="O321" s="80">
        <v>240</v>
      </c>
      <c r="P321" s="80">
        <v>160</v>
      </c>
      <c r="Q321" s="80">
        <f t="shared" si="44"/>
        <v>195</v>
      </c>
      <c r="R321" s="80">
        <f t="shared" si="45"/>
        <v>100</v>
      </c>
      <c r="S321" s="78">
        <f t="shared" si="46"/>
        <v>695</v>
      </c>
      <c r="T321" s="78">
        <f>0</f>
        <v>0</v>
      </c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</row>
    <row r="322" spans="1:30" ht="15.75" x14ac:dyDescent="0.25">
      <c r="A322" s="14">
        <v>50739</v>
      </c>
      <c r="B322" s="90">
        <v>30</v>
      </c>
      <c r="C322" s="78">
        <f>122.58</f>
        <v>122.58</v>
      </c>
      <c r="D322" s="78">
        <f>297.941</f>
        <v>297.94099999999997</v>
      </c>
      <c r="E322" s="86">
        <f>89.177</f>
        <v>89.177000000000007</v>
      </c>
      <c r="F322" s="78">
        <f>240.302-40-60</f>
        <v>140.30199999999999</v>
      </c>
      <c r="G322" s="80">
        <v>40</v>
      </c>
      <c r="H322" s="78">
        <v>60</v>
      </c>
      <c r="I322" s="78">
        <f t="shared" si="50"/>
        <v>0</v>
      </c>
      <c r="J322" s="80">
        <v>100</v>
      </c>
      <c r="K322" s="80">
        <v>300</v>
      </c>
      <c r="L322" s="78">
        <f t="shared" si="43"/>
        <v>1150</v>
      </c>
      <c r="M322" s="88">
        <v>600</v>
      </c>
      <c r="N322" s="78">
        <f>100</f>
        <v>100</v>
      </c>
      <c r="O322" s="80">
        <v>240</v>
      </c>
      <c r="P322" s="80">
        <v>40</v>
      </c>
      <c r="Q322" s="80">
        <f t="shared" si="44"/>
        <v>315</v>
      </c>
      <c r="R322" s="80">
        <f t="shared" si="45"/>
        <v>100</v>
      </c>
      <c r="S322" s="78">
        <f t="shared" si="46"/>
        <v>695</v>
      </c>
      <c r="T322" s="78">
        <f>50</f>
        <v>50</v>
      </c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</row>
    <row r="323" spans="1:30" ht="15.75" x14ac:dyDescent="0.25">
      <c r="A323" s="14">
        <v>50770</v>
      </c>
      <c r="B323" s="90">
        <v>31</v>
      </c>
      <c r="C323" s="78">
        <f>122.58</f>
        <v>122.58</v>
      </c>
      <c r="D323" s="78">
        <f>297.941</f>
        <v>297.94099999999997</v>
      </c>
      <c r="E323" s="86">
        <f>89.177</f>
        <v>89.177000000000007</v>
      </c>
      <c r="F323" s="78">
        <f>240.302-40-60</f>
        <v>140.30199999999999</v>
      </c>
      <c r="G323" s="80">
        <v>40</v>
      </c>
      <c r="H323" s="78">
        <v>60</v>
      </c>
      <c r="I323" s="78">
        <f t="shared" si="50"/>
        <v>0</v>
      </c>
      <c r="J323" s="80">
        <v>100</v>
      </c>
      <c r="K323" s="80">
        <v>300</v>
      </c>
      <c r="L323" s="78">
        <f t="shared" si="43"/>
        <v>1150</v>
      </c>
      <c r="M323" s="88">
        <v>600</v>
      </c>
      <c r="N323" s="78">
        <f>100</f>
        <v>100</v>
      </c>
      <c r="O323" s="80">
        <v>240</v>
      </c>
      <c r="P323" s="80">
        <v>40</v>
      </c>
      <c r="Q323" s="80">
        <f t="shared" si="44"/>
        <v>315</v>
      </c>
      <c r="R323" s="80">
        <f t="shared" si="45"/>
        <v>100</v>
      </c>
      <c r="S323" s="78">
        <f t="shared" si="46"/>
        <v>695</v>
      </c>
      <c r="T323" s="78">
        <f>50</f>
        <v>50</v>
      </c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</row>
    <row r="324" spans="1:30" ht="15.75" x14ac:dyDescent="0.25">
      <c r="A324" s="14">
        <v>50801</v>
      </c>
      <c r="B324" s="90">
        <v>31</v>
      </c>
      <c r="C324" s="78">
        <f>122.58</f>
        <v>122.58</v>
      </c>
      <c r="D324" s="78">
        <f>297.941</f>
        <v>297.94099999999997</v>
      </c>
      <c r="E324" s="86">
        <f>89.177</f>
        <v>89.177000000000007</v>
      </c>
      <c r="F324" s="78">
        <f>240.302-40-60</f>
        <v>140.30199999999999</v>
      </c>
      <c r="G324" s="80">
        <v>40</v>
      </c>
      <c r="H324" s="78">
        <v>60</v>
      </c>
      <c r="I324" s="78">
        <f t="shared" si="50"/>
        <v>0</v>
      </c>
      <c r="J324" s="80">
        <v>100</v>
      </c>
      <c r="K324" s="80">
        <v>300</v>
      </c>
      <c r="L324" s="78">
        <f t="shared" si="43"/>
        <v>1150</v>
      </c>
      <c r="M324" s="88">
        <v>600</v>
      </c>
      <c r="N324" s="78">
        <f>100</f>
        <v>100</v>
      </c>
      <c r="O324" s="80">
        <v>240</v>
      </c>
      <c r="P324" s="80">
        <v>40</v>
      </c>
      <c r="Q324" s="80">
        <f t="shared" si="44"/>
        <v>315</v>
      </c>
      <c r="R324" s="80">
        <f t="shared" si="45"/>
        <v>100</v>
      </c>
      <c r="S324" s="78">
        <f t="shared" si="46"/>
        <v>695</v>
      </c>
      <c r="T324" s="78">
        <f>50</f>
        <v>50</v>
      </c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</row>
    <row r="325" spans="1:30" ht="15.75" x14ac:dyDescent="0.25">
      <c r="A325" s="14">
        <v>50829</v>
      </c>
      <c r="B325" s="90">
        <v>28</v>
      </c>
      <c r="C325" s="78">
        <f>122.58</f>
        <v>122.58</v>
      </c>
      <c r="D325" s="78">
        <f>297.941</f>
        <v>297.94099999999997</v>
      </c>
      <c r="E325" s="86">
        <f>89.177</f>
        <v>89.177000000000007</v>
      </c>
      <c r="F325" s="78">
        <f>240.302-40-60</f>
        <v>140.30199999999999</v>
      </c>
      <c r="G325" s="80">
        <v>40</v>
      </c>
      <c r="H325" s="78">
        <v>60</v>
      </c>
      <c r="I325" s="78">
        <f t="shared" si="50"/>
        <v>0</v>
      </c>
      <c r="J325" s="80">
        <v>100</v>
      </c>
      <c r="K325" s="80">
        <v>300</v>
      </c>
      <c r="L325" s="78">
        <f t="shared" si="43"/>
        <v>1150</v>
      </c>
      <c r="M325" s="88">
        <v>600</v>
      </c>
      <c r="N325" s="78">
        <f>100</f>
        <v>100</v>
      </c>
      <c r="O325" s="80">
        <v>240</v>
      </c>
      <c r="P325" s="80">
        <v>40</v>
      </c>
      <c r="Q325" s="80">
        <f t="shared" si="44"/>
        <v>315</v>
      </c>
      <c r="R325" s="80">
        <f t="shared" si="45"/>
        <v>100</v>
      </c>
      <c r="S325" s="78">
        <f t="shared" si="46"/>
        <v>695</v>
      </c>
      <c r="T325" s="78">
        <f>50</f>
        <v>50</v>
      </c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</row>
    <row r="326" spans="1:30" ht="15.75" x14ac:dyDescent="0.25">
      <c r="A326" s="14">
        <v>50860</v>
      </c>
      <c r="B326" s="90">
        <v>31</v>
      </c>
      <c r="C326" s="78">
        <f>122.58</f>
        <v>122.58</v>
      </c>
      <c r="D326" s="78">
        <f>297.941</f>
        <v>297.94099999999997</v>
      </c>
      <c r="E326" s="86">
        <f>89.177</f>
        <v>89.177000000000007</v>
      </c>
      <c r="F326" s="78">
        <f>240.302-40-60</f>
        <v>140.30199999999999</v>
      </c>
      <c r="G326" s="80">
        <v>40</v>
      </c>
      <c r="H326" s="78">
        <v>60</v>
      </c>
      <c r="I326" s="78">
        <f t="shared" si="50"/>
        <v>0</v>
      </c>
      <c r="J326" s="80">
        <v>100</v>
      </c>
      <c r="K326" s="80">
        <v>300</v>
      </c>
      <c r="L326" s="78">
        <f t="shared" si="43"/>
        <v>1150</v>
      </c>
      <c r="M326" s="88">
        <v>600</v>
      </c>
      <c r="N326" s="78">
        <f>100</f>
        <v>100</v>
      </c>
      <c r="O326" s="80">
        <v>240</v>
      </c>
      <c r="P326" s="80">
        <v>40</v>
      </c>
      <c r="Q326" s="80">
        <f t="shared" si="44"/>
        <v>315</v>
      </c>
      <c r="R326" s="80">
        <f t="shared" si="45"/>
        <v>100</v>
      </c>
      <c r="S326" s="78">
        <f t="shared" si="46"/>
        <v>695</v>
      </c>
      <c r="T326" s="78">
        <f>50</f>
        <v>50</v>
      </c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</row>
    <row r="327" spans="1:30" ht="15.75" x14ac:dyDescent="0.25">
      <c r="A327" s="14">
        <v>50890</v>
      </c>
      <c r="B327" s="90">
        <v>30</v>
      </c>
      <c r="C327" s="78">
        <f>141.293</f>
        <v>141.29300000000001</v>
      </c>
      <c r="D327" s="78">
        <f>267.993</f>
        <v>267.99299999999999</v>
      </c>
      <c r="E327" s="86">
        <f>115.016</f>
        <v>115.01600000000001</v>
      </c>
      <c r="F327" s="78">
        <f>314.698-40-25-60</f>
        <v>189.69799999999998</v>
      </c>
      <c r="G327" s="80">
        <v>40</v>
      </c>
      <c r="H327" s="78">
        <f t="shared" ref="H327:H333" si="52">25+60</f>
        <v>85</v>
      </c>
      <c r="I327" s="78">
        <f t="shared" si="50"/>
        <v>0</v>
      </c>
      <c r="J327" s="80">
        <v>100</v>
      </c>
      <c r="K327" s="80">
        <v>300</v>
      </c>
      <c r="L327" s="78">
        <f t="shared" si="43"/>
        <v>1239</v>
      </c>
      <c r="M327" s="88">
        <v>600</v>
      </c>
      <c r="N327" s="78">
        <f>100</f>
        <v>100</v>
      </c>
      <c r="O327" s="80">
        <v>240</v>
      </c>
      <c r="P327" s="80">
        <v>160</v>
      </c>
      <c r="Q327" s="80">
        <f t="shared" si="44"/>
        <v>195</v>
      </c>
      <c r="R327" s="80">
        <f t="shared" si="45"/>
        <v>100</v>
      </c>
      <c r="S327" s="78">
        <f t="shared" si="46"/>
        <v>695</v>
      </c>
      <c r="T327" s="78">
        <f>50</f>
        <v>50</v>
      </c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</row>
    <row r="328" spans="1:30" ht="15.75" x14ac:dyDescent="0.25">
      <c r="A328" s="14">
        <v>50921</v>
      </c>
      <c r="B328" s="90">
        <v>31</v>
      </c>
      <c r="C328" s="78">
        <f>194.205</f>
        <v>194.20500000000001</v>
      </c>
      <c r="D328" s="78">
        <f>267.466</f>
        <v>267.46600000000001</v>
      </c>
      <c r="E328" s="86">
        <f>133.845</f>
        <v>133.845</v>
      </c>
      <c r="F328" s="78">
        <f>278.484-40-25-60</f>
        <v>153.48399999999998</v>
      </c>
      <c r="G328" s="80">
        <v>40</v>
      </c>
      <c r="H328" s="78">
        <f t="shared" si="52"/>
        <v>85</v>
      </c>
      <c r="I328" s="78">
        <f t="shared" si="50"/>
        <v>0</v>
      </c>
      <c r="J328" s="80">
        <v>100</v>
      </c>
      <c r="K328" s="80">
        <v>300</v>
      </c>
      <c r="L328" s="78">
        <f t="shared" si="43"/>
        <v>1274</v>
      </c>
      <c r="M328" s="88">
        <v>600</v>
      </c>
      <c r="N328" s="78">
        <f>75</f>
        <v>75</v>
      </c>
      <c r="O328" s="80">
        <v>240</v>
      </c>
      <c r="P328" s="80">
        <v>160</v>
      </c>
      <c r="Q328" s="80">
        <f t="shared" si="44"/>
        <v>195</v>
      </c>
      <c r="R328" s="80">
        <f t="shared" si="45"/>
        <v>100</v>
      </c>
      <c r="S328" s="78">
        <f t="shared" si="46"/>
        <v>695</v>
      </c>
      <c r="T328" s="78">
        <f>50</f>
        <v>50</v>
      </c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</row>
    <row r="329" spans="1:30" ht="15.75" x14ac:dyDescent="0.25">
      <c r="A329" s="14">
        <v>50951</v>
      </c>
      <c r="B329" s="90">
        <v>30</v>
      </c>
      <c r="C329" s="78">
        <f>194.205</f>
        <v>194.20500000000001</v>
      </c>
      <c r="D329" s="78">
        <f>267.466</f>
        <v>267.46600000000001</v>
      </c>
      <c r="E329" s="86">
        <f>133.845</f>
        <v>133.845</v>
      </c>
      <c r="F329" s="78">
        <f>278.484-40-25-60</f>
        <v>153.48399999999998</v>
      </c>
      <c r="G329" s="80">
        <v>40</v>
      </c>
      <c r="H329" s="78">
        <f t="shared" si="52"/>
        <v>85</v>
      </c>
      <c r="I329" s="78">
        <f t="shared" si="50"/>
        <v>0</v>
      </c>
      <c r="J329" s="80">
        <v>100</v>
      </c>
      <c r="K329" s="80">
        <v>300</v>
      </c>
      <c r="L329" s="78">
        <f t="shared" si="43"/>
        <v>1274</v>
      </c>
      <c r="M329" s="88">
        <v>600</v>
      </c>
      <c r="N329" s="78">
        <f>30</f>
        <v>30</v>
      </c>
      <c r="O329" s="80">
        <v>240</v>
      </c>
      <c r="P329" s="80">
        <v>160</v>
      </c>
      <c r="Q329" s="80">
        <f t="shared" si="44"/>
        <v>195</v>
      </c>
      <c r="R329" s="80">
        <f t="shared" si="45"/>
        <v>100</v>
      </c>
      <c r="S329" s="78">
        <f t="shared" si="46"/>
        <v>695</v>
      </c>
      <c r="T329" s="78">
        <f>50</f>
        <v>50</v>
      </c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</row>
    <row r="330" spans="1:30" ht="15.75" x14ac:dyDescent="0.25">
      <c r="A330" s="14">
        <v>50982</v>
      </c>
      <c r="B330" s="90">
        <v>31</v>
      </c>
      <c r="C330" s="78">
        <f>194.205</f>
        <v>194.20500000000001</v>
      </c>
      <c r="D330" s="78">
        <f>267.466</f>
        <v>267.46600000000001</v>
      </c>
      <c r="E330" s="86">
        <f>133.845</f>
        <v>133.845</v>
      </c>
      <c r="F330" s="78">
        <f>278.484-40-25-60</f>
        <v>153.48399999999998</v>
      </c>
      <c r="G330" s="80">
        <v>40</v>
      </c>
      <c r="H330" s="78">
        <f t="shared" si="52"/>
        <v>85</v>
      </c>
      <c r="I330" s="78">
        <f t="shared" si="50"/>
        <v>0</v>
      </c>
      <c r="J330" s="80">
        <v>100</v>
      </c>
      <c r="K330" s="80">
        <v>300</v>
      </c>
      <c r="L330" s="78">
        <f t="shared" si="43"/>
        <v>1274</v>
      </c>
      <c r="M330" s="88">
        <v>600</v>
      </c>
      <c r="N330" s="78">
        <f>30</f>
        <v>30</v>
      </c>
      <c r="O330" s="80">
        <v>240</v>
      </c>
      <c r="P330" s="80">
        <v>160</v>
      </c>
      <c r="Q330" s="80">
        <f t="shared" si="44"/>
        <v>195</v>
      </c>
      <c r="R330" s="80">
        <f t="shared" si="45"/>
        <v>100</v>
      </c>
      <c r="S330" s="78">
        <f t="shared" si="46"/>
        <v>695</v>
      </c>
      <c r="T330" s="78">
        <f>0</f>
        <v>0</v>
      </c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</row>
    <row r="331" spans="1:30" ht="15.75" x14ac:dyDescent="0.25">
      <c r="A331" s="14">
        <v>51013</v>
      </c>
      <c r="B331" s="90">
        <v>31</v>
      </c>
      <c r="C331" s="78">
        <f>194.205</f>
        <v>194.20500000000001</v>
      </c>
      <c r="D331" s="78">
        <f>267.466</f>
        <v>267.46600000000001</v>
      </c>
      <c r="E331" s="86">
        <f>133.845</f>
        <v>133.845</v>
      </c>
      <c r="F331" s="78">
        <f>278.484-40-25-60</f>
        <v>153.48399999999998</v>
      </c>
      <c r="G331" s="80">
        <v>40</v>
      </c>
      <c r="H331" s="78">
        <f t="shared" si="52"/>
        <v>85</v>
      </c>
      <c r="I331" s="78">
        <f t="shared" si="50"/>
        <v>0</v>
      </c>
      <c r="J331" s="80">
        <v>100</v>
      </c>
      <c r="K331" s="80">
        <v>300</v>
      </c>
      <c r="L331" s="78">
        <f t="shared" si="43"/>
        <v>1274</v>
      </c>
      <c r="M331" s="88">
        <v>600</v>
      </c>
      <c r="N331" s="78">
        <f>30</f>
        <v>30</v>
      </c>
      <c r="O331" s="80">
        <v>240</v>
      </c>
      <c r="P331" s="80">
        <v>160</v>
      </c>
      <c r="Q331" s="80">
        <f t="shared" si="44"/>
        <v>195</v>
      </c>
      <c r="R331" s="80">
        <f t="shared" si="45"/>
        <v>100</v>
      </c>
      <c r="S331" s="78">
        <f t="shared" si="46"/>
        <v>695</v>
      </c>
      <c r="T331" s="78">
        <f>0</f>
        <v>0</v>
      </c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</row>
    <row r="332" spans="1:30" ht="15.75" x14ac:dyDescent="0.25">
      <c r="A332" s="14">
        <v>51043</v>
      </c>
      <c r="B332" s="90">
        <v>30</v>
      </c>
      <c r="C332" s="78">
        <f>194.205</f>
        <v>194.20500000000001</v>
      </c>
      <c r="D332" s="78">
        <f>267.466</f>
        <v>267.46600000000001</v>
      </c>
      <c r="E332" s="86">
        <f>133.845</f>
        <v>133.845</v>
      </c>
      <c r="F332" s="78">
        <f>278.484-40-25-60</f>
        <v>153.48399999999998</v>
      </c>
      <c r="G332" s="80">
        <v>40</v>
      </c>
      <c r="H332" s="78">
        <f t="shared" si="52"/>
        <v>85</v>
      </c>
      <c r="I332" s="78">
        <f t="shared" si="50"/>
        <v>0</v>
      </c>
      <c r="J332" s="80">
        <v>100</v>
      </c>
      <c r="K332" s="80">
        <v>300</v>
      </c>
      <c r="L332" s="78">
        <f t="shared" si="43"/>
        <v>1274</v>
      </c>
      <c r="M332" s="88">
        <v>600</v>
      </c>
      <c r="N332" s="78">
        <f>30</f>
        <v>30</v>
      </c>
      <c r="O332" s="80">
        <v>240</v>
      </c>
      <c r="P332" s="80">
        <v>160</v>
      </c>
      <c r="Q332" s="80">
        <f t="shared" si="44"/>
        <v>195</v>
      </c>
      <c r="R332" s="80">
        <f t="shared" si="45"/>
        <v>100</v>
      </c>
      <c r="S332" s="78">
        <f t="shared" si="46"/>
        <v>695</v>
      </c>
      <c r="T332" s="78">
        <f>0</f>
        <v>0</v>
      </c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</row>
    <row r="333" spans="1:30" ht="15.75" x14ac:dyDescent="0.25">
      <c r="A333" s="14">
        <v>51074</v>
      </c>
      <c r="B333" s="90">
        <v>31</v>
      </c>
      <c r="C333" s="78">
        <f>131.881</f>
        <v>131.881</v>
      </c>
      <c r="D333" s="78">
        <f>277.167</f>
        <v>277.16699999999997</v>
      </c>
      <c r="E333" s="86">
        <f>79.08</f>
        <v>79.08</v>
      </c>
      <c r="F333" s="78">
        <f>350.872-40-25-60</f>
        <v>225.87200000000001</v>
      </c>
      <c r="G333" s="80">
        <v>40</v>
      </c>
      <c r="H333" s="78">
        <f t="shared" si="52"/>
        <v>85</v>
      </c>
      <c r="I333" s="78">
        <f t="shared" si="50"/>
        <v>0</v>
      </c>
      <c r="J333" s="80">
        <v>100</v>
      </c>
      <c r="K333" s="80">
        <v>300</v>
      </c>
      <c r="L333" s="78">
        <f t="shared" si="43"/>
        <v>1239</v>
      </c>
      <c r="M333" s="88">
        <v>600</v>
      </c>
      <c r="N333" s="78">
        <f>75</f>
        <v>75</v>
      </c>
      <c r="O333" s="80">
        <v>240</v>
      </c>
      <c r="P333" s="80">
        <v>160</v>
      </c>
      <c r="Q333" s="80">
        <f t="shared" si="44"/>
        <v>195</v>
      </c>
      <c r="R333" s="80">
        <f t="shared" si="45"/>
        <v>100</v>
      </c>
      <c r="S333" s="78">
        <f t="shared" si="46"/>
        <v>695</v>
      </c>
      <c r="T333" s="78">
        <f>0</f>
        <v>0</v>
      </c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</row>
    <row r="334" spans="1:30" ht="15.75" x14ac:dyDescent="0.25">
      <c r="A334" s="14">
        <v>51104</v>
      </c>
      <c r="B334" s="90">
        <v>30</v>
      </c>
      <c r="C334" s="78">
        <f>122.58</f>
        <v>122.58</v>
      </c>
      <c r="D334" s="78">
        <f>297.941</f>
        <v>297.94099999999997</v>
      </c>
      <c r="E334" s="86">
        <f>89.177</f>
        <v>89.177000000000007</v>
      </c>
      <c r="F334" s="78">
        <f>240.302-40-60</f>
        <v>140.30199999999999</v>
      </c>
      <c r="G334" s="80">
        <v>40</v>
      </c>
      <c r="H334" s="78">
        <v>60</v>
      </c>
      <c r="I334" s="78">
        <f t="shared" si="50"/>
        <v>0</v>
      </c>
      <c r="J334" s="80">
        <v>100</v>
      </c>
      <c r="K334" s="80">
        <v>300</v>
      </c>
      <c r="L334" s="78">
        <f t="shared" si="43"/>
        <v>1150</v>
      </c>
      <c r="M334" s="88">
        <v>600</v>
      </c>
      <c r="N334" s="78">
        <f>100</f>
        <v>100</v>
      </c>
      <c r="O334" s="80">
        <v>240</v>
      </c>
      <c r="P334" s="80">
        <v>40</v>
      </c>
      <c r="Q334" s="80">
        <f t="shared" si="44"/>
        <v>315</v>
      </c>
      <c r="R334" s="80">
        <f t="shared" si="45"/>
        <v>100</v>
      </c>
      <c r="S334" s="78">
        <f t="shared" si="46"/>
        <v>695</v>
      </c>
      <c r="T334" s="78">
        <f>50</f>
        <v>50</v>
      </c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</row>
    <row r="335" spans="1:30" ht="15.75" x14ac:dyDescent="0.25">
      <c r="A335" s="14">
        <v>51135</v>
      </c>
      <c r="B335" s="90">
        <v>31</v>
      </c>
      <c r="C335" s="78">
        <f>122.58</f>
        <v>122.58</v>
      </c>
      <c r="D335" s="78">
        <f>297.941</f>
        <v>297.94099999999997</v>
      </c>
      <c r="E335" s="86">
        <f>89.177</f>
        <v>89.177000000000007</v>
      </c>
      <c r="F335" s="78">
        <f>240.302-40-60</f>
        <v>140.30199999999999</v>
      </c>
      <c r="G335" s="80">
        <v>40</v>
      </c>
      <c r="H335" s="78">
        <v>60</v>
      </c>
      <c r="I335" s="78">
        <f t="shared" si="50"/>
        <v>0</v>
      </c>
      <c r="J335" s="80">
        <v>100</v>
      </c>
      <c r="K335" s="80">
        <v>300</v>
      </c>
      <c r="L335" s="78">
        <f t="shared" ref="L335:L398" si="53">SUM(C335:K335)</f>
        <v>1150</v>
      </c>
      <c r="M335" s="88">
        <v>600</v>
      </c>
      <c r="N335" s="78">
        <f>100</f>
        <v>100</v>
      </c>
      <c r="O335" s="80">
        <v>240</v>
      </c>
      <c r="P335" s="80">
        <v>40</v>
      </c>
      <c r="Q335" s="80">
        <f t="shared" ref="Q335:Q398" si="54">695-R335-O335-P335</f>
        <v>315</v>
      </c>
      <c r="R335" s="80">
        <f t="shared" ref="R335:R398" si="55">200-J335</f>
        <v>100</v>
      </c>
      <c r="S335" s="78">
        <f t="shared" ref="S335:S398" si="56">SUM(O335:R335)</f>
        <v>695</v>
      </c>
      <c r="T335" s="78">
        <f>50</f>
        <v>50</v>
      </c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</row>
    <row r="336" spans="1:30" ht="15.75" x14ac:dyDescent="0.25">
      <c r="A336" s="14">
        <v>51166</v>
      </c>
      <c r="B336" s="90">
        <v>31</v>
      </c>
      <c r="C336" s="78">
        <f>122.58</f>
        <v>122.58</v>
      </c>
      <c r="D336" s="78">
        <f>297.941</f>
        <v>297.94099999999997</v>
      </c>
      <c r="E336" s="86">
        <f>89.177</f>
        <v>89.177000000000007</v>
      </c>
      <c r="F336" s="78">
        <f>240.302-40-60</f>
        <v>140.30199999999999</v>
      </c>
      <c r="G336" s="80">
        <v>40</v>
      </c>
      <c r="H336" s="78">
        <v>60</v>
      </c>
      <c r="I336" s="78">
        <f t="shared" si="50"/>
        <v>0</v>
      </c>
      <c r="J336" s="80">
        <v>100</v>
      </c>
      <c r="K336" s="80">
        <v>300</v>
      </c>
      <c r="L336" s="78">
        <f t="shared" si="53"/>
        <v>1150</v>
      </c>
      <c r="M336" s="88">
        <v>600</v>
      </c>
      <c r="N336" s="78">
        <f>100</f>
        <v>100</v>
      </c>
      <c r="O336" s="80">
        <v>240</v>
      </c>
      <c r="P336" s="80">
        <v>40</v>
      </c>
      <c r="Q336" s="80">
        <f t="shared" si="54"/>
        <v>315</v>
      </c>
      <c r="R336" s="80">
        <f t="shared" si="55"/>
        <v>100</v>
      </c>
      <c r="S336" s="78">
        <f t="shared" si="56"/>
        <v>695</v>
      </c>
      <c r="T336" s="78">
        <f>50</f>
        <v>50</v>
      </c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</row>
    <row r="337" spans="1:30" ht="15.75" x14ac:dyDescent="0.25">
      <c r="A337" s="14">
        <v>51194</v>
      </c>
      <c r="B337" s="90">
        <v>29</v>
      </c>
      <c r="C337" s="78">
        <f>122.58</f>
        <v>122.58</v>
      </c>
      <c r="D337" s="78">
        <f>297.941</f>
        <v>297.94099999999997</v>
      </c>
      <c r="E337" s="86">
        <f>89.177</f>
        <v>89.177000000000007</v>
      </c>
      <c r="F337" s="78">
        <f>240.302-40-60</f>
        <v>140.30199999999999</v>
      </c>
      <c r="G337" s="80">
        <v>40</v>
      </c>
      <c r="H337" s="78">
        <v>60</v>
      </c>
      <c r="I337" s="78">
        <f t="shared" si="50"/>
        <v>0</v>
      </c>
      <c r="J337" s="80">
        <v>100</v>
      </c>
      <c r="K337" s="80">
        <v>300</v>
      </c>
      <c r="L337" s="78">
        <f t="shared" si="53"/>
        <v>1150</v>
      </c>
      <c r="M337" s="88">
        <v>600</v>
      </c>
      <c r="N337" s="78">
        <f>100</f>
        <v>100</v>
      </c>
      <c r="O337" s="80">
        <v>240</v>
      </c>
      <c r="P337" s="80">
        <v>40</v>
      </c>
      <c r="Q337" s="80">
        <f t="shared" si="54"/>
        <v>315</v>
      </c>
      <c r="R337" s="80">
        <f t="shared" si="55"/>
        <v>100</v>
      </c>
      <c r="S337" s="78">
        <f t="shared" si="56"/>
        <v>695</v>
      </c>
      <c r="T337" s="78">
        <f>50</f>
        <v>50</v>
      </c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</row>
    <row r="338" spans="1:30" ht="15.75" x14ac:dyDescent="0.25">
      <c r="A338" s="14">
        <v>51226</v>
      </c>
      <c r="B338" s="90">
        <v>31</v>
      </c>
      <c r="C338" s="78">
        <f>122.58</f>
        <v>122.58</v>
      </c>
      <c r="D338" s="78">
        <f>297.941</f>
        <v>297.94099999999997</v>
      </c>
      <c r="E338" s="86">
        <f>89.177</f>
        <v>89.177000000000007</v>
      </c>
      <c r="F338" s="78">
        <f>240.302-40-60</f>
        <v>140.30199999999999</v>
      </c>
      <c r="G338" s="80">
        <v>40</v>
      </c>
      <c r="H338" s="78">
        <v>60</v>
      </c>
      <c r="I338" s="78">
        <f t="shared" si="50"/>
        <v>0</v>
      </c>
      <c r="J338" s="80">
        <v>100</v>
      </c>
      <c r="K338" s="80">
        <v>300</v>
      </c>
      <c r="L338" s="78">
        <f t="shared" si="53"/>
        <v>1150</v>
      </c>
      <c r="M338" s="88">
        <v>600</v>
      </c>
      <c r="N338" s="78">
        <f>100</f>
        <v>100</v>
      </c>
      <c r="O338" s="80">
        <v>240</v>
      </c>
      <c r="P338" s="80">
        <v>40</v>
      </c>
      <c r="Q338" s="80">
        <f t="shared" si="54"/>
        <v>315</v>
      </c>
      <c r="R338" s="80">
        <f t="shared" si="55"/>
        <v>100</v>
      </c>
      <c r="S338" s="78">
        <f t="shared" si="56"/>
        <v>695</v>
      </c>
      <c r="T338" s="78">
        <f>50</f>
        <v>50</v>
      </c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</row>
    <row r="339" spans="1:30" ht="15.75" x14ac:dyDescent="0.25">
      <c r="A339" s="14">
        <v>51256</v>
      </c>
      <c r="B339" s="90">
        <v>30</v>
      </c>
      <c r="C339" s="78">
        <f>141.293</f>
        <v>141.29300000000001</v>
      </c>
      <c r="D339" s="78">
        <f>267.993</f>
        <v>267.99299999999999</v>
      </c>
      <c r="E339" s="86">
        <f>115.016</f>
        <v>115.01600000000001</v>
      </c>
      <c r="F339" s="78">
        <f>314.698-40-25-60</f>
        <v>189.69799999999998</v>
      </c>
      <c r="G339" s="80">
        <v>40</v>
      </c>
      <c r="H339" s="78">
        <f t="shared" ref="H339:H345" si="57">25+60</f>
        <v>85</v>
      </c>
      <c r="I339" s="78">
        <f t="shared" si="50"/>
        <v>0</v>
      </c>
      <c r="J339" s="80">
        <v>100</v>
      </c>
      <c r="K339" s="80">
        <v>300</v>
      </c>
      <c r="L339" s="78">
        <f t="shared" si="53"/>
        <v>1239</v>
      </c>
      <c r="M339" s="88">
        <v>600</v>
      </c>
      <c r="N339" s="78">
        <f>100</f>
        <v>100</v>
      </c>
      <c r="O339" s="80">
        <v>240</v>
      </c>
      <c r="P339" s="80">
        <v>160</v>
      </c>
      <c r="Q339" s="80">
        <f t="shared" si="54"/>
        <v>195</v>
      </c>
      <c r="R339" s="80">
        <f t="shared" si="55"/>
        <v>100</v>
      </c>
      <c r="S339" s="78">
        <f t="shared" si="56"/>
        <v>695</v>
      </c>
      <c r="T339" s="78">
        <f>50</f>
        <v>50</v>
      </c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</row>
    <row r="340" spans="1:30" ht="15.75" x14ac:dyDescent="0.25">
      <c r="A340" s="14">
        <v>51287</v>
      </c>
      <c r="B340" s="90">
        <v>31</v>
      </c>
      <c r="C340" s="78">
        <f>194.205</f>
        <v>194.20500000000001</v>
      </c>
      <c r="D340" s="78">
        <f>267.466</f>
        <v>267.46600000000001</v>
      </c>
      <c r="E340" s="86">
        <f>133.845</f>
        <v>133.845</v>
      </c>
      <c r="F340" s="78">
        <f>278.484-40-25-60</f>
        <v>153.48399999999998</v>
      </c>
      <c r="G340" s="80">
        <v>40</v>
      </c>
      <c r="H340" s="78">
        <f t="shared" si="57"/>
        <v>85</v>
      </c>
      <c r="I340" s="78">
        <f t="shared" si="50"/>
        <v>0</v>
      </c>
      <c r="J340" s="80">
        <v>100</v>
      </c>
      <c r="K340" s="80">
        <v>300</v>
      </c>
      <c r="L340" s="78">
        <f t="shared" si="53"/>
        <v>1274</v>
      </c>
      <c r="M340" s="88">
        <v>600</v>
      </c>
      <c r="N340" s="78">
        <f>75</f>
        <v>75</v>
      </c>
      <c r="O340" s="80">
        <v>240</v>
      </c>
      <c r="P340" s="80">
        <v>160</v>
      </c>
      <c r="Q340" s="80">
        <f t="shared" si="54"/>
        <v>195</v>
      </c>
      <c r="R340" s="80">
        <f t="shared" si="55"/>
        <v>100</v>
      </c>
      <c r="S340" s="78">
        <f t="shared" si="56"/>
        <v>695</v>
      </c>
      <c r="T340" s="78">
        <f>50</f>
        <v>50</v>
      </c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</row>
    <row r="341" spans="1:30" ht="15.75" x14ac:dyDescent="0.25">
      <c r="A341" s="14">
        <v>51317</v>
      </c>
      <c r="B341" s="90">
        <v>30</v>
      </c>
      <c r="C341" s="78">
        <f>194.205</f>
        <v>194.20500000000001</v>
      </c>
      <c r="D341" s="78">
        <f>267.466</f>
        <v>267.46600000000001</v>
      </c>
      <c r="E341" s="86">
        <f>133.845</f>
        <v>133.845</v>
      </c>
      <c r="F341" s="78">
        <f>278.484-40-25-60</f>
        <v>153.48399999999998</v>
      </c>
      <c r="G341" s="80">
        <v>40</v>
      </c>
      <c r="H341" s="78">
        <f t="shared" si="57"/>
        <v>85</v>
      </c>
      <c r="I341" s="78">
        <f t="shared" si="50"/>
        <v>0</v>
      </c>
      <c r="J341" s="80">
        <v>100</v>
      </c>
      <c r="K341" s="80">
        <v>300</v>
      </c>
      <c r="L341" s="78">
        <f t="shared" si="53"/>
        <v>1274</v>
      </c>
      <c r="M341" s="88">
        <v>600</v>
      </c>
      <c r="N341" s="78">
        <f>30</f>
        <v>30</v>
      </c>
      <c r="O341" s="80">
        <v>240</v>
      </c>
      <c r="P341" s="80">
        <v>160</v>
      </c>
      <c r="Q341" s="80">
        <f t="shared" si="54"/>
        <v>195</v>
      </c>
      <c r="R341" s="80">
        <f t="shared" si="55"/>
        <v>100</v>
      </c>
      <c r="S341" s="78">
        <f t="shared" si="56"/>
        <v>695</v>
      </c>
      <c r="T341" s="78">
        <f>50</f>
        <v>50</v>
      </c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</row>
    <row r="342" spans="1:30" ht="15.75" x14ac:dyDescent="0.25">
      <c r="A342" s="14">
        <v>51348</v>
      </c>
      <c r="B342" s="90">
        <v>31</v>
      </c>
      <c r="C342" s="78">
        <f>194.205</f>
        <v>194.20500000000001</v>
      </c>
      <c r="D342" s="78">
        <f>267.466</f>
        <v>267.46600000000001</v>
      </c>
      <c r="E342" s="86">
        <f>133.845</f>
        <v>133.845</v>
      </c>
      <c r="F342" s="78">
        <f>278.484-40-25-60</f>
        <v>153.48399999999998</v>
      </c>
      <c r="G342" s="80">
        <v>40</v>
      </c>
      <c r="H342" s="78">
        <f t="shared" si="57"/>
        <v>85</v>
      </c>
      <c r="I342" s="78">
        <f t="shared" si="50"/>
        <v>0</v>
      </c>
      <c r="J342" s="80">
        <v>100</v>
      </c>
      <c r="K342" s="80">
        <v>300</v>
      </c>
      <c r="L342" s="78">
        <f t="shared" si="53"/>
        <v>1274</v>
      </c>
      <c r="M342" s="88">
        <v>600</v>
      </c>
      <c r="N342" s="78">
        <f>30</f>
        <v>30</v>
      </c>
      <c r="O342" s="80">
        <v>240</v>
      </c>
      <c r="P342" s="80">
        <v>160</v>
      </c>
      <c r="Q342" s="80">
        <f t="shared" si="54"/>
        <v>195</v>
      </c>
      <c r="R342" s="80">
        <f t="shared" si="55"/>
        <v>100</v>
      </c>
      <c r="S342" s="78">
        <f t="shared" si="56"/>
        <v>695</v>
      </c>
      <c r="T342" s="78">
        <f>0</f>
        <v>0</v>
      </c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</row>
    <row r="343" spans="1:30" ht="15.75" x14ac:dyDescent="0.25">
      <c r="A343" s="14">
        <v>51379</v>
      </c>
      <c r="B343" s="90">
        <v>31</v>
      </c>
      <c r="C343" s="78">
        <f>194.205</f>
        <v>194.20500000000001</v>
      </c>
      <c r="D343" s="78">
        <f>267.466</f>
        <v>267.46600000000001</v>
      </c>
      <c r="E343" s="86">
        <f>133.845</f>
        <v>133.845</v>
      </c>
      <c r="F343" s="78">
        <f>278.484-40-25-60</f>
        <v>153.48399999999998</v>
      </c>
      <c r="G343" s="80">
        <v>40</v>
      </c>
      <c r="H343" s="78">
        <f t="shared" si="57"/>
        <v>85</v>
      </c>
      <c r="I343" s="78">
        <f t="shared" si="50"/>
        <v>0</v>
      </c>
      <c r="J343" s="80">
        <v>100</v>
      </c>
      <c r="K343" s="80">
        <v>300</v>
      </c>
      <c r="L343" s="78">
        <f t="shared" si="53"/>
        <v>1274</v>
      </c>
      <c r="M343" s="88">
        <v>600</v>
      </c>
      <c r="N343" s="78">
        <f>30</f>
        <v>30</v>
      </c>
      <c r="O343" s="80">
        <v>240</v>
      </c>
      <c r="P343" s="80">
        <v>160</v>
      </c>
      <c r="Q343" s="80">
        <f t="shared" si="54"/>
        <v>195</v>
      </c>
      <c r="R343" s="80">
        <f t="shared" si="55"/>
        <v>100</v>
      </c>
      <c r="S343" s="78">
        <f t="shared" si="56"/>
        <v>695</v>
      </c>
      <c r="T343" s="78">
        <f>0</f>
        <v>0</v>
      </c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</row>
    <row r="344" spans="1:30" ht="15.75" x14ac:dyDescent="0.25">
      <c r="A344" s="14">
        <v>51409</v>
      </c>
      <c r="B344" s="90">
        <v>30</v>
      </c>
      <c r="C344" s="78">
        <f>194.205</f>
        <v>194.20500000000001</v>
      </c>
      <c r="D344" s="78">
        <f>267.466</f>
        <v>267.46600000000001</v>
      </c>
      <c r="E344" s="86">
        <f>133.845</f>
        <v>133.845</v>
      </c>
      <c r="F344" s="78">
        <f>278.484-40-25-60</f>
        <v>153.48399999999998</v>
      </c>
      <c r="G344" s="80">
        <v>40</v>
      </c>
      <c r="H344" s="78">
        <f t="shared" si="57"/>
        <v>85</v>
      </c>
      <c r="I344" s="78">
        <f t="shared" si="50"/>
        <v>0</v>
      </c>
      <c r="J344" s="80">
        <v>100</v>
      </c>
      <c r="K344" s="80">
        <v>300</v>
      </c>
      <c r="L344" s="78">
        <f t="shared" si="53"/>
        <v>1274</v>
      </c>
      <c r="M344" s="88">
        <v>600</v>
      </c>
      <c r="N344" s="78">
        <f>30</f>
        <v>30</v>
      </c>
      <c r="O344" s="80">
        <v>240</v>
      </c>
      <c r="P344" s="80">
        <v>160</v>
      </c>
      <c r="Q344" s="80">
        <f t="shared" si="54"/>
        <v>195</v>
      </c>
      <c r="R344" s="80">
        <f t="shared" si="55"/>
        <v>100</v>
      </c>
      <c r="S344" s="78">
        <f t="shared" si="56"/>
        <v>695</v>
      </c>
      <c r="T344" s="78">
        <f>0</f>
        <v>0</v>
      </c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</row>
    <row r="345" spans="1:30" ht="15.75" x14ac:dyDescent="0.25">
      <c r="A345" s="14">
        <v>51440</v>
      </c>
      <c r="B345" s="90">
        <v>31</v>
      </c>
      <c r="C345" s="78">
        <f>131.881</f>
        <v>131.881</v>
      </c>
      <c r="D345" s="78">
        <f>277.167</f>
        <v>277.16699999999997</v>
      </c>
      <c r="E345" s="86">
        <f>79.08</f>
        <v>79.08</v>
      </c>
      <c r="F345" s="78">
        <f>350.872-40-25-60</f>
        <v>225.87200000000001</v>
      </c>
      <c r="G345" s="80">
        <v>40</v>
      </c>
      <c r="H345" s="78">
        <f t="shared" si="57"/>
        <v>85</v>
      </c>
      <c r="I345" s="78">
        <f t="shared" si="50"/>
        <v>0</v>
      </c>
      <c r="J345" s="80">
        <v>100</v>
      </c>
      <c r="K345" s="80">
        <v>300</v>
      </c>
      <c r="L345" s="78">
        <f t="shared" si="53"/>
        <v>1239</v>
      </c>
      <c r="M345" s="88">
        <v>600</v>
      </c>
      <c r="N345" s="78">
        <f>75</f>
        <v>75</v>
      </c>
      <c r="O345" s="80">
        <v>240</v>
      </c>
      <c r="P345" s="80">
        <v>160</v>
      </c>
      <c r="Q345" s="80">
        <f t="shared" si="54"/>
        <v>195</v>
      </c>
      <c r="R345" s="80">
        <f t="shared" si="55"/>
        <v>100</v>
      </c>
      <c r="S345" s="78">
        <f t="shared" si="56"/>
        <v>695</v>
      </c>
      <c r="T345" s="78">
        <f>0</f>
        <v>0</v>
      </c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</row>
    <row r="346" spans="1:30" ht="15.75" x14ac:dyDescent="0.25">
      <c r="A346" s="14">
        <v>51470</v>
      </c>
      <c r="B346" s="90">
        <v>30</v>
      </c>
      <c r="C346" s="78">
        <f>122.58</f>
        <v>122.58</v>
      </c>
      <c r="D346" s="78">
        <f>297.941</f>
        <v>297.94099999999997</v>
      </c>
      <c r="E346" s="86">
        <f>89.177</f>
        <v>89.177000000000007</v>
      </c>
      <c r="F346" s="78">
        <f>240.302-40-60</f>
        <v>140.30199999999999</v>
      </c>
      <c r="G346" s="80">
        <v>40</v>
      </c>
      <c r="H346" s="78">
        <v>60</v>
      </c>
      <c r="I346" s="78">
        <f t="shared" si="50"/>
        <v>0</v>
      </c>
      <c r="J346" s="80">
        <v>100</v>
      </c>
      <c r="K346" s="80">
        <v>300</v>
      </c>
      <c r="L346" s="78">
        <f t="shared" si="53"/>
        <v>1150</v>
      </c>
      <c r="M346" s="88">
        <v>600</v>
      </c>
      <c r="N346" s="78">
        <f>100</f>
        <v>100</v>
      </c>
      <c r="O346" s="80">
        <v>240</v>
      </c>
      <c r="P346" s="80">
        <v>40</v>
      </c>
      <c r="Q346" s="80">
        <f t="shared" si="54"/>
        <v>315</v>
      </c>
      <c r="R346" s="80">
        <f t="shared" si="55"/>
        <v>100</v>
      </c>
      <c r="S346" s="78">
        <f t="shared" si="56"/>
        <v>695</v>
      </c>
      <c r="T346" s="78">
        <f>50</f>
        <v>50</v>
      </c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</row>
    <row r="347" spans="1:30" ht="15.75" x14ac:dyDescent="0.25">
      <c r="A347" s="14">
        <v>51501</v>
      </c>
      <c r="B347" s="90">
        <v>31</v>
      </c>
      <c r="C347" s="78">
        <f>122.58</f>
        <v>122.58</v>
      </c>
      <c r="D347" s="78">
        <f>297.941</f>
        <v>297.94099999999997</v>
      </c>
      <c r="E347" s="86">
        <f>89.177</f>
        <v>89.177000000000007</v>
      </c>
      <c r="F347" s="78">
        <f>240.302-40-60</f>
        <v>140.30199999999999</v>
      </c>
      <c r="G347" s="80">
        <v>40</v>
      </c>
      <c r="H347" s="78">
        <v>60</v>
      </c>
      <c r="I347" s="78">
        <f t="shared" si="50"/>
        <v>0</v>
      </c>
      <c r="J347" s="80">
        <v>100</v>
      </c>
      <c r="K347" s="80">
        <v>300</v>
      </c>
      <c r="L347" s="78">
        <f t="shared" si="53"/>
        <v>1150</v>
      </c>
      <c r="M347" s="88">
        <v>600</v>
      </c>
      <c r="N347" s="78">
        <f>100</f>
        <v>100</v>
      </c>
      <c r="O347" s="80">
        <v>240</v>
      </c>
      <c r="P347" s="80">
        <v>40</v>
      </c>
      <c r="Q347" s="80">
        <f t="shared" si="54"/>
        <v>315</v>
      </c>
      <c r="R347" s="80">
        <f t="shared" si="55"/>
        <v>100</v>
      </c>
      <c r="S347" s="78">
        <f t="shared" si="56"/>
        <v>695</v>
      </c>
      <c r="T347" s="78">
        <f>50</f>
        <v>50</v>
      </c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</row>
    <row r="348" spans="1:30" ht="15.75" x14ac:dyDescent="0.25">
      <c r="A348" s="14">
        <v>51532</v>
      </c>
      <c r="B348" s="90">
        <v>31</v>
      </c>
      <c r="C348" s="78">
        <f>122.58</f>
        <v>122.58</v>
      </c>
      <c r="D348" s="78">
        <f>297.941</f>
        <v>297.94099999999997</v>
      </c>
      <c r="E348" s="86">
        <f>89.177</f>
        <v>89.177000000000007</v>
      </c>
      <c r="F348" s="78">
        <f>240.302-40-60</f>
        <v>140.30199999999999</v>
      </c>
      <c r="G348" s="80">
        <v>40</v>
      </c>
      <c r="H348" s="78">
        <v>60</v>
      </c>
      <c r="I348" s="78">
        <f t="shared" si="50"/>
        <v>0</v>
      </c>
      <c r="J348" s="80">
        <v>100</v>
      </c>
      <c r="K348" s="80">
        <v>300</v>
      </c>
      <c r="L348" s="78">
        <f t="shared" si="53"/>
        <v>1150</v>
      </c>
      <c r="M348" s="88">
        <v>600</v>
      </c>
      <c r="N348" s="78">
        <f>100</f>
        <v>100</v>
      </c>
      <c r="O348" s="80">
        <v>240</v>
      </c>
      <c r="P348" s="80">
        <v>40</v>
      </c>
      <c r="Q348" s="80">
        <f t="shared" si="54"/>
        <v>315</v>
      </c>
      <c r="R348" s="80">
        <f t="shared" si="55"/>
        <v>100</v>
      </c>
      <c r="S348" s="78">
        <f t="shared" si="56"/>
        <v>695</v>
      </c>
      <c r="T348" s="78">
        <f>50</f>
        <v>50</v>
      </c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</row>
    <row r="349" spans="1:30" ht="15.75" x14ac:dyDescent="0.25">
      <c r="A349" s="14">
        <v>51560</v>
      </c>
      <c r="B349" s="90">
        <v>28</v>
      </c>
      <c r="C349" s="78">
        <f>122.58</f>
        <v>122.58</v>
      </c>
      <c r="D349" s="78">
        <f>297.941</f>
        <v>297.94099999999997</v>
      </c>
      <c r="E349" s="86">
        <f>89.177</f>
        <v>89.177000000000007</v>
      </c>
      <c r="F349" s="78">
        <f>240.302-40-60</f>
        <v>140.30199999999999</v>
      </c>
      <c r="G349" s="80">
        <v>40</v>
      </c>
      <c r="H349" s="78">
        <v>60</v>
      </c>
      <c r="I349" s="78">
        <f t="shared" si="50"/>
        <v>0</v>
      </c>
      <c r="J349" s="80">
        <v>100</v>
      </c>
      <c r="K349" s="80">
        <v>300</v>
      </c>
      <c r="L349" s="78">
        <f t="shared" si="53"/>
        <v>1150</v>
      </c>
      <c r="M349" s="88">
        <v>600</v>
      </c>
      <c r="N349" s="78">
        <f>100</f>
        <v>100</v>
      </c>
      <c r="O349" s="80">
        <v>240</v>
      </c>
      <c r="P349" s="80">
        <v>40</v>
      </c>
      <c r="Q349" s="80">
        <f t="shared" si="54"/>
        <v>315</v>
      </c>
      <c r="R349" s="80">
        <f t="shared" si="55"/>
        <v>100</v>
      </c>
      <c r="S349" s="78">
        <f t="shared" si="56"/>
        <v>695</v>
      </c>
      <c r="T349" s="78">
        <f>50</f>
        <v>50</v>
      </c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</row>
    <row r="350" spans="1:30" ht="15.75" x14ac:dyDescent="0.25">
      <c r="A350" s="14">
        <v>51591</v>
      </c>
      <c r="B350" s="90">
        <v>31</v>
      </c>
      <c r="C350" s="78">
        <f>122.58</f>
        <v>122.58</v>
      </c>
      <c r="D350" s="78">
        <f>297.941</f>
        <v>297.94099999999997</v>
      </c>
      <c r="E350" s="86">
        <f>89.177</f>
        <v>89.177000000000007</v>
      </c>
      <c r="F350" s="78">
        <f>240.302-40-60</f>
        <v>140.30199999999999</v>
      </c>
      <c r="G350" s="80">
        <v>40</v>
      </c>
      <c r="H350" s="78">
        <v>60</v>
      </c>
      <c r="I350" s="78">
        <f t="shared" si="50"/>
        <v>0</v>
      </c>
      <c r="J350" s="80">
        <v>100</v>
      </c>
      <c r="K350" s="80">
        <v>300</v>
      </c>
      <c r="L350" s="78">
        <f t="shared" si="53"/>
        <v>1150</v>
      </c>
      <c r="M350" s="88">
        <v>600</v>
      </c>
      <c r="N350" s="78">
        <f>100</f>
        <v>100</v>
      </c>
      <c r="O350" s="80">
        <v>240</v>
      </c>
      <c r="P350" s="80">
        <v>40</v>
      </c>
      <c r="Q350" s="80">
        <f t="shared" si="54"/>
        <v>315</v>
      </c>
      <c r="R350" s="80">
        <f t="shared" si="55"/>
        <v>100</v>
      </c>
      <c r="S350" s="78">
        <f t="shared" si="56"/>
        <v>695</v>
      </c>
      <c r="T350" s="78">
        <f>50</f>
        <v>50</v>
      </c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</row>
    <row r="351" spans="1:30" ht="15.75" x14ac:dyDescent="0.25">
      <c r="A351" s="14">
        <v>51621</v>
      </c>
      <c r="B351" s="90">
        <v>30</v>
      </c>
      <c r="C351" s="78">
        <f>141.293</f>
        <v>141.29300000000001</v>
      </c>
      <c r="D351" s="78">
        <f>267.993</f>
        <v>267.99299999999999</v>
      </c>
      <c r="E351" s="86">
        <f>115.016</f>
        <v>115.01600000000001</v>
      </c>
      <c r="F351" s="78">
        <f>314.698-40-25-60</f>
        <v>189.69799999999998</v>
      </c>
      <c r="G351" s="80">
        <v>40</v>
      </c>
      <c r="H351" s="78">
        <f t="shared" ref="H351:H357" si="58">25+60</f>
        <v>85</v>
      </c>
      <c r="I351" s="78">
        <f t="shared" si="50"/>
        <v>0</v>
      </c>
      <c r="J351" s="80">
        <v>100</v>
      </c>
      <c r="K351" s="80">
        <v>300</v>
      </c>
      <c r="L351" s="78">
        <f t="shared" si="53"/>
        <v>1239</v>
      </c>
      <c r="M351" s="88">
        <v>600</v>
      </c>
      <c r="N351" s="78">
        <f>100</f>
        <v>100</v>
      </c>
      <c r="O351" s="80">
        <v>240</v>
      </c>
      <c r="P351" s="80">
        <v>160</v>
      </c>
      <c r="Q351" s="80">
        <f t="shared" si="54"/>
        <v>195</v>
      </c>
      <c r="R351" s="80">
        <f t="shared" si="55"/>
        <v>100</v>
      </c>
      <c r="S351" s="78">
        <f t="shared" si="56"/>
        <v>695</v>
      </c>
      <c r="T351" s="78">
        <f>50</f>
        <v>50</v>
      </c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</row>
    <row r="352" spans="1:30" ht="15.75" x14ac:dyDescent="0.25">
      <c r="A352" s="14">
        <v>51652</v>
      </c>
      <c r="B352" s="90">
        <v>31</v>
      </c>
      <c r="C352" s="78">
        <f>194.205</f>
        <v>194.20500000000001</v>
      </c>
      <c r="D352" s="78">
        <f>267.466</f>
        <v>267.46600000000001</v>
      </c>
      <c r="E352" s="86">
        <f>133.845</f>
        <v>133.845</v>
      </c>
      <c r="F352" s="78">
        <f>278.484-40-25-60</f>
        <v>153.48399999999998</v>
      </c>
      <c r="G352" s="80">
        <v>40</v>
      </c>
      <c r="H352" s="78">
        <f t="shared" si="58"/>
        <v>85</v>
      </c>
      <c r="I352" s="78">
        <f t="shared" si="50"/>
        <v>0</v>
      </c>
      <c r="J352" s="80">
        <v>100</v>
      </c>
      <c r="K352" s="80">
        <v>300</v>
      </c>
      <c r="L352" s="78">
        <f t="shared" si="53"/>
        <v>1274</v>
      </c>
      <c r="M352" s="88">
        <v>600</v>
      </c>
      <c r="N352" s="78">
        <f>75</f>
        <v>75</v>
      </c>
      <c r="O352" s="80">
        <v>240</v>
      </c>
      <c r="P352" s="80">
        <v>160</v>
      </c>
      <c r="Q352" s="80">
        <f t="shared" si="54"/>
        <v>195</v>
      </c>
      <c r="R352" s="80">
        <f t="shared" si="55"/>
        <v>100</v>
      </c>
      <c r="S352" s="78">
        <f t="shared" si="56"/>
        <v>695</v>
      </c>
      <c r="T352" s="78">
        <f>50</f>
        <v>50</v>
      </c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</row>
    <row r="353" spans="1:30" ht="15.75" x14ac:dyDescent="0.25">
      <c r="A353" s="14">
        <v>51682</v>
      </c>
      <c r="B353" s="90">
        <v>30</v>
      </c>
      <c r="C353" s="78">
        <f>194.205</f>
        <v>194.20500000000001</v>
      </c>
      <c r="D353" s="78">
        <f>267.466</f>
        <v>267.46600000000001</v>
      </c>
      <c r="E353" s="86">
        <f>133.845</f>
        <v>133.845</v>
      </c>
      <c r="F353" s="78">
        <f>278.484-40-25-60</f>
        <v>153.48399999999998</v>
      </c>
      <c r="G353" s="80">
        <v>40</v>
      </c>
      <c r="H353" s="78">
        <f t="shared" si="58"/>
        <v>85</v>
      </c>
      <c r="I353" s="78">
        <f t="shared" si="50"/>
        <v>0</v>
      </c>
      <c r="J353" s="80">
        <v>100</v>
      </c>
      <c r="K353" s="80">
        <v>300</v>
      </c>
      <c r="L353" s="78">
        <f t="shared" si="53"/>
        <v>1274</v>
      </c>
      <c r="M353" s="88">
        <v>600</v>
      </c>
      <c r="N353" s="78">
        <f>30</f>
        <v>30</v>
      </c>
      <c r="O353" s="80">
        <v>240</v>
      </c>
      <c r="P353" s="80">
        <v>160</v>
      </c>
      <c r="Q353" s="80">
        <f t="shared" si="54"/>
        <v>195</v>
      </c>
      <c r="R353" s="80">
        <f t="shared" si="55"/>
        <v>100</v>
      </c>
      <c r="S353" s="78">
        <f t="shared" si="56"/>
        <v>695</v>
      </c>
      <c r="T353" s="78">
        <f>50</f>
        <v>50</v>
      </c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</row>
    <row r="354" spans="1:30" ht="15.75" x14ac:dyDescent="0.25">
      <c r="A354" s="14">
        <v>51713</v>
      </c>
      <c r="B354" s="90">
        <v>31</v>
      </c>
      <c r="C354" s="78">
        <f>194.205</f>
        <v>194.20500000000001</v>
      </c>
      <c r="D354" s="78">
        <f>267.466</f>
        <v>267.46600000000001</v>
      </c>
      <c r="E354" s="86">
        <f>133.845</f>
        <v>133.845</v>
      </c>
      <c r="F354" s="78">
        <f>278.484-40-25-60</f>
        <v>153.48399999999998</v>
      </c>
      <c r="G354" s="80">
        <v>40</v>
      </c>
      <c r="H354" s="78">
        <f t="shared" si="58"/>
        <v>85</v>
      </c>
      <c r="I354" s="78">
        <f t="shared" si="50"/>
        <v>0</v>
      </c>
      <c r="J354" s="80">
        <v>100</v>
      </c>
      <c r="K354" s="80">
        <v>300</v>
      </c>
      <c r="L354" s="78">
        <f t="shared" si="53"/>
        <v>1274</v>
      </c>
      <c r="M354" s="88">
        <v>600</v>
      </c>
      <c r="N354" s="78">
        <f>30</f>
        <v>30</v>
      </c>
      <c r="O354" s="80">
        <v>240</v>
      </c>
      <c r="P354" s="80">
        <v>160</v>
      </c>
      <c r="Q354" s="80">
        <f t="shared" si="54"/>
        <v>195</v>
      </c>
      <c r="R354" s="80">
        <f t="shared" si="55"/>
        <v>100</v>
      </c>
      <c r="S354" s="78">
        <f t="shared" si="56"/>
        <v>695</v>
      </c>
      <c r="T354" s="78">
        <f>0</f>
        <v>0</v>
      </c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</row>
    <row r="355" spans="1:30" ht="15.75" x14ac:dyDescent="0.25">
      <c r="A355" s="14">
        <v>51744</v>
      </c>
      <c r="B355" s="90">
        <v>31</v>
      </c>
      <c r="C355" s="78">
        <f>194.205</f>
        <v>194.20500000000001</v>
      </c>
      <c r="D355" s="78">
        <f>267.466</f>
        <v>267.46600000000001</v>
      </c>
      <c r="E355" s="86">
        <f>133.845</f>
        <v>133.845</v>
      </c>
      <c r="F355" s="78">
        <f>278.484-40-25-60</f>
        <v>153.48399999999998</v>
      </c>
      <c r="G355" s="80">
        <v>40</v>
      </c>
      <c r="H355" s="78">
        <f t="shared" si="58"/>
        <v>85</v>
      </c>
      <c r="I355" s="78">
        <f t="shared" si="50"/>
        <v>0</v>
      </c>
      <c r="J355" s="80">
        <v>100</v>
      </c>
      <c r="K355" s="80">
        <v>300</v>
      </c>
      <c r="L355" s="78">
        <f t="shared" si="53"/>
        <v>1274</v>
      </c>
      <c r="M355" s="88">
        <v>600</v>
      </c>
      <c r="N355" s="78">
        <f>30</f>
        <v>30</v>
      </c>
      <c r="O355" s="80">
        <v>240</v>
      </c>
      <c r="P355" s="80">
        <v>160</v>
      </c>
      <c r="Q355" s="80">
        <f t="shared" si="54"/>
        <v>195</v>
      </c>
      <c r="R355" s="80">
        <f t="shared" si="55"/>
        <v>100</v>
      </c>
      <c r="S355" s="78">
        <f t="shared" si="56"/>
        <v>695</v>
      </c>
      <c r="T355" s="78">
        <f>0</f>
        <v>0</v>
      </c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</row>
    <row r="356" spans="1:30" ht="15.75" x14ac:dyDescent="0.25">
      <c r="A356" s="14">
        <v>51774</v>
      </c>
      <c r="B356" s="90">
        <v>30</v>
      </c>
      <c r="C356" s="78">
        <f>194.205</f>
        <v>194.20500000000001</v>
      </c>
      <c r="D356" s="78">
        <f>267.466</f>
        <v>267.46600000000001</v>
      </c>
      <c r="E356" s="86">
        <f>133.845</f>
        <v>133.845</v>
      </c>
      <c r="F356" s="78">
        <f>278.484-40-25-60</f>
        <v>153.48399999999998</v>
      </c>
      <c r="G356" s="80">
        <v>40</v>
      </c>
      <c r="H356" s="78">
        <f t="shared" si="58"/>
        <v>85</v>
      </c>
      <c r="I356" s="78">
        <f t="shared" si="50"/>
        <v>0</v>
      </c>
      <c r="J356" s="80">
        <v>100</v>
      </c>
      <c r="K356" s="80">
        <v>300</v>
      </c>
      <c r="L356" s="78">
        <f t="shared" si="53"/>
        <v>1274</v>
      </c>
      <c r="M356" s="88">
        <v>600</v>
      </c>
      <c r="N356" s="78">
        <f>30</f>
        <v>30</v>
      </c>
      <c r="O356" s="80">
        <v>240</v>
      </c>
      <c r="P356" s="80">
        <v>160</v>
      </c>
      <c r="Q356" s="80">
        <f t="shared" si="54"/>
        <v>195</v>
      </c>
      <c r="R356" s="80">
        <f t="shared" si="55"/>
        <v>100</v>
      </c>
      <c r="S356" s="78">
        <f t="shared" si="56"/>
        <v>695</v>
      </c>
      <c r="T356" s="78">
        <f>0</f>
        <v>0</v>
      </c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</row>
    <row r="357" spans="1:30" ht="15.75" x14ac:dyDescent="0.25">
      <c r="A357" s="14">
        <v>51805</v>
      </c>
      <c r="B357" s="90">
        <v>31</v>
      </c>
      <c r="C357" s="78">
        <f>131.881</f>
        <v>131.881</v>
      </c>
      <c r="D357" s="78">
        <f>277.167</f>
        <v>277.16699999999997</v>
      </c>
      <c r="E357" s="86">
        <f>79.08</f>
        <v>79.08</v>
      </c>
      <c r="F357" s="78">
        <f>350.872-40-25-60</f>
        <v>225.87200000000001</v>
      </c>
      <c r="G357" s="80">
        <v>40</v>
      </c>
      <c r="H357" s="78">
        <f t="shared" si="58"/>
        <v>85</v>
      </c>
      <c r="I357" s="78">
        <f t="shared" si="50"/>
        <v>0</v>
      </c>
      <c r="J357" s="80">
        <v>100</v>
      </c>
      <c r="K357" s="80">
        <v>300</v>
      </c>
      <c r="L357" s="78">
        <f t="shared" si="53"/>
        <v>1239</v>
      </c>
      <c r="M357" s="88">
        <v>600</v>
      </c>
      <c r="N357" s="78">
        <f>75</f>
        <v>75</v>
      </c>
      <c r="O357" s="80">
        <v>240</v>
      </c>
      <c r="P357" s="80">
        <v>160</v>
      </c>
      <c r="Q357" s="80">
        <f t="shared" si="54"/>
        <v>195</v>
      </c>
      <c r="R357" s="80">
        <f t="shared" si="55"/>
        <v>100</v>
      </c>
      <c r="S357" s="78">
        <f t="shared" si="56"/>
        <v>695</v>
      </c>
      <c r="T357" s="78">
        <f>0</f>
        <v>0</v>
      </c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</row>
    <row r="358" spans="1:30" ht="15.75" x14ac:dyDescent="0.25">
      <c r="A358" s="14">
        <v>51835</v>
      </c>
      <c r="B358" s="90">
        <v>30</v>
      </c>
      <c r="C358" s="78">
        <f>122.58</f>
        <v>122.58</v>
      </c>
      <c r="D358" s="78">
        <f>297.941</f>
        <v>297.94099999999997</v>
      </c>
      <c r="E358" s="86">
        <f>89.177</f>
        <v>89.177000000000007</v>
      </c>
      <c r="F358" s="78">
        <f>240.302-40-60</f>
        <v>140.30199999999999</v>
      </c>
      <c r="G358" s="80">
        <v>40</v>
      </c>
      <c r="H358" s="78">
        <v>60</v>
      </c>
      <c r="I358" s="78">
        <f t="shared" si="50"/>
        <v>0</v>
      </c>
      <c r="J358" s="80">
        <v>100</v>
      </c>
      <c r="K358" s="80">
        <v>300</v>
      </c>
      <c r="L358" s="78">
        <f t="shared" si="53"/>
        <v>1150</v>
      </c>
      <c r="M358" s="88">
        <v>600</v>
      </c>
      <c r="N358" s="78">
        <f>100</f>
        <v>100</v>
      </c>
      <c r="O358" s="80">
        <v>240</v>
      </c>
      <c r="P358" s="80">
        <v>40</v>
      </c>
      <c r="Q358" s="80">
        <f t="shared" si="54"/>
        <v>315</v>
      </c>
      <c r="R358" s="80">
        <f t="shared" si="55"/>
        <v>100</v>
      </c>
      <c r="S358" s="78">
        <f t="shared" si="56"/>
        <v>695</v>
      </c>
      <c r="T358" s="78">
        <f>50</f>
        <v>50</v>
      </c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</row>
    <row r="359" spans="1:30" ht="15.75" x14ac:dyDescent="0.25">
      <c r="A359" s="14">
        <v>51866</v>
      </c>
      <c r="B359" s="90">
        <v>31</v>
      </c>
      <c r="C359" s="78">
        <f>122.58</f>
        <v>122.58</v>
      </c>
      <c r="D359" s="78">
        <f>297.941</f>
        <v>297.94099999999997</v>
      </c>
      <c r="E359" s="86">
        <f>89.177</f>
        <v>89.177000000000007</v>
      </c>
      <c r="F359" s="78">
        <f>240.302-40-60</f>
        <v>140.30199999999999</v>
      </c>
      <c r="G359" s="80">
        <v>40</v>
      </c>
      <c r="H359" s="78">
        <v>60</v>
      </c>
      <c r="I359" s="78">
        <f t="shared" si="50"/>
        <v>0</v>
      </c>
      <c r="J359" s="80">
        <v>100</v>
      </c>
      <c r="K359" s="80">
        <v>300</v>
      </c>
      <c r="L359" s="78">
        <f t="shared" si="53"/>
        <v>1150</v>
      </c>
      <c r="M359" s="88">
        <v>600</v>
      </c>
      <c r="N359" s="78">
        <f>100</f>
        <v>100</v>
      </c>
      <c r="O359" s="80">
        <v>240</v>
      </c>
      <c r="P359" s="80">
        <v>40</v>
      </c>
      <c r="Q359" s="80">
        <f t="shared" si="54"/>
        <v>315</v>
      </c>
      <c r="R359" s="80">
        <f t="shared" si="55"/>
        <v>100</v>
      </c>
      <c r="S359" s="78">
        <f t="shared" si="56"/>
        <v>695</v>
      </c>
      <c r="T359" s="78">
        <f>50</f>
        <v>50</v>
      </c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</row>
    <row r="360" spans="1:30" ht="15.75" x14ac:dyDescent="0.25">
      <c r="A360" s="14">
        <v>51897</v>
      </c>
      <c r="B360" s="90">
        <v>31</v>
      </c>
      <c r="C360" s="78">
        <f>122.58</f>
        <v>122.58</v>
      </c>
      <c r="D360" s="78">
        <f>297.941</f>
        <v>297.94099999999997</v>
      </c>
      <c r="E360" s="86">
        <f>89.177</f>
        <v>89.177000000000007</v>
      </c>
      <c r="F360" s="78">
        <f>240.302-40-60</f>
        <v>140.30199999999999</v>
      </c>
      <c r="G360" s="80">
        <v>40</v>
      </c>
      <c r="H360" s="78">
        <v>60</v>
      </c>
      <c r="I360" s="78">
        <f t="shared" si="50"/>
        <v>0</v>
      </c>
      <c r="J360" s="80">
        <v>100</v>
      </c>
      <c r="K360" s="80">
        <v>300</v>
      </c>
      <c r="L360" s="78">
        <f t="shared" si="53"/>
        <v>1150</v>
      </c>
      <c r="M360" s="88">
        <v>600</v>
      </c>
      <c r="N360" s="78">
        <f>100</f>
        <v>100</v>
      </c>
      <c r="O360" s="80">
        <v>240</v>
      </c>
      <c r="P360" s="80">
        <v>40</v>
      </c>
      <c r="Q360" s="80">
        <f t="shared" si="54"/>
        <v>315</v>
      </c>
      <c r="R360" s="80">
        <f t="shared" si="55"/>
        <v>100</v>
      </c>
      <c r="S360" s="78">
        <f t="shared" si="56"/>
        <v>695</v>
      </c>
      <c r="T360" s="78">
        <f>50</f>
        <v>50</v>
      </c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</row>
    <row r="361" spans="1:30" ht="15.75" x14ac:dyDescent="0.25">
      <c r="A361" s="14">
        <v>51925</v>
      </c>
      <c r="B361" s="90">
        <v>28</v>
      </c>
      <c r="C361" s="78">
        <f>122.58</f>
        <v>122.58</v>
      </c>
      <c r="D361" s="78">
        <f>297.941</f>
        <v>297.94099999999997</v>
      </c>
      <c r="E361" s="86">
        <f>89.177</f>
        <v>89.177000000000007</v>
      </c>
      <c r="F361" s="78">
        <f>240.302-40-60</f>
        <v>140.30199999999999</v>
      </c>
      <c r="G361" s="80">
        <v>40</v>
      </c>
      <c r="H361" s="78">
        <v>60</v>
      </c>
      <c r="I361" s="78">
        <f t="shared" si="50"/>
        <v>0</v>
      </c>
      <c r="J361" s="80">
        <v>100</v>
      </c>
      <c r="K361" s="80">
        <v>300</v>
      </c>
      <c r="L361" s="78">
        <f t="shared" si="53"/>
        <v>1150</v>
      </c>
      <c r="M361" s="88">
        <v>600</v>
      </c>
      <c r="N361" s="78">
        <f>100</f>
        <v>100</v>
      </c>
      <c r="O361" s="80">
        <v>240</v>
      </c>
      <c r="P361" s="80">
        <v>40</v>
      </c>
      <c r="Q361" s="80">
        <f t="shared" si="54"/>
        <v>315</v>
      </c>
      <c r="R361" s="80">
        <f t="shared" si="55"/>
        <v>100</v>
      </c>
      <c r="S361" s="78">
        <f t="shared" si="56"/>
        <v>695</v>
      </c>
      <c r="T361" s="78">
        <f>50</f>
        <v>50</v>
      </c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</row>
    <row r="362" spans="1:30" ht="15.75" x14ac:dyDescent="0.25">
      <c r="A362" s="14">
        <v>51956</v>
      </c>
      <c r="B362" s="90">
        <v>31</v>
      </c>
      <c r="C362" s="78">
        <f>122.58</f>
        <v>122.58</v>
      </c>
      <c r="D362" s="78">
        <f>297.941</f>
        <v>297.94099999999997</v>
      </c>
      <c r="E362" s="86">
        <f>89.177</f>
        <v>89.177000000000007</v>
      </c>
      <c r="F362" s="78">
        <f>240.302-40-60</f>
        <v>140.30199999999999</v>
      </c>
      <c r="G362" s="80">
        <v>40</v>
      </c>
      <c r="H362" s="78">
        <v>60</v>
      </c>
      <c r="I362" s="78">
        <f t="shared" si="50"/>
        <v>0</v>
      </c>
      <c r="J362" s="80">
        <v>100</v>
      </c>
      <c r="K362" s="80">
        <v>300</v>
      </c>
      <c r="L362" s="78">
        <f t="shared" si="53"/>
        <v>1150</v>
      </c>
      <c r="M362" s="88">
        <v>600</v>
      </c>
      <c r="N362" s="78">
        <f>100</f>
        <v>100</v>
      </c>
      <c r="O362" s="80">
        <v>240</v>
      </c>
      <c r="P362" s="80">
        <v>40</v>
      </c>
      <c r="Q362" s="80">
        <f t="shared" si="54"/>
        <v>315</v>
      </c>
      <c r="R362" s="80">
        <f t="shared" si="55"/>
        <v>100</v>
      </c>
      <c r="S362" s="78">
        <f t="shared" si="56"/>
        <v>695</v>
      </c>
      <c r="T362" s="78">
        <f>50</f>
        <v>50</v>
      </c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</row>
    <row r="363" spans="1:30" ht="15.75" x14ac:dyDescent="0.25">
      <c r="A363" s="14">
        <v>51986</v>
      </c>
      <c r="B363" s="90">
        <v>30</v>
      </c>
      <c r="C363" s="78">
        <f>141.293</f>
        <v>141.29300000000001</v>
      </c>
      <c r="D363" s="78">
        <f>267.993</f>
        <v>267.99299999999999</v>
      </c>
      <c r="E363" s="86">
        <f>115.016</f>
        <v>115.01600000000001</v>
      </c>
      <c r="F363" s="78">
        <f>314.698-40-25-60</f>
        <v>189.69799999999998</v>
      </c>
      <c r="G363" s="80">
        <v>40</v>
      </c>
      <c r="H363" s="78">
        <f t="shared" ref="H363:H369" si="59">25+60</f>
        <v>85</v>
      </c>
      <c r="I363" s="78">
        <f t="shared" si="50"/>
        <v>0</v>
      </c>
      <c r="J363" s="80">
        <v>100</v>
      </c>
      <c r="K363" s="80">
        <v>300</v>
      </c>
      <c r="L363" s="78">
        <f t="shared" si="53"/>
        <v>1239</v>
      </c>
      <c r="M363" s="88">
        <v>600</v>
      </c>
      <c r="N363" s="78">
        <f>100</f>
        <v>100</v>
      </c>
      <c r="O363" s="80">
        <v>240</v>
      </c>
      <c r="P363" s="80">
        <v>160</v>
      </c>
      <c r="Q363" s="80">
        <f t="shared" si="54"/>
        <v>195</v>
      </c>
      <c r="R363" s="80">
        <f t="shared" si="55"/>
        <v>100</v>
      </c>
      <c r="S363" s="78">
        <f t="shared" si="56"/>
        <v>695</v>
      </c>
      <c r="T363" s="78">
        <f>50</f>
        <v>50</v>
      </c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</row>
    <row r="364" spans="1:30" ht="15.75" x14ac:dyDescent="0.25">
      <c r="A364" s="14">
        <v>52017</v>
      </c>
      <c r="B364" s="90">
        <v>31</v>
      </c>
      <c r="C364" s="78">
        <f>194.205</f>
        <v>194.20500000000001</v>
      </c>
      <c r="D364" s="78">
        <f>267.466</f>
        <v>267.46600000000001</v>
      </c>
      <c r="E364" s="86">
        <f>133.845</f>
        <v>133.845</v>
      </c>
      <c r="F364" s="78">
        <f>278.484-40-25-60</f>
        <v>153.48399999999998</v>
      </c>
      <c r="G364" s="80">
        <v>40</v>
      </c>
      <c r="H364" s="78">
        <f t="shared" si="59"/>
        <v>85</v>
      </c>
      <c r="I364" s="78">
        <f t="shared" si="50"/>
        <v>0</v>
      </c>
      <c r="J364" s="80">
        <v>100</v>
      </c>
      <c r="K364" s="80">
        <v>300</v>
      </c>
      <c r="L364" s="78">
        <f t="shared" si="53"/>
        <v>1274</v>
      </c>
      <c r="M364" s="88">
        <v>600</v>
      </c>
      <c r="N364" s="78">
        <f>75</f>
        <v>75</v>
      </c>
      <c r="O364" s="80">
        <v>240</v>
      </c>
      <c r="P364" s="80">
        <v>160</v>
      </c>
      <c r="Q364" s="80">
        <f t="shared" si="54"/>
        <v>195</v>
      </c>
      <c r="R364" s="80">
        <f t="shared" si="55"/>
        <v>100</v>
      </c>
      <c r="S364" s="78">
        <f t="shared" si="56"/>
        <v>695</v>
      </c>
      <c r="T364" s="78">
        <f>50</f>
        <v>50</v>
      </c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</row>
    <row r="365" spans="1:30" ht="15.75" x14ac:dyDescent="0.25">
      <c r="A365" s="14">
        <v>52047</v>
      </c>
      <c r="B365" s="90">
        <v>30</v>
      </c>
      <c r="C365" s="78">
        <f>194.205</f>
        <v>194.20500000000001</v>
      </c>
      <c r="D365" s="78">
        <f>267.466</f>
        <v>267.46600000000001</v>
      </c>
      <c r="E365" s="86">
        <f>133.845</f>
        <v>133.845</v>
      </c>
      <c r="F365" s="78">
        <f>278.484-40-25-60</f>
        <v>153.48399999999998</v>
      </c>
      <c r="G365" s="80">
        <v>40</v>
      </c>
      <c r="H365" s="78">
        <f t="shared" si="59"/>
        <v>85</v>
      </c>
      <c r="I365" s="78">
        <f t="shared" si="50"/>
        <v>0</v>
      </c>
      <c r="J365" s="80">
        <v>100</v>
      </c>
      <c r="K365" s="80">
        <v>300</v>
      </c>
      <c r="L365" s="78">
        <f t="shared" si="53"/>
        <v>1274</v>
      </c>
      <c r="M365" s="88">
        <v>600</v>
      </c>
      <c r="N365" s="78">
        <f>30</f>
        <v>30</v>
      </c>
      <c r="O365" s="80">
        <v>240</v>
      </c>
      <c r="P365" s="80">
        <v>160</v>
      </c>
      <c r="Q365" s="80">
        <f t="shared" si="54"/>
        <v>195</v>
      </c>
      <c r="R365" s="80">
        <f t="shared" si="55"/>
        <v>100</v>
      </c>
      <c r="S365" s="78">
        <f t="shared" si="56"/>
        <v>695</v>
      </c>
      <c r="T365" s="78">
        <f>50</f>
        <v>50</v>
      </c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</row>
    <row r="366" spans="1:30" ht="15.75" x14ac:dyDescent="0.25">
      <c r="A366" s="14">
        <v>52078</v>
      </c>
      <c r="B366" s="90">
        <v>31</v>
      </c>
      <c r="C366" s="78">
        <f>194.205</f>
        <v>194.20500000000001</v>
      </c>
      <c r="D366" s="78">
        <f>267.466</f>
        <v>267.46600000000001</v>
      </c>
      <c r="E366" s="86">
        <f>133.845</f>
        <v>133.845</v>
      </c>
      <c r="F366" s="78">
        <f>278.484-40-25-60</f>
        <v>153.48399999999998</v>
      </c>
      <c r="G366" s="80">
        <v>40</v>
      </c>
      <c r="H366" s="78">
        <f t="shared" si="59"/>
        <v>85</v>
      </c>
      <c r="I366" s="78">
        <f t="shared" si="50"/>
        <v>0</v>
      </c>
      <c r="J366" s="80">
        <v>100</v>
      </c>
      <c r="K366" s="80">
        <v>300</v>
      </c>
      <c r="L366" s="78">
        <f t="shared" si="53"/>
        <v>1274</v>
      </c>
      <c r="M366" s="88">
        <v>600</v>
      </c>
      <c r="N366" s="78">
        <f>30</f>
        <v>30</v>
      </c>
      <c r="O366" s="80">
        <v>240</v>
      </c>
      <c r="P366" s="80">
        <v>160</v>
      </c>
      <c r="Q366" s="80">
        <f t="shared" si="54"/>
        <v>195</v>
      </c>
      <c r="R366" s="80">
        <f t="shared" si="55"/>
        <v>100</v>
      </c>
      <c r="S366" s="78">
        <f t="shared" si="56"/>
        <v>695</v>
      </c>
      <c r="T366" s="78">
        <f>0</f>
        <v>0</v>
      </c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</row>
    <row r="367" spans="1:30" ht="15.75" x14ac:dyDescent="0.25">
      <c r="A367" s="14">
        <v>52109</v>
      </c>
      <c r="B367" s="90">
        <v>31</v>
      </c>
      <c r="C367" s="78">
        <f>194.205</f>
        <v>194.20500000000001</v>
      </c>
      <c r="D367" s="78">
        <f>267.466</f>
        <v>267.46600000000001</v>
      </c>
      <c r="E367" s="86">
        <f>133.845</f>
        <v>133.845</v>
      </c>
      <c r="F367" s="78">
        <f>278.484-40-25-60</f>
        <v>153.48399999999998</v>
      </c>
      <c r="G367" s="80">
        <v>40</v>
      </c>
      <c r="H367" s="78">
        <f t="shared" si="59"/>
        <v>85</v>
      </c>
      <c r="I367" s="78">
        <f t="shared" si="50"/>
        <v>0</v>
      </c>
      <c r="J367" s="80">
        <v>100</v>
      </c>
      <c r="K367" s="80">
        <v>300</v>
      </c>
      <c r="L367" s="78">
        <f t="shared" si="53"/>
        <v>1274</v>
      </c>
      <c r="M367" s="88">
        <v>600</v>
      </c>
      <c r="N367" s="78">
        <f>30</f>
        <v>30</v>
      </c>
      <c r="O367" s="80">
        <v>240</v>
      </c>
      <c r="P367" s="80">
        <v>160</v>
      </c>
      <c r="Q367" s="80">
        <f t="shared" si="54"/>
        <v>195</v>
      </c>
      <c r="R367" s="80">
        <f t="shared" si="55"/>
        <v>100</v>
      </c>
      <c r="S367" s="78">
        <f t="shared" si="56"/>
        <v>695</v>
      </c>
      <c r="T367" s="78">
        <f>0</f>
        <v>0</v>
      </c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</row>
    <row r="368" spans="1:30" ht="15.75" x14ac:dyDescent="0.25">
      <c r="A368" s="14">
        <v>52139</v>
      </c>
      <c r="B368" s="90">
        <v>30</v>
      </c>
      <c r="C368" s="78">
        <f>194.205</f>
        <v>194.20500000000001</v>
      </c>
      <c r="D368" s="78">
        <f>267.466</f>
        <v>267.46600000000001</v>
      </c>
      <c r="E368" s="86">
        <f>133.845</f>
        <v>133.845</v>
      </c>
      <c r="F368" s="78">
        <f>278.484-40-25-60</f>
        <v>153.48399999999998</v>
      </c>
      <c r="G368" s="80">
        <v>40</v>
      </c>
      <c r="H368" s="78">
        <f t="shared" si="59"/>
        <v>85</v>
      </c>
      <c r="I368" s="78">
        <f t="shared" si="50"/>
        <v>0</v>
      </c>
      <c r="J368" s="80">
        <v>100</v>
      </c>
      <c r="K368" s="80">
        <v>300</v>
      </c>
      <c r="L368" s="78">
        <f t="shared" si="53"/>
        <v>1274</v>
      </c>
      <c r="M368" s="88">
        <v>600</v>
      </c>
      <c r="N368" s="78">
        <f>30</f>
        <v>30</v>
      </c>
      <c r="O368" s="80">
        <v>240</v>
      </c>
      <c r="P368" s="80">
        <v>160</v>
      </c>
      <c r="Q368" s="80">
        <f t="shared" si="54"/>
        <v>195</v>
      </c>
      <c r="R368" s="80">
        <f t="shared" si="55"/>
        <v>100</v>
      </c>
      <c r="S368" s="78">
        <f t="shared" si="56"/>
        <v>695</v>
      </c>
      <c r="T368" s="78">
        <f>0</f>
        <v>0</v>
      </c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</row>
    <row r="369" spans="1:30" ht="15.75" x14ac:dyDescent="0.25">
      <c r="A369" s="14">
        <v>52170</v>
      </c>
      <c r="B369" s="90">
        <v>31</v>
      </c>
      <c r="C369" s="78">
        <f>131.881</f>
        <v>131.881</v>
      </c>
      <c r="D369" s="78">
        <f>277.167</f>
        <v>277.16699999999997</v>
      </c>
      <c r="E369" s="86">
        <f>79.08</f>
        <v>79.08</v>
      </c>
      <c r="F369" s="78">
        <f>350.872-40-25-60</f>
        <v>225.87200000000001</v>
      </c>
      <c r="G369" s="80">
        <v>40</v>
      </c>
      <c r="H369" s="78">
        <f t="shared" si="59"/>
        <v>85</v>
      </c>
      <c r="I369" s="78">
        <f t="shared" si="50"/>
        <v>0</v>
      </c>
      <c r="J369" s="80">
        <v>100</v>
      </c>
      <c r="K369" s="80">
        <v>300</v>
      </c>
      <c r="L369" s="78">
        <f t="shared" si="53"/>
        <v>1239</v>
      </c>
      <c r="M369" s="88">
        <v>600</v>
      </c>
      <c r="N369" s="78">
        <f>75</f>
        <v>75</v>
      </c>
      <c r="O369" s="80">
        <v>240</v>
      </c>
      <c r="P369" s="80">
        <v>160</v>
      </c>
      <c r="Q369" s="80">
        <f t="shared" si="54"/>
        <v>195</v>
      </c>
      <c r="R369" s="80">
        <f t="shared" si="55"/>
        <v>100</v>
      </c>
      <c r="S369" s="78">
        <f t="shared" si="56"/>
        <v>695</v>
      </c>
      <c r="T369" s="78">
        <f>0</f>
        <v>0</v>
      </c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</row>
    <row r="370" spans="1:30" ht="15.75" x14ac:dyDescent="0.25">
      <c r="A370" s="14">
        <v>52200</v>
      </c>
      <c r="B370" s="90">
        <v>30</v>
      </c>
      <c r="C370" s="78">
        <f>122.58</f>
        <v>122.58</v>
      </c>
      <c r="D370" s="78">
        <f>297.941</f>
        <v>297.94099999999997</v>
      </c>
      <c r="E370" s="86">
        <f>89.177</f>
        <v>89.177000000000007</v>
      </c>
      <c r="F370" s="78">
        <f>240.302-40-60</f>
        <v>140.30199999999999</v>
      </c>
      <c r="G370" s="80">
        <v>40</v>
      </c>
      <c r="H370" s="78">
        <v>60</v>
      </c>
      <c r="I370" s="78">
        <f t="shared" si="50"/>
        <v>0</v>
      </c>
      <c r="J370" s="80">
        <v>100</v>
      </c>
      <c r="K370" s="80">
        <v>300</v>
      </c>
      <c r="L370" s="78">
        <f t="shared" si="53"/>
        <v>1150</v>
      </c>
      <c r="M370" s="88">
        <v>600</v>
      </c>
      <c r="N370" s="78">
        <f>100</f>
        <v>100</v>
      </c>
      <c r="O370" s="80">
        <v>240</v>
      </c>
      <c r="P370" s="80">
        <v>40</v>
      </c>
      <c r="Q370" s="80">
        <f t="shared" si="54"/>
        <v>315</v>
      </c>
      <c r="R370" s="80">
        <f t="shared" si="55"/>
        <v>100</v>
      </c>
      <c r="S370" s="78">
        <f t="shared" si="56"/>
        <v>695</v>
      </c>
      <c r="T370" s="78">
        <f>50</f>
        <v>50</v>
      </c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</row>
    <row r="371" spans="1:30" ht="15.75" x14ac:dyDescent="0.25">
      <c r="A371" s="14">
        <v>52231</v>
      </c>
      <c r="B371" s="90">
        <v>31</v>
      </c>
      <c r="C371" s="78">
        <f>122.58</f>
        <v>122.58</v>
      </c>
      <c r="D371" s="78">
        <f>297.941</f>
        <v>297.94099999999997</v>
      </c>
      <c r="E371" s="86">
        <f>89.177</f>
        <v>89.177000000000007</v>
      </c>
      <c r="F371" s="78">
        <f>240.302-40-60</f>
        <v>140.30199999999999</v>
      </c>
      <c r="G371" s="80">
        <v>40</v>
      </c>
      <c r="H371" s="78">
        <v>60</v>
      </c>
      <c r="I371" s="78">
        <f t="shared" si="50"/>
        <v>0</v>
      </c>
      <c r="J371" s="80">
        <v>100</v>
      </c>
      <c r="K371" s="80">
        <v>300</v>
      </c>
      <c r="L371" s="78">
        <f t="shared" si="53"/>
        <v>1150</v>
      </c>
      <c r="M371" s="88">
        <v>600</v>
      </c>
      <c r="N371" s="78">
        <f>100</f>
        <v>100</v>
      </c>
      <c r="O371" s="80">
        <v>240</v>
      </c>
      <c r="P371" s="80">
        <v>40</v>
      </c>
      <c r="Q371" s="80">
        <f t="shared" si="54"/>
        <v>315</v>
      </c>
      <c r="R371" s="80">
        <f t="shared" si="55"/>
        <v>100</v>
      </c>
      <c r="S371" s="78">
        <f t="shared" si="56"/>
        <v>695</v>
      </c>
      <c r="T371" s="78">
        <f>50</f>
        <v>50</v>
      </c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</row>
    <row r="372" spans="1:30" ht="15.75" x14ac:dyDescent="0.25">
      <c r="A372" s="14">
        <v>52262</v>
      </c>
      <c r="B372" s="90">
        <v>31</v>
      </c>
      <c r="C372" s="78">
        <f>122.58</f>
        <v>122.58</v>
      </c>
      <c r="D372" s="78">
        <f>297.941</f>
        <v>297.94099999999997</v>
      </c>
      <c r="E372" s="86">
        <f>89.177</f>
        <v>89.177000000000007</v>
      </c>
      <c r="F372" s="78">
        <f>240.302-40-60</f>
        <v>140.30199999999999</v>
      </c>
      <c r="G372" s="80">
        <v>40</v>
      </c>
      <c r="H372" s="78">
        <v>60</v>
      </c>
      <c r="I372" s="78">
        <f t="shared" ref="I372:I435" si="60">400-J372-K372</f>
        <v>0</v>
      </c>
      <c r="J372" s="80">
        <v>100</v>
      </c>
      <c r="K372" s="80">
        <v>300</v>
      </c>
      <c r="L372" s="78">
        <f t="shared" si="53"/>
        <v>1150</v>
      </c>
      <c r="M372" s="88">
        <v>600</v>
      </c>
      <c r="N372" s="78">
        <f>100</f>
        <v>100</v>
      </c>
      <c r="O372" s="80">
        <v>240</v>
      </c>
      <c r="P372" s="80">
        <v>40</v>
      </c>
      <c r="Q372" s="80">
        <f t="shared" si="54"/>
        <v>315</v>
      </c>
      <c r="R372" s="80">
        <f t="shared" si="55"/>
        <v>100</v>
      </c>
      <c r="S372" s="78">
        <f t="shared" si="56"/>
        <v>695</v>
      </c>
      <c r="T372" s="78">
        <f>50</f>
        <v>50</v>
      </c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</row>
    <row r="373" spans="1:30" ht="15.75" x14ac:dyDescent="0.25">
      <c r="A373" s="14">
        <v>52290</v>
      </c>
      <c r="B373" s="90">
        <v>28</v>
      </c>
      <c r="C373" s="78">
        <f>122.58</f>
        <v>122.58</v>
      </c>
      <c r="D373" s="78">
        <f>297.941</f>
        <v>297.94099999999997</v>
      </c>
      <c r="E373" s="86">
        <f>89.177</f>
        <v>89.177000000000007</v>
      </c>
      <c r="F373" s="78">
        <f>240.302-40-60</f>
        <v>140.30199999999999</v>
      </c>
      <c r="G373" s="80">
        <v>40</v>
      </c>
      <c r="H373" s="78">
        <v>60</v>
      </c>
      <c r="I373" s="78">
        <f t="shared" si="60"/>
        <v>0</v>
      </c>
      <c r="J373" s="80">
        <v>100</v>
      </c>
      <c r="K373" s="80">
        <v>300</v>
      </c>
      <c r="L373" s="78">
        <f t="shared" si="53"/>
        <v>1150</v>
      </c>
      <c r="M373" s="88">
        <v>600</v>
      </c>
      <c r="N373" s="78">
        <f>100</f>
        <v>100</v>
      </c>
      <c r="O373" s="80">
        <v>240</v>
      </c>
      <c r="P373" s="80">
        <v>40</v>
      </c>
      <c r="Q373" s="80">
        <f t="shared" si="54"/>
        <v>315</v>
      </c>
      <c r="R373" s="80">
        <f t="shared" si="55"/>
        <v>100</v>
      </c>
      <c r="S373" s="78">
        <f t="shared" si="56"/>
        <v>695</v>
      </c>
      <c r="T373" s="78">
        <f>50</f>
        <v>50</v>
      </c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</row>
    <row r="374" spans="1:30" ht="15.75" x14ac:dyDescent="0.25">
      <c r="A374" s="14">
        <v>52321</v>
      </c>
      <c r="B374" s="90">
        <v>31</v>
      </c>
      <c r="C374" s="78">
        <f>122.58</f>
        <v>122.58</v>
      </c>
      <c r="D374" s="78">
        <f>297.941</f>
        <v>297.94099999999997</v>
      </c>
      <c r="E374" s="86">
        <f>89.177</f>
        <v>89.177000000000007</v>
      </c>
      <c r="F374" s="78">
        <f>240.302-40-60</f>
        <v>140.30199999999999</v>
      </c>
      <c r="G374" s="80">
        <v>40</v>
      </c>
      <c r="H374" s="78">
        <v>60</v>
      </c>
      <c r="I374" s="78">
        <f t="shared" si="60"/>
        <v>0</v>
      </c>
      <c r="J374" s="80">
        <v>100</v>
      </c>
      <c r="K374" s="80">
        <v>300</v>
      </c>
      <c r="L374" s="78">
        <f t="shared" si="53"/>
        <v>1150</v>
      </c>
      <c r="M374" s="88">
        <v>600</v>
      </c>
      <c r="N374" s="78">
        <f>100</f>
        <v>100</v>
      </c>
      <c r="O374" s="80">
        <v>240</v>
      </c>
      <c r="P374" s="80">
        <v>40</v>
      </c>
      <c r="Q374" s="80">
        <f t="shared" si="54"/>
        <v>315</v>
      </c>
      <c r="R374" s="80">
        <f t="shared" si="55"/>
        <v>100</v>
      </c>
      <c r="S374" s="78">
        <f t="shared" si="56"/>
        <v>695</v>
      </c>
      <c r="T374" s="78">
        <f>50</f>
        <v>50</v>
      </c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</row>
    <row r="375" spans="1:30" ht="15.75" x14ac:dyDescent="0.25">
      <c r="A375" s="14">
        <v>52351</v>
      </c>
      <c r="B375" s="90">
        <v>30</v>
      </c>
      <c r="C375" s="78">
        <f>141.293</f>
        <v>141.29300000000001</v>
      </c>
      <c r="D375" s="78">
        <f>267.993</f>
        <v>267.99299999999999</v>
      </c>
      <c r="E375" s="86">
        <f>115.016</f>
        <v>115.01600000000001</v>
      </c>
      <c r="F375" s="78">
        <f>314.698-40-25-60</f>
        <v>189.69799999999998</v>
      </c>
      <c r="G375" s="80">
        <v>40</v>
      </c>
      <c r="H375" s="78">
        <f t="shared" ref="H375:H381" si="61">25+60</f>
        <v>85</v>
      </c>
      <c r="I375" s="78">
        <f t="shared" si="60"/>
        <v>0</v>
      </c>
      <c r="J375" s="80">
        <v>100</v>
      </c>
      <c r="K375" s="80">
        <v>300</v>
      </c>
      <c r="L375" s="78">
        <f t="shared" si="53"/>
        <v>1239</v>
      </c>
      <c r="M375" s="88">
        <v>600</v>
      </c>
      <c r="N375" s="78">
        <f>100</f>
        <v>100</v>
      </c>
      <c r="O375" s="80">
        <v>240</v>
      </c>
      <c r="P375" s="80">
        <v>160</v>
      </c>
      <c r="Q375" s="80">
        <f t="shared" si="54"/>
        <v>195</v>
      </c>
      <c r="R375" s="80">
        <f t="shared" si="55"/>
        <v>100</v>
      </c>
      <c r="S375" s="78">
        <f t="shared" si="56"/>
        <v>695</v>
      </c>
      <c r="T375" s="78">
        <f>50</f>
        <v>50</v>
      </c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</row>
    <row r="376" spans="1:30" ht="15.75" x14ac:dyDescent="0.25">
      <c r="A376" s="14">
        <v>52382</v>
      </c>
      <c r="B376" s="90">
        <v>31</v>
      </c>
      <c r="C376" s="78">
        <f>194.205</f>
        <v>194.20500000000001</v>
      </c>
      <c r="D376" s="78">
        <f>267.466</f>
        <v>267.46600000000001</v>
      </c>
      <c r="E376" s="86">
        <f>133.845</f>
        <v>133.845</v>
      </c>
      <c r="F376" s="78">
        <f>278.484-40-25-60</f>
        <v>153.48399999999998</v>
      </c>
      <c r="G376" s="80">
        <v>40</v>
      </c>
      <c r="H376" s="78">
        <f t="shared" si="61"/>
        <v>85</v>
      </c>
      <c r="I376" s="78">
        <f t="shared" si="60"/>
        <v>0</v>
      </c>
      <c r="J376" s="80">
        <v>100</v>
      </c>
      <c r="K376" s="80">
        <v>300</v>
      </c>
      <c r="L376" s="78">
        <f t="shared" si="53"/>
        <v>1274</v>
      </c>
      <c r="M376" s="88">
        <v>600</v>
      </c>
      <c r="N376" s="78">
        <f>75</f>
        <v>75</v>
      </c>
      <c r="O376" s="80">
        <v>240</v>
      </c>
      <c r="P376" s="80">
        <v>160</v>
      </c>
      <c r="Q376" s="80">
        <f t="shared" si="54"/>
        <v>195</v>
      </c>
      <c r="R376" s="80">
        <f t="shared" si="55"/>
        <v>100</v>
      </c>
      <c r="S376" s="78">
        <f t="shared" si="56"/>
        <v>695</v>
      </c>
      <c r="T376" s="78">
        <f>50</f>
        <v>50</v>
      </c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</row>
    <row r="377" spans="1:30" ht="15.75" x14ac:dyDescent="0.25">
      <c r="A377" s="14">
        <v>52412</v>
      </c>
      <c r="B377" s="90">
        <v>30</v>
      </c>
      <c r="C377" s="78">
        <f>194.205</f>
        <v>194.20500000000001</v>
      </c>
      <c r="D377" s="78">
        <f>267.466</f>
        <v>267.46600000000001</v>
      </c>
      <c r="E377" s="86">
        <f>133.845</f>
        <v>133.845</v>
      </c>
      <c r="F377" s="78">
        <f>278.484-40-25-60</f>
        <v>153.48399999999998</v>
      </c>
      <c r="G377" s="80">
        <v>40</v>
      </c>
      <c r="H377" s="78">
        <f t="shared" si="61"/>
        <v>85</v>
      </c>
      <c r="I377" s="78">
        <f t="shared" si="60"/>
        <v>0</v>
      </c>
      <c r="J377" s="80">
        <v>100</v>
      </c>
      <c r="K377" s="80">
        <v>300</v>
      </c>
      <c r="L377" s="78">
        <f t="shared" si="53"/>
        <v>1274</v>
      </c>
      <c r="M377" s="88">
        <v>600</v>
      </c>
      <c r="N377" s="78">
        <f>30</f>
        <v>30</v>
      </c>
      <c r="O377" s="80">
        <v>240</v>
      </c>
      <c r="P377" s="80">
        <v>160</v>
      </c>
      <c r="Q377" s="80">
        <f t="shared" si="54"/>
        <v>195</v>
      </c>
      <c r="R377" s="80">
        <f t="shared" si="55"/>
        <v>100</v>
      </c>
      <c r="S377" s="78">
        <f t="shared" si="56"/>
        <v>695</v>
      </c>
      <c r="T377" s="78">
        <f>50</f>
        <v>50</v>
      </c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</row>
    <row r="378" spans="1:30" ht="15.75" x14ac:dyDescent="0.25">
      <c r="A378" s="14">
        <v>52443</v>
      </c>
      <c r="B378" s="90">
        <v>31</v>
      </c>
      <c r="C378" s="78">
        <f>194.205</f>
        <v>194.20500000000001</v>
      </c>
      <c r="D378" s="78">
        <f>267.466</f>
        <v>267.46600000000001</v>
      </c>
      <c r="E378" s="86">
        <f>133.845</f>
        <v>133.845</v>
      </c>
      <c r="F378" s="78">
        <f>278.484-40-25-60</f>
        <v>153.48399999999998</v>
      </c>
      <c r="G378" s="80">
        <v>40</v>
      </c>
      <c r="H378" s="78">
        <f t="shared" si="61"/>
        <v>85</v>
      </c>
      <c r="I378" s="78">
        <f t="shared" si="60"/>
        <v>0</v>
      </c>
      <c r="J378" s="80">
        <v>100</v>
      </c>
      <c r="K378" s="80">
        <v>300</v>
      </c>
      <c r="L378" s="78">
        <f t="shared" si="53"/>
        <v>1274</v>
      </c>
      <c r="M378" s="88">
        <v>600</v>
      </c>
      <c r="N378" s="78">
        <f>30</f>
        <v>30</v>
      </c>
      <c r="O378" s="80">
        <v>240</v>
      </c>
      <c r="P378" s="80">
        <v>160</v>
      </c>
      <c r="Q378" s="80">
        <f t="shared" si="54"/>
        <v>195</v>
      </c>
      <c r="R378" s="80">
        <f t="shared" si="55"/>
        <v>100</v>
      </c>
      <c r="S378" s="78">
        <f t="shared" si="56"/>
        <v>695</v>
      </c>
      <c r="T378" s="78">
        <f>0</f>
        <v>0</v>
      </c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</row>
    <row r="379" spans="1:30" ht="15.75" x14ac:dyDescent="0.25">
      <c r="A379" s="14">
        <v>52474</v>
      </c>
      <c r="B379" s="90">
        <v>31</v>
      </c>
      <c r="C379" s="78">
        <f>194.205</f>
        <v>194.20500000000001</v>
      </c>
      <c r="D379" s="78">
        <f>267.466</f>
        <v>267.46600000000001</v>
      </c>
      <c r="E379" s="86">
        <f>133.845</f>
        <v>133.845</v>
      </c>
      <c r="F379" s="78">
        <f>278.484-40-25-60</f>
        <v>153.48399999999998</v>
      </c>
      <c r="G379" s="80">
        <v>40</v>
      </c>
      <c r="H379" s="78">
        <f t="shared" si="61"/>
        <v>85</v>
      </c>
      <c r="I379" s="78">
        <f t="shared" si="60"/>
        <v>0</v>
      </c>
      <c r="J379" s="80">
        <v>100</v>
      </c>
      <c r="K379" s="80">
        <v>300</v>
      </c>
      <c r="L379" s="78">
        <f t="shared" si="53"/>
        <v>1274</v>
      </c>
      <c r="M379" s="88">
        <v>600</v>
      </c>
      <c r="N379" s="78">
        <f>30</f>
        <v>30</v>
      </c>
      <c r="O379" s="80">
        <v>240</v>
      </c>
      <c r="P379" s="80">
        <v>160</v>
      </c>
      <c r="Q379" s="80">
        <f t="shared" si="54"/>
        <v>195</v>
      </c>
      <c r="R379" s="80">
        <f t="shared" si="55"/>
        <v>100</v>
      </c>
      <c r="S379" s="78">
        <f t="shared" si="56"/>
        <v>695</v>
      </c>
      <c r="T379" s="78">
        <f>0</f>
        <v>0</v>
      </c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</row>
    <row r="380" spans="1:30" ht="15.75" x14ac:dyDescent="0.25">
      <c r="A380" s="14">
        <v>52504</v>
      </c>
      <c r="B380" s="90">
        <v>30</v>
      </c>
      <c r="C380" s="78">
        <f>194.205</f>
        <v>194.20500000000001</v>
      </c>
      <c r="D380" s="78">
        <f>267.466</f>
        <v>267.46600000000001</v>
      </c>
      <c r="E380" s="86">
        <f>133.845</f>
        <v>133.845</v>
      </c>
      <c r="F380" s="78">
        <f>278.484-40-25-60</f>
        <v>153.48399999999998</v>
      </c>
      <c r="G380" s="80">
        <v>40</v>
      </c>
      <c r="H380" s="78">
        <f t="shared" si="61"/>
        <v>85</v>
      </c>
      <c r="I380" s="78">
        <f t="shared" si="60"/>
        <v>0</v>
      </c>
      <c r="J380" s="80">
        <v>100</v>
      </c>
      <c r="K380" s="80">
        <v>300</v>
      </c>
      <c r="L380" s="78">
        <f t="shared" si="53"/>
        <v>1274</v>
      </c>
      <c r="M380" s="88">
        <v>600</v>
      </c>
      <c r="N380" s="78">
        <f>30</f>
        <v>30</v>
      </c>
      <c r="O380" s="80">
        <v>240</v>
      </c>
      <c r="P380" s="80">
        <v>160</v>
      </c>
      <c r="Q380" s="80">
        <f t="shared" si="54"/>
        <v>195</v>
      </c>
      <c r="R380" s="80">
        <f t="shared" si="55"/>
        <v>100</v>
      </c>
      <c r="S380" s="78">
        <f t="shared" si="56"/>
        <v>695</v>
      </c>
      <c r="T380" s="78">
        <f>0</f>
        <v>0</v>
      </c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</row>
    <row r="381" spans="1:30" ht="15.75" x14ac:dyDescent="0.25">
      <c r="A381" s="14">
        <v>52535</v>
      </c>
      <c r="B381" s="90">
        <v>31</v>
      </c>
      <c r="C381" s="78">
        <f>131.881</f>
        <v>131.881</v>
      </c>
      <c r="D381" s="78">
        <f>277.167</f>
        <v>277.16699999999997</v>
      </c>
      <c r="E381" s="86">
        <f>79.08</f>
        <v>79.08</v>
      </c>
      <c r="F381" s="78">
        <f>350.872-40-25-60</f>
        <v>225.87200000000001</v>
      </c>
      <c r="G381" s="80">
        <v>40</v>
      </c>
      <c r="H381" s="78">
        <f t="shared" si="61"/>
        <v>85</v>
      </c>
      <c r="I381" s="78">
        <f t="shared" si="60"/>
        <v>0</v>
      </c>
      <c r="J381" s="80">
        <v>100</v>
      </c>
      <c r="K381" s="80">
        <v>300</v>
      </c>
      <c r="L381" s="78">
        <f t="shared" si="53"/>
        <v>1239</v>
      </c>
      <c r="M381" s="88">
        <v>600</v>
      </c>
      <c r="N381" s="78">
        <f>75</f>
        <v>75</v>
      </c>
      <c r="O381" s="80">
        <v>240</v>
      </c>
      <c r="P381" s="80">
        <v>160</v>
      </c>
      <c r="Q381" s="80">
        <f t="shared" si="54"/>
        <v>195</v>
      </c>
      <c r="R381" s="80">
        <f t="shared" si="55"/>
        <v>100</v>
      </c>
      <c r="S381" s="78">
        <f t="shared" si="56"/>
        <v>695</v>
      </c>
      <c r="T381" s="78">
        <f>0</f>
        <v>0</v>
      </c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</row>
    <row r="382" spans="1:30" ht="15.75" x14ac:dyDescent="0.25">
      <c r="A382" s="14">
        <v>52565</v>
      </c>
      <c r="B382" s="90">
        <v>30</v>
      </c>
      <c r="C382" s="78">
        <f>122.58</f>
        <v>122.58</v>
      </c>
      <c r="D382" s="78">
        <f>297.941</f>
        <v>297.94099999999997</v>
      </c>
      <c r="E382" s="86">
        <f>89.177</f>
        <v>89.177000000000007</v>
      </c>
      <c r="F382" s="78">
        <f>240.302-40-60</f>
        <v>140.30199999999999</v>
      </c>
      <c r="G382" s="80">
        <v>40</v>
      </c>
      <c r="H382" s="78">
        <v>60</v>
      </c>
      <c r="I382" s="78">
        <f t="shared" si="60"/>
        <v>0</v>
      </c>
      <c r="J382" s="80">
        <v>100</v>
      </c>
      <c r="K382" s="80">
        <v>300</v>
      </c>
      <c r="L382" s="78">
        <f t="shared" si="53"/>
        <v>1150</v>
      </c>
      <c r="M382" s="88">
        <v>600</v>
      </c>
      <c r="N382" s="78">
        <f>100</f>
        <v>100</v>
      </c>
      <c r="O382" s="80">
        <v>240</v>
      </c>
      <c r="P382" s="80">
        <v>40</v>
      </c>
      <c r="Q382" s="80">
        <f t="shared" si="54"/>
        <v>315</v>
      </c>
      <c r="R382" s="80">
        <f t="shared" si="55"/>
        <v>100</v>
      </c>
      <c r="S382" s="78">
        <f t="shared" si="56"/>
        <v>695</v>
      </c>
      <c r="T382" s="78">
        <f>50</f>
        <v>50</v>
      </c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</row>
    <row r="383" spans="1:30" ht="15.75" x14ac:dyDescent="0.25">
      <c r="A383" s="14">
        <v>52596</v>
      </c>
      <c r="B383" s="90">
        <v>31</v>
      </c>
      <c r="C383" s="78">
        <f>122.58</f>
        <v>122.58</v>
      </c>
      <c r="D383" s="78">
        <f>297.941</f>
        <v>297.94099999999997</v>
      </c>
      <c r="E383" s="86">
        <f>89.177</f>
        <v>89.177000000000007</v>
      </c>
      <c r="F383" s="78">
        <f>240.302-40-60</f>
        <v>140.30199999999999</v>
      </c>
      <c r="G383" s="80">
        <v>40</v>
      </c>
      <c r="H383" s="78">
        <v>60</v>
      </c>
      <c r="I383" s="78">
        <f t="shared" si="60"/>
        <v>0</v>
      </c>
      <c r="J383" s="80">
        <v>100</v>
      </c>
      <c r="K383" s="80">
        <v>300</v>
      </c>
      <c r="L383" s="78">
        <f t="shared" si="53"/>
        <v>1150</v>
      </c>
      <c r="M383" s="88">
        <v>600</v>
      </c>
      <c r="N383" s="78">
        <f>100</f>
        <v>100</v>
      </c>
      <c r="O383" s="80">
        <v>240</v>
      </c>
      <c r="P383" s="80">
        <v>40</v>
      </c>
      <c r="Q383" s="80">
        <f t="shared" si="54"/>
        <v>315</v>
      </c>
      <c r="R383" s="80">
        <f t="shared" si="55"/>
        <v>100</v>
      </c>
      <c r="S383" s="78">
        <f t="shared" si="56"/>
        <v>695</v>
      </c>
      <c r="T383" s="78">
        <f>50</f>
        <v>50</v>
      </c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</row>
    <row r="384" spans="1:30" ht="15.75" x14ac:dyDescent="0.25">
      <c r="A384" s="14">
        <v>52627</v>
      </c>
      <c r="B384" s="90">
        <v>31</v>
      </c>
      <c r="C384" s="78">
        <f>122.58</f>
        <v>122.58</v>
      </c>
      <c r="D384" s="78">
        <f>297.941</f>
        <v>297.94099999999997</v>
      </c>
      <c r="E384" s="86">
        <f>89.177</f>
        <v>89.177000000000007</v>
      </c>
      <c r="F384" s="78">
        <f>240.302-40-60</f>
        <v>140.30199999999999</v>
      </c>
      <c r="G384" s="80">
        <v>40</v>
      </c>
      <c r="H384" s="78">
        <v>60</v>
      </c>
      <c r="I384" s="78">
        <f t="shared" si="60"/>
        <v>0</v>
      </c>
      <c r="J384" s="80">
        <v>100</v>
      </c>
      <c r="K384" s="80">
        <v>300</v>
      </c>
      <c r="L384" s="78">
        <f t="shared" si="53"/>
        <v>1150</v>
      </c>
      <c r="M384" s="88">
        <v>600</v>
      </c>
      <c r="N384" s="78">
        <f>100</f>
        <v>100</v>
      </c>
      <c r="O384" s="80">
        <v>240</v>
      </c>
      <c r="P384" s="80">
        <v>40</v>
      </c>
      <c r="Q384" s="80">
        <f t="shared" si="54"/>
        <v>315</v>
      </c>
      <c r="R384" s="80">
        <f t="shared" si="55"/>
        <v>100</v>
      </c>
      <c r="S384" s="78">
        <f t="shared" si="56"/>
        <v>695</v>
      </c>
      <c r="T384" s="78">
        <f>50</f>
        <v>50</v>
      </c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</row>
    <row r="385" spans="1:30" ht="15.75" x14ac:dyDescent="0.25">
      <c r="A385" s="14">
        <v>52655</v>
      </c>
      <c r="B385" s="90">
        <v>29</v>
      </c>
      <c r="C385" s="78">
        <f>122.58</f>
        <v>122.58</v>
      </c>
      <c r="D385" s="78">
        <f>297.941</f>
        <v>297.94099999999997</v>
      </c>
      <c r="E385" s="86">
        <f>89.177</f>
        <v>89.177000000000007</v>
      </c>
      <c r="F385" s="78">
        <f>240.302-40-60</f>
        <v>140.30199999999999</v>
      </c>
      <c r="G385" s="80">
        <v>40</v>
      </c>
      <c r="H385" s="78">
        <v>60</v>
      </c>
      <c r="I385" s="78">
        <f t="shared" si="60"/>
        <v>0</v>
      </c>
      <c r="J385" s="80">
        <v>100</v>
      </c>
      <c r="K385" s="80">
        <v>300</v>
      </c>
      <c r="L385" s="78">
        <f t="shared" si="53"/>
        <v>1150</v>
      </c>
      <c r="M385" s="88">
        <v>600</v>
      </c>
      <c r="N385" s="78">
        <f>100</f>
        <v>100</v>
      </c>
      <c r="O385" s="80">
        <v>240</v>
      </c>
      <c r="P385" s="80">
        <v>40</v>
      </c>
      <c r="Q385" s="80">
        <f t="shared" si="54"/>
        <v>315</v>
      </c>
      <c r="R385" s="80">
        <f t="shared" si="55"/>
        <v>100</v>
      </c>
      <c r="S385" s="78">
        <f t="shared" si="56"/>
        <v>695</v>
      </c>
      <c r="T385" s="78">
        <f>50</f>
        <v>50</v>
      </c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</row>
    <row r="386" spans="1:30" ht="15.75" x14ac:dyDescent="0.25">
      <c r="A386" s="14">
        <v>52687</v>
      </c>
      <c r="B386" s="90">
        <v>31</v>
      </c>
      <c r="C386" s="78">
        <f>122.58</f>
        <v>122.58</v>
      </c>
      <c r="D386" s="78">
        <f>297.941</f>
        <v>297.94099999999997</v>
      </c>
      <c r="E386" s="86">
        <f>89.177</f>
        <v>89.177000000000007</v>
      </c>
      <c r="F386" s="78">
        <f>240.302-40-60</f>
        <v>140.30199999999999</v>
      </c>
      <c r="G386" s="80">
        <v>40</v>
      </c>
      <c r="H386" s="78">
        <v>60</v>
      </c>
      <c r="I386" s="78">
        <f t="shared" si="60"/>
        <v>0</v>
      </c>
      <c r="J386" s="80">
        <v>100</v>
      </c>
      <c r="K386" s="80">
        <v>300</v>
      </c>
      <c r="L386" s="78">
        <f t="shared" si="53"/>
        <v>1150</v>
      </c>
      <c r="M386" s="88">
        <v>600</v>
      </c>
      <c r="N386" s="78">
        <f>100</f>
        <v>100</v>
      </c>
      <c r="O386" s="80">
        <v>240</v>
      </c>
      <c r="P386" s="80">
        <v>40</v>
      </c>
      <c r="Q386" s="80">
        <f t="shared" si="54"/>
        <v>315</v>
      </c>
      <c r="R386" s="80">
        <f t="shared" si="55"/>
        <v>100</v>
      </c>
      <c r="S386" s="78">
        <f t="shared" si="56"/>
        <v>695</v>
      </c>
      <c r="T386" s="78">
        <f>50</f>
        <v>50</v>
      </c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</row>
    <row r="387" spans="1:30" ht="15.75" x14ac:dyDescent="0.25">
      <c r="A387" s="14">
        <v>52717</v>
      </c>
      <c r="B387" s="90">
        <v>30</v>
      </c>
      <c r="C387" s="78">
        <f>141.293</f>
        <v>141.29300000000001</v>
      </c>
      <c r="D387" s="78">
        <f>267.993</f>
        <v>267.99299999999999</v>
      </c>
      <c r="E387" s="86">
        <f>115.016</f>
        <v>115.01600000000001</v>
      </c>
      <c r="F387" s="78">
        <f>314.698-40-25-60</f>
        <v>189.69799999999998</v>
      </c>
      <c r="G387" s="80">
        <v>40</v>
      </c>
      <c r="H387" s="78">
        <f t="shared" ref="H387:H393" si="62">25+60</f>
        <v>85</v>
      </c>
      <c r="I387" s="78">
        <f t="shared" si="60"/>
        <v>0</v>
      </c>
      <c r="J387" s="80">
        <v>100</v>
      </c>
      <c r="K387" s="80">
        <v>300</v>
      </c>
      <c r="L387" s="78">
        <f t="shared" si="53"/>
        <v>1239</v>
      </c>
      <c r="M387" s="88">
        <v>600</v>
      </c>
      <c r="N387" s="78">
        <f>100</f>
        <v>100</v>
      </c>
      <c r="O387" s="80">
        <v>240</v>
      </c>
      <c r="P387" s="80">
        <v>160</v>
      </c>
      <c r="Q387" s="80">
        <f t="shared" si="54"/>
        <v>195</v>
      </c>
      <c r="R387" s="80">
        <f t="shared" si="55"/>
        <v>100</v>
      </c>
      <c r="S387" s="78">
        <f t="shared" si="56"/>
        <v>695</v>
      </c>
      <c r="T387" s="78">
        <f>50</f>
        <v>50</v>
      </c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</row>
    <row r="388" spans="1:30" ht="15.75" x14ac:dyDescent="0.25">
      <c r="A388" s="14">
        <v>52748</v>
      </c>
      <c r="B388" s="90">
        <v>31</v>
      </c>
      <c r="C388" s="78">
        <f>194.205</f>
        <v>194.20500000000001</v>
      </c>
      <c r="D388" s="78">
        <f>267.466</f>
        <v>267.46600000000001</v>
      </c>
      <c r="E388" s="86">
        <f>133.845</f>
        <v>133.845</v>
      </c>
      <c r="F388" s="78">
        <f>278.484-40-25-60</f>
        <v>153.48399999999998</v>
      </c>
      <c r="G388" s="80">
        <v>40</v>
      </c>
      <c r="H388" s="78">
        <f t="shared" si="62"/>
        <v>85</v>
      </c>
      <c r="I388" s="78">
        <f t="shared" si="60"/>
        <v>0</v>
      </c>
      <c r="J388" s="80">
        <v>100</v>
      </c>
      <c r="K388" s="80">
        <v>300</v>
      </c>
      <c r="L388" s="78">
        <f t="shared" si="53"/>
        <v>1274</v>
      </c>
      <c r="M388" s="88">
        <v>600</v>
      </c>
      <c r="N388" s="78">
        <f>75</f>
        <v>75</v>
      </c>
      <c r="O388" s="80">
        <v>240</v>
      </c>
      <c r="P388" s="80">
        <v>160</v>
      </c>
      <c r="Q388" s="80">
        <f t="shared" si="54"/>
        <v>195</v>
      </c>
      <c r="R388" s="80">
        <f t="shared" si="55"/>
        <v>100</v>
      </c>
      <c r="S388" s="78">
        <f t="shared" si="56"/>
        <v>695</v>
      </c>
      <c r="T388" s="78">
        <f>50</f>
        <v>50</v>
      </c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</row>
    <row r="389" spans="1:30" ht="15.75" x14ac:dyDescent="0.25">
      <c r="A389" s="14">
        <v>52778</v>
      </c>
      <c r="B389" s="90">
        <v>30</v>
      </c>
      <c r="C389" s="78">
        <f>194.205</f>
        <v>194.20500000000001</v>
      </c>
      <c r="D389" s="78">
        <f>267.466</f>
        <v>267.46600000000001</v>
      </c>
      <c r="E389" s="86">
        <f>133.845</f>
        <v>133.845</v>
      </c>
      <c r="F389" s="78">
        <f>278.484-40-25-60</f>
        <v>153.48399999999998</v>
      </c>
      <c r="G389" s="80">
        <v>40</v>
      </c>
      <c r="H389" s="78">
        <f t="shared" si="62"/>
        <v>85</v>
      </c>
      <c r="I389" s="78">
        <f t="shared" si="60"/>
        <v>0</v>
      </c>
      <c r="J389" s="80">
        <v>100</v>
      </c>
      <c r="K389" s="80">
        <v>300</v>
      </c>
      <c r="L389" s="78">
        <f t="shared" si="53"/>
        <v>1274</v>
      </c>
      <c r="M389" s="88">
        <v>600</v>
      </c>
      <c r="N389" s="78">
        <f>30</f>
        <v>30</v>
      </c>
      <c r="O389" s="80">
        <v>240</v>
      </c>
      <c r="P389" s="80">
        <v>160</v>
      </c>
      <c r="Q389" s="80">
        <f t="shared" si="54"/>
        <v>195</v>
      </c>
      <c r="R389" s="80">
        <f t="shared" si="55"/>
        <v>100</v>
      </c>
      <c r="S389" s="78">
        <f t="shared" si="56"/>
        <v>695</v>
      </c>
      <c r="T389" s="78">
        <f>50</f>
        <v>50</v>
      </c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</row>
    <row r="390" spans="1:30" ht="15.75" x14ac:dyDescent="0.25">
      <c r="A390" s="14">
        <v>52809</v>
      </c>
      <c r="B390" s="90">
        <v>31</v>
      </c>
      <c r="C390" s="78">
        <f>194.205</f>
        <v>194.20500000000001</v>
      </c>
      <c r="D390" s="78">
        <f>267.466</f>
        <v>267.46600000000001</v>
      </c>
      <c r="E390" s="86">
        <f>133.845</f>
        <v>133.845</v>
      </c>
      <c r="F390" s="78">
        <f>278.484-40-25-60</f>
        <v>153.48399999999998</v>
      </c>
      <c r="G390" s="80">
        <v>40</v>
      </c>
      <c r="H390" s="78">
        <f t="shared" si="62"/>
        <v>85</v>
      </c>
      <c r="I390" s="78">
        <f t="shared" si="60"/>
        <v>0</v>
      </c>
      <c r="J390" s="80">
        <v>100</v>
      </c>
      <c r="K390" s="80">
        <v>300</v>
      </c>
      <c r="L390" s="78">
        <f t="shared" si="53"/>
        <v>1274</v>
      </c>
      <c r="M390" s="88">
        <v>600</v>
      </c>
      <c r="N390" s="78">
        <f>30</f>
        <v>30</v>
      </c>
      <c r="O390" s="80">
        <v>240</v>
      </c>
      <c r="P390" s="80">
        <v>160</v>
      </c>
      <c r="Q390" s="80">
        <f t="shared" si="54"/>
        <v>195</v>
      </c>
      <c r="R390" s="80">
        <f t="shared" si="55"/>
        <v>100</v>
      </c>
      <c r="S390" s="78">
        <f t="shared" si="56"/>
        <v>695</v>
      </c>
      <c r="T390" s="78">
        <f>0</f>
        <v>0</v>
      </c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</row>
    <row r="391" spans="1:30" ht="15.75" x14ac:dyDescent="0.25">
      <c r="A391" s="14">
        <v>52840</v>
      </c>
      <c r="B391" s="90">
        <v>31</v>
      </c>
      <c r="C391" s="78">
        <f>194.205</f>
        <v>194.20500000000001</v>
      </c>
      <c r="D391" s="78">
        <f>267.466</f>
        <v>267.46600000000001</v>
      </c>
      <c r="E391" s="86">
        <f>133.845</f>
        <v>133.845</v>
      </c>
      <c r="F391" s="78">
        <f>278.484-40-25-60</f>
        <v>153.48399999999998</v>
      </c>
      <c r="G391" s="80">
        <v>40</v>
      </c>
      <c r="H391" s="78">
        <f t="shared" si="62"/>
        <v>85</v>
      </c>
      <c r="I391" s="78">
        <f t="shared" si="60"/>
        <v>0</v>
      </c>
      <c r="J391" s="80">
        <v>100</v>
      </c>
      <c r="K391" s="80">
        <v>300</v>
      </c>
      <c r="L391" s="78">
        <f t="shared" si="53"/>
        <v>1274</v>
      </c>
      <c r="M391" s="88">
        <v>600</v>
      </c>
      <c r="N391" s="78">
        <f>30</f>
        <v>30</v>
      </c>
      <c r="O391" s="80">
        <v>240</v>
      </c>
      <c r="P391" s="80">
        <v>160</v>
      </c>
      <c r="Q391" s="80">
        <f t="shared" si="54"/>
        <v>195</v>
      </c>
      <c r="R391" s="80">
        <f t="shared" si="55"/>
        <v>100</v>
      </c>
      <c r="S391" s="78">
        <f t="shared" si="56"/>
        <v>695</v>
      </c>
      <c r="T391" s="78">
        <f>0</f>
        <v>0</v>
      </c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</row>
    <row r="392" spans="1:30" ht="15.75" x14ac:dyDescent="0.25">
      <c r="A392" s="14">
        <v>52870</v>
      </c>
      <c r="B392" s="90">
        <v>30</v>
      </c>
      <c r="C392" s="78">
        <f>194.205</f>
        <v>194.20500000000001</v>
      </c>
      <c r="D392" s="78">
        <f>267.466</f>
        <v>267.46600000000001</v>
      </c>
      <c r="E392" s="86">
        <f>133.845</f>
        <v>133.845</v>
      </c>
      <c r="F392" s="78">
        <f>278.484-40-25-60</f>
        <v>153.48399999999998</v>
      </c>
      <c r="G392" s="80">
        <v>40</v>
      </c>
      <c r="H392" s="78">
        <f t="shared" si="62"/>
        <v>85</v>
      </c>
      <c r="I392" s="78">
        <f t="shared" si="60"/>
        <v>0</v>
      </c>
      <c r="J392" s="80">
        <v>100</v>
      </c>
      <c r="K392" s="80">
        <v>300</v>
      </c>
      <c r="L392" s="78">
        <f t="shared" si="53"/>
        <v>1274</v>
      </c>
      <c r="M392" s="88">
        <v>600</v>
      </c>
      <c r="N392" s="78">
        <f>30</f>
        <v>30</v>
      </c>
      <c r="O392" s="80">
        <v>240</v>
      </c>
      <c r="P392" s="80">
        <v>160</v>
      </c>
      <c r="Q392" s="80">
        <f t="shared" si="54"/>
        <v>195</v>
      </c>
      <c r="R392" s="80">
        <f t="shared" si="55"/>
        <v>100</v>
      </c>
      <c r="S392" s="78">
        <f t="shared" si="56"/>
        <v>695</v>
      </c>
      <c r="T392" s="78">
        <f>0</f>
        <v>0</v>
      </c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</row>
    <row r="393" spans="1:30" ht="15.75" x14ac:dyDescent="0.25">
      <c r="A393" s="14">
        <v>52901</v>
      </c>
      <c r="B393" s="90">
        <v>31</v>
      </c>
      <c r="C393" s="78">
        <f>131.881</f>
        <v>131.881</v>
      </c>
      <c r="D393" s="78">
        <f>277.167</f>
        <v>277.16699999999997</v>
      </c>
      <c r="E393" s="86">
        <f>79.08</f>
        <v>79.08</v>
      </c>
      <c r="F393" s="78">
        <f>350.872-40-25-60</f>
        <v>225.87200000000001</v>
      </c>
      <c r="G393" s="80">
        <v>40</v>
      </c>
      <c r="H393" s="78">
        <f t="shared" si="62"/>
        <v>85</v>
      </c>
      <c r="I393" s="78">
        <f t="shared" si="60"/>
        <v>0</v>
      </c>
      <c r="J393" s="80">
        <v>100</v>
      </c>
      <c r="K393" s="80">
        <v>300</v>
      </c>
      <c r="L393" s="78">
        <f t="shared" si="53"/>
        <v>1239</v>
      </c>
      <c r="M393" s="88">
        <v>600</v>
      </c>
      <c r="N393" s="78">
        <f>75</f>
        <v>75</v>
      </c>
      <c r="O393" s="80">
        <v>240</v>
      </c>
      <c r="P393" s="80">
        <v>160</v>
      </c>
      <c r="Q393" s="80">
        <f t="shared" si="54"/>
        <v>195</v>
      </c>
      <c r="R393" s="80">
        <f t="shared" si="55"/>
        <v>100</v>
      </c>
      <c r="S393" s="78">
        <f t="shared" si="56"/>
        <v>695</v>
      </c>
      <c r="T393" s="78">
        <f>0</f>
        <v>0</v>
      </c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</row>
    <row r="394" spans="1:30" ht="15.75" x14ac:dyDescent="0.25">
      <c r="A394" s="14">
        <v>52931</v>
      </c>
      <c r="B394" s="90">
        <v>30</v>
      </c>
      <c r="C394" s="78">
        <f>122.58</f>
        <v>122.58</v>
      </c>
      <c r="D394" s="78">
        <f>297.941</f>
        <v>297.94099999999997</v>
      </c>
      <c r="E394" s="86">
        <f>89.177</f>
        <v>89.177000000000007</v>
      </c>
      <c r="F394" s="78">
        <f>240.302-40-60</f>
        <v>140.30199999999999</v>
      </c>
      <c r="G394" s="80">
        <v>40</v>
      </c>
      <c r="H394" s="78">
        <v>60</v>
      </c>
      <c r="I394" s="78">
        <f t="shared" si="60"/>
        <v>0</v>
      </c>
      <c r="J394" s="80">
        <v>100</v>
      </c>
      <c r="K394" s="80">
        <v>300</v>
      </c>
      <c r="L394" s="78">
        <f t="shared" si="53"/>
        <v>1150</v>
      </c>
      <c r="M394" s="88">
        <v>600</v>
      </c>
      <c r="N394" s="78">
        <f>100</f>
        <v>100</v>
      </c>
      <c r="O394" s="80">
        <v>240</v>
      </c>
      <c r="P394" s="80">
        <v>40</v>
      </c>
      <c r="Q394" s="80">
        <f t="shared" si="54"/>
        <v>315</v>
      </c>
      <c r="R394" s="80">
        <f t="shared" si="55"/>
        <v>100</v>
      </c>
      <c r="S394" s="78">
        <f t="shared" si="56"/>
        <v>695</v>
      </c>
      <c r="T394" s="78">
        <f>50</f>
        <v>50</v>
      </c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</row>
    <row r="395" spans="1:30" ht="15.75" x14ac:dyDescent="0.25">
      <c r="A395" s="14">
        <v>52962</v>
      </c>
      <c r="B395" s="90">
        <v>31</v>
      </c>
      <c r="C395" s="78">
        <f>122.58</f>
        <v>122.58</v>
      </c>
      <c r="D395" s="78">
        <f>297.941</f>
        <v>297.94099999999997</v>
      </c>
      <c r="E395" s="86">
        <f>89.177</f>
        <v>89.177000000000007</v>
      </c>
      <c r="F395" s="78">
        <f>240.302-40-60</f>
        <v>140.30199999999999</v>
      </c>
      <c r="G395" s="80">
        <v>40</v>
      </c>
      <c r="H395" s="78">
        <v>60</v>
      </c>
      <c r="I395" s="78">
        <f t="shared" si="60"/>
        <v>0</v>
      </c>
      <c r="J395" s="80">
        <v>100</v>
      </c>
      <c r="K395" s="80">
        <v>300</v>
      </c>
      <c r="L395" s="78">
        <f t="shared" si="53"/>
        <v>1150</v>
      </c>
      <c r="M395" s="88">
        <v>600</v>
      </c>
      <c r="N395" s="78">
        <f>100</f>
        <v>100</v>
      </c>
      <c r="O395" s="80">
        <v>240</v>
      </c>
      <c r="P395" s="80">
        <v>40</v>
      </c>
      <c r="Q395" s="80">
        <f t="shared" si="54"/>
        <v>315</v>
      </c>
      <c r="R395" s="80">
        <f t="shared" si="55"/>
        <v>100</v>
      </c>
      <c r="S395" s="78">
        <f t="shared" si="56"/>
        <v>695</v>
      </c>
      <c r="T395" s="78">
        <f>50</f>
        <v>50</v>
      </c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</row>
    <row r="396" spans="1:30" ht="15.75" x14ac:dyDescent="0.25">
      <c r="A396" s="14">
        <v>52993</v>
      </c>
      <c r="B396" s="90">
        <v>31</v>
      </c>
      <c r="C396" s="78">
        <f>122.58</f>
        <v>122.58</v>
      </c>
      <c r="D396" s="78">
        <f>297.941</f>
        <v>297.94099999999997</v>
      </c>
      <c r="E396" s="86">
        <f>89.177</f>
        <v>89.177000000000007</v>
      </c>
      <c r="F396" s="78">
        <f>240.302-40-60</f>
        <v>140.30199999999999</v>
      </c>
      <c r="G396" s="80">
        <v>40</v>
      </c>
      <c r="H396" s="78">
        <v>60</v>
      </c>
      <c r="I396" s="78">
        <f t="shared" si="60"/>
        <v>0</v>
      </c>
      <c r="J396" s="80">
        <v>100</v>
      </c>
      <c r="K396" s="80">
        <v>300</v>
      </c>
      <c r="L396" s="78">
        <f t="shared" si="53"/>
        <v>1150</v>
      </c>
      <c r="M396" s="88">
        <v>600</v>
      </c>
      <c r="N396" s="78">
        <f>100</f>
        <v>100</v>
      </c>
      <c r="O396" s="80">
        <v>240</v>
      </c>
      <c r="P396" s="80">
        <v>40</v>
      </c>
      <c r="Q396" s="80">
        <f t="shared" si="54"/>
        <v>315</v>
      </c>
      <c r="R396" s="80">
        <f t="shared" si="55"/>
        <v>100</v>
      </c>
      <c r="S396" s="78">
        <f t="shared" si="56"/>
        <v>695</v>
      </c>
      <c r="T396" s="78">
        <f>50</f>
        <v>50</v>
      </c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</row>
    <row r="397" spans="1:30" ht="15.75" x14ac:dyDescent="0.25">
      <c r="A397" s="14">
        <v>53021</v>
      </c>
      <c r="B397" s="90">
        <v>28</v>
      </c>
      <c r="C397" s="78">
        <f>122.58</f>
        <v>122.58</v>
      </c>
      <c r="D397" s="78">
        <f>297.941</f>
        <v>297.94099999999997</v>
      </c>
      <c r="E397" s="86">
        <f>89.177</f>
        <v>89.177000000000007</v>
      </c>
      <c r="F397" s="78">
        <f>240.302-40-60</f>
        <v>140.30199999999999</v>
      </c>
      <c r="G397" s="80">
        <v>40</v>
      </c>
      <c r="H397" s="78">
        <v>60</v>
      </c>
      <c r="I397" s="78">
        <f t="shared" si="60"/>
        <v>0</v>
      </c>
      <c r="J397" s="80">
        <v>100</v>
      </c>
      <c r="K397" s="80">
        <v>300</v>
      </c>
      <c r="L397" s="78">
        <f t="shared" si="53"/>
        <v>1150</v>
      </c>
      <c r="M397" s="88">
        <v>600</v>
      </c>
      <c r="N397" s="78">
        <f>100</f>
        <v>100</v>
      </c>
      <c r="O397" s="80">
        <v>240</v>
      </c>
      <c r="P397" s="80">
        <v>40</v>
      </c>
      <c r="Q397" s="80">
        <f t="shared" si="54"/>
        <v>315</v>
      </c>
      <c r="R397" s="80">
        <f t="shared" si="55"/>
        <v>100</v>
      </c>
      <c r="S397" s="78">
        <f t="shared" si="56"/>
        <v>695</v>
      </c>
      <c r="T397" s="78">
        <f>50</f>
        <v>50</v>
      </c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</row>
    <row r="398" spans="1:30" ht="15.75" x14ac:dyDescent="0.25">
      <c r="A398" s="14">
        <v>53052</v>
      </c>
      <c r="B398" s="90">
        <v>31</v>
      </c>
      <c r="C398" s="78">
        <f>122.58</f>
        <v>122.58</v>
      </c>
      <c r="D398" s="78">
        <f>297.941</f>
        <v>297.94099999999997</v>
      </c>
      <c r="E398" s="86">
        <f>89.177</f>
        <v>89.177000000000007</v>
      </c>
      <c r="F398" s="78">
        <f>240.302-40-60</f>
        <v>140.30199999999999</v>
      </c>
      <c r="G398" s="80">
        <v>40</v>
      </c>
      <c r="H398" s="78">
        <v>60</v>
      </c>
      <c r="I398" s="78">
        <f t="shared" si="60"/>
        <v>0</v>
      </c>
      <c r="J398" s="80">
        <v>100</v>
      </c>
      <c r="K398" s="80">
        <v>300</v>
      </c>
      <c r="L398" s="78">
        <f t="shared" si="53"/>
        <v>1150</v>
      </c>
      <c r="M398" s="88">
        <v>600</v>
      </c>
      <c r="N398" s="78">
        <f>100</f>
        <v>100</v>
      </c>
      <c r="O398" s="80">
        <v>240</v>
      </c>
      <c r="P398" s="80">
        <v>40</v>
      </c>
      <c r="Q398" s="80">
        <f t="shared" si="54"/>
        <v>315</v>
      </c>
      <c r="R398" s="80">
        <f t="shared" si="55"/>
        <v>100</v>
      </c>
      <c r="S398" s="78">
        <f t="shared" si="56"/>
        <v>695</v>
      </c>
      <c r="T398" s="78">
        <f>50</f>
        <v>50</v>
      </c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</row>
    <row r="399" spans="1:30" ht="15.75" x14ac:dyDescent="0.25">
      <c r="A399" s="14">
        <v>53082</v>
      </c>
      <c r="B399" s="90">
        <v>30</v>
      </c>
      <c r="C399" s="78">
        <f>141.293</f>
        <v>141.29300000000001</v>
      </c>
      <c r="D399" s="78">
        <f>267.993</f>
        <v>267.99299999999999</v>
      </c>
      <c r="E399" s="86">
        <f>115.016</f>
        <v>115.01600000000001</v>
      </c>
      <c r="F399" s="78">
        <f>314.698-40-25-60</f>
        <v>189.69799999999998</v>
      </c>
      <c r="G399" s="80">
        <v>40</v>
      </c>
      <c r="H399" s="78">
        <f t="shared" ref="H399:H405" si="63">25+60</f>
        <v>85</v>
      </c>
      <c r="I399" s="78">
        <f t="shared" si="60"/>
        <v>0</v>
      </c>
      <c r="J399" s="80">
        <v>100</v>
      </c>
      <c r="K399" s="80">
        <v>300</v>
      </c>
      <c r="L399" s="78">
        <f t="shared" ref="L399:L462" si="64">SUM(C399:K399)</f>
        <v>1239</v>
      </c>
      <c r="M399" s="88">
        <v>600</v>
      </c>
      <c r="N399" s="78">
        <f>100</f>
        <v>100</v>
      </c>
      <c r="O399" s="80">
        <v>240</v>
      </c>
      <c r="P399" s="80">
        <v>160</v>
      </c>
      <c r="Q399" s="80">
        <f t="shared" ref="Q399:Q462" si="65">695-R399-O399-P399</f>
        <v>195</v>
      </c>
      <c r="R399" s="80">
        <f t="shared" ref="R399:R462" si="66">200-J399</f>
        <v>100</v>
      </c>
      <c r="S399" s="78">
        <f t="shared" ref="S399:S462" si="67">SUM(O399:R399)</f>
        <v>695</v>
      </c>
      <c r="T399" s="78">
        <f>50</f>
        <v>50</v>
      </c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</row>
    <row r="400" spans="1:30" ht="15.75" x14ac:dyDescent="0.25">
      <c r="A400" s="14">
        <v>53113</v>
      </c>
      <c r="B400" s="90">
        <v>31</v>
      </c>
      <c r="C400" s="78">
        <f>194.205</f>
        <v>194.20500000000001</v>
      </c>
      <c r="D400" s="78">
        <f>267.466</f>
        <v>267.46600000000001</v>
      </c>
      <c r="E400" s="86">
        <f>133.845</f>
        <v>133.845</v>
      </c>
      <c r="F400" s="78">
        <f>278.484-40-25-60</f>
        <v>153.48399999999998</v>
      </c>
      <c r="G400" s="80">
        <v>40</v>
      </c>
      <c r="H400" s="78">
        <f t="shared" si="63"/>
        <v>85</v>
      </c>
      <c r="I400" s="78">
        <f t="shared" si="60"/>
        <v>0</v>
      </c>
      <c r="J400" s="80">
        <v>100</v>
      </c>
      <c r="K400" s="80">
        <v>300</v>
      </c>
      <c r="L400" s="78">
        <f t="shared" si="64"/>
        <v>1274</v>
      </c>
      <c r="M400" s="88">
        <v>600</v>
      </c>
      <c r="N400" s="78">
        <f>75</f>
        <v>75</v>
      </c>
      <c r="O400" s="80">
        <v>240</v>
      </c>
      <c r="P400" s="80">
        <v>160</v>
      </c>
      <c r="Q400" s="80">
        <f t="shared" si="65"/>
        <v>195</v>
      </c>
      <c r="R400" s="80">
        <f t="shared" si="66"/>
        <v>100</v>
      </c>
      <c r="S400" s="78">
        <f t="shared" si="67"/>
        <v>695</v>
      </c>
      <c r="T400" s="78">
        <f>50</f>
        <v>50</v>
      </c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</row>
    <row r="401" spans="1:30" ht="15.75" x14ac:dyDescent="0.25">
      <c r="A401" s="14">
        <v>53143</v>
      </c>
      <c r="B401" s="90">
        <v>30</v>
      </c>
      <c r="C401" s="78">
        <f>194.205</f>
        <v>194.20500000000001</v>
      </c>
      <c r="D401" s="78">
        <f>267.466</f>
        <v>267.46600000000001</v>
      </c>
      <c r="E401" s="86">
        <f>133.845</f>
        <v>133.845</v>
      </c>
      <c r="F401" s="78">
        <f>278.484-40-25-60</f>
        <v>153.48399999999998</v>
      </c>
      <c r="G401" s="80">
        <v>40</v>
      </c>
      <c r="H401" s="78">
        <f t="shared" si="63"/>
        <v>85</v>
      </c>
      <c r="I401" s="78">
        <f t="shared" si="60"/>
        <v>0</v>
      </c>
      <c r="J401" s="80">
        <v>100</v>
      </c>
      <c r="K401" s="80">
        <v>300</v>
      </c>
      <c r="L401" s="78">
        <f t="shared" si="64"/>
        <v>1274</v>
      </c>
      <c r="M401" s="88">
        <v>600</v>
      </c>
      <c r="N401" s="78">
        <f>30</f>
        <v>30</v>
      </c>
      <c r="O401" s="80">
        <v>240</v>
      </c>
      <c r="P401" s="80">
        <v>160</v>
      </c>
      <c r="Q401" s="80">
        <f t="shared" si="65"/>
        <v>195</v>
      </c>
      <c r="R401" s="80">
        <f t="shared" si="66"/>
        <v>100</v>
      </c>
      <c r="S401" s="78">
        <f t="shared" si="67"/>
        <v>695</v>
      </c>
      <c r="T401" s="78">
        <f>50</f>
        <v>50</v>
      </c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</row>
    <row r="402" spans="1:30" ht="15.75" x14ac:dyDescent="0.25">
      <c r="A402" s="14">
        <v>53174</v>
      </c>
      <c r="B402" s="90">
        <v>31</v>
      </c>
      <c r="C402" s="78">
        <f>194.205</f>
        <v>194.20500000000001</v>
      </c>
      <c r="D402" s="78">
        <f>267.466</f>
        <v>267.46600000000001</v>
      </c>
      <c r="E402" s="86">
        <f>133.845</f>
        <v>133.845</v>
      </c>
      <c r="F402" s="78">
        <f>278.484-40-25-60</f>
        <v>153.48399999999998</v>
      </c>
      <c r="G402" s="80">
        <v>40</v>
      </c>
      <c r="H402" s="78">
        <f t="shared" si="63"/>
        <v>85</v>
      </c>
      <c r="I402" s="78">
        <f t="shared" si="60"/>
        <v>0</v>
      </c>
      <c r="J402" s="80">
        <v>100</v>
      </c>
      <c r="K402" s="80">
        <v>300</v>
      </c>
      <c r="L402" s="78">
        <f t="shared" si="64"/>
        <v>1274</v>
      </c>
      <c r="M402" s="88">
        <v>600</v>
      </c>
      <c r="N402" s="78">
        <f>30</f>
        <v>30</v>
      </c>
      <c r="O402" s="80">
        <v>240</v>
      </c>
      <c r="P402" s="80">
        <v>160</v>
      </c>
      <c r="Q402" s="80">
        <f t="shared" si="65"/>
        <v>195</v>
      </c>
      <c r="R402" s="80">
        <f t="shared" si="66"/>
        <v>100</v>
      </c>
      <c r="S402" s="78">
        <f t="shared" si="67"/>
        <v>695</v>
      </c>
      <c r="T402" s="78">
        <f>0</f>
        <v>0</v>
      </c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</row>
    <row r="403" spans="1:30" ht="15.75" x14ac:dyDescent="0.25">
      <c r="A403" s="14">
        <v>53205</v>
      </c>
      <c r="B403" s="90">
        <v>31</v>
      </c>
      <c r="C403" s="78">
        <f>194.205</f>
        <v>194.20500000000001</v>
      </c>
      <c r="D403" s="78">
        <f>267.466</f>
        <v>267.46600000000001</v>
      </c>
      <c r="E403" s="86">
        <f>133.845</f>
        <v>133.845</v>
      </c>
      <c r="F403" s="78">
        <f>278.484-40-25-60</f>
        <v>153.48399999999998</v>
      </c>
      <c r="G403" s="80">
        <v>40</v>
      </c>
      <c r="H403" s="78">
        <f t="shared" si="63"/>
        <v>85</v>
      </c>
      <c r="I403" s="78">
        <f t="shared" si="60"/>
        <v>0</v>
      </c>
      <c r="J403" s="80">
        <v>100</v>
      </c>
      <c r="K403" s="80">
        <v>300</v>
      </c>
      <c r="L403" s="78">
        <f t="shared" si="64"/>
        <v>1274</v>
      </c>
      <c r="M403" s="88">
        <v>600</v>
      </c>
      <c r="N403" s="78">
        <f>30</f>
        <v>30</v>
      </c>
      <c r="O403" s="80">
        <v>240</v>
      </c>
      <c r="P403" s="80">
        <v>160</v>
      </c>
      <c r="Q403" s="80">
        <f t="shared" si="65"/>
        <v>195</v>
      </c>
      <c r="R403" s="80">
        <f t="shared" si="66"/>
        <v>100</v>
      </c>
      <c r="S403" s="78">
        <f t="shared" si="67"/>
        <v>695</v>
      </c>
      <c r="T403" s="78">
        <f>0</f>
        <v>0</v>
      </c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</row>
    <row r="404" spans="1:30" ht="15.75" x14ac:dyDescent="0.25">
      <c r="A404" s="14">
        <v>53235</v>
      </c>
      <c r="B404" s="90">
        <v>30</v>
      </c>
      <c r="C404" s="78">
        <f>194.205</f>
        <v>194.20500000000001</v>
      </c>
      <c r="D404" s="78">
        <f>267.466</f>
        <v>267.46600000000001</v>
      </c>
      <c r="E404" s="86">
        <f>133.845</f>
        <v>133.845</v>
      </c>
      <c r="F404" s="78">
        <f>278.484-40-25-60</f>
        <v>153.48399999999998</v>
      </c>
      <c r="G404" s="80">
        <v>40</v>
      </c>
      <c r="H404" s="78">
        <f t="shared" si="63"/>
        <v>85</v>
      </c>
      <c r="I404" s="78">
        <f t="shared" si="60"/>
        <v>0</v>
      </c>
      <c r="J404" s="80">
        <v>100</v>
      </c>
      <c r="K404" s="80">
        <v>300</v>
      </c>
      <c r="L404" s="78">
        <f t="shared" si="64"/>
        <v>1274</v>
      </c>
      <c r="M404" s="88">
        <v>600</v>
      </c>
      <c r="N404" s="78">
        <f>30</f>
        <v>30</v>
      </c>
      <c r="O404" s="80">
        <v>240</v>
      </c>
      <c r="P404" s="80">
        <v>160</v>
      </c>
      <c r="Q404" s="80">
        <f t="shared" si="65"/>
        <v>195</v>
      </c>
      <c r="R404" s="80">
        <f t="shared" si="66"/>
        <v>100</v>
      </c>
      <c r="S404" s="78">
        <f t="shared" si="67"/>
        <v>695</v>
      </c>
      <c r="T404" s="78">
        <f>0</f>
        <v>0</v>
      </c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</row>
    <row r="405" spans="1:30" ht="15.75" x14ac:dyDescent="0.25">
      <c r="A405" s="14">
        <v>53266</v>
      </c>
      <c r="B405" s="90">
        <v>31</v>
      </c>
      <c r="C405" s="78">
        <f>131.881</f>
        <v>131.881</v>
      </c>
      <c r="D405" s="78">
        <f>277.167</f>
        <v>277.16699999999997</v>
      </c>
      <c r="E405" s="86">
        <f>79.08</f>
        <v>79.08</v>
      </c>
      <c r="F405" s="78">
        <f>350.872-40-25-60</f>
        <v>225.87200000000001</v>
      </c>
      <c r="G405" s="80">
        <v>40</v>
      </c>
      <c r="H405" s="78">
        <f t="shared" si="63"/>
        <v>85</v>
      </c>
      <c r="I405" s="78">
        <f t="shared" si="60"/>
        <v>0</v>
      </c>
      <c r="J405" s="80">
        <v>100</v>
      </c>
      <c r="K405" s="80">
        <v>300</v>
      </c>
      <c r="L405" s="78">
        <f t="shared" si="64"/>
        <v>1239</v>
      </c>
      <c r="M405" s="88">
        <v>600</v>
      </c>
      <c r="N405" s="78">
        <f>75</f>
        <v>75</v>
      </c>
      <c r="O405" s="80">
        <v>240</v>
      </c>
      <c r="P405" s="80">
        <v>160</v>
      </c>
      <c r="Q405" s="80">
        <f t="shared" si="65"/>
        <v>195</v>
      </c>
      <c r="R405" s="80">
        <f t="shared" si="66"/>
        <v>100</v>
      </c>
      <c r="S405" s="78">
        <f t="shared" si="67"/>
        <v>695</v>
      </c>
      <c r="T405" s="78">
        <f>0</f>
        <v>0</v>
      </c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</row>
    <row r="406" spans="1:30" ht="15.75" x14ac:dyDescent="0.25">
      <c r="A406" s="14">
        <v>53296</v>
      </c>
      <c r="B406" s="90">
        <v>30</v>
      </c>
      <c r="C406" s="78">
        <f>122.58</f>
        <v>122.58</v>
      </c>
      <c r="D406" s="78">
        <f>297.941</f>
        <v>297.94099999999997</v>
      </c>
      <c r="E406" s="86">
        <f>89.177</f>
        <v>89.177000000000007</v>
      </c>
      <c r="F406" s="78">
        <f>240.302-40-60</f>
        <v>140.30199999999999</v>
      </c>
      <c r="G406" s="80">
        <v>40</v>
      </c>
      <c r="H406" s="78">
        <v>60</v>
      </c>
      <c r="I406" s="78">
        <f t="shared" si="60"/>
        <v>0</v>
      </c>
      <c r="J406" s="80">
        <v>100</v>
      </c>
      <c r="K406" s="80">
        <v>300</v>
      </c>
      <c r="L406" s="78">
        <f t="shared" si="64"/>
        <v>1150</v>
      </c>
      <c r="M406" s="88">
        <v>600</v>
      </c>
      <c r="N406" s="78">
        <f>100</f>
        <v>100</v>
      </c>
      <c r="O406" s="80">
        <v>240</v>
      </c>
      <c r="P406" s="80">
        <v>40</v>
      </c>
      <c r="Q406" s="80">
        <f t="shared" si="65"/>
        <v>315</v>
      </c>
      <c r="R406" s="80">
        <f t="shared" si="66"/>
        <v>100</v>
      </c>
      <c r="S406" s="78">
        <f t="shared" si="67"/>
        <v>695</v>
      </c>
      <c r="T406" s="78">
        <f>50</f>
        <v>50</v>
      </c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</row>
    <row r="407" spans="1:30" ht="15.75" x14ac:dyDescent="0.25">
      <c r="A407" s="14">
        <v>53327</v>
      </c>
      <c r="B407" s="90">
        <v>31</v>
      </c>
      <c r="C407" s="78">
        <f>122.58</f>
        <v>122.58</v>
      </c>
      <c r="D407" s="78">
        <f>297.941</f>
        <v>297.94099999999997</v>
      </c>
      <c r="E407" s="86">
        <f>89.177</f>
        <v>89.177000000000007</v>
      </c>
      <c r="F407" s="78">
        <f>240.302-40-60</f>
        <v>140.30199999999999</v>
      </c>
      <c r="G407" s="80">
        <v>40</v>
      </c>
      <c r="H407" s="78">
        <v>60</v>
      </c>
      <c r="I407" s="78">
        <f t="shared" si="60"/>
        <v>0</v>
      </c>
      <c r="J407" s="80">
        <v>100</v>
      </c>
      <c r="K407" s="80">
        <v>300</v>
      </c>
      <c r="L407" s="78">
        <f t="shared" si="64"/>
        <v>1150</v>
      </c>
      <c r="M407" s="88">
        <v>600</v>
      </c>
      <c r="N407" s="78">
        <f>100</f>
        <v>100</v>
      </c>
      <c r="O407" s="80">
        <v>240</v>
      </c>
      <c r="P407" s="80">
        <v>40</v>
      </c>
      <c r="Q407" s="80">
        <f t="shared" si="65"/>
        <v>315</v>
      </c>
      <c r="R407" s="80">
        <f t="shared" si="66"/>
        <v>100</v>
      </c>
      <c r="S407" s="78">
        <f t="shared" si="67"/>
        <v>695</v>
      </c>
      <c r="T407" s="78">
        <f>50</f>
        <v>50</v>
      </c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</row>
    <row r="408" spans="1:30" ht="15.75" x14ac:dyDescent="0.25">
      <c r="A408" s="14">
        <v>53358</v>
      </c>
      <c r="B408" s="90">
        <v>31</v>
      </c>
      <c r="C408" s="78">
        <f>122.58</f>
        <v>122.58</v>
      </c>
      <c r="D408" s="78">
        <f>297.941</f>
        <v>297.94099999999997</v>
      </c>
      <c r="E408" s="86">
        <f>89.177</f>
        <v>89.177000000000007</v>
      </c>
      <c r="F408" s="78">
        <f>240.302-40-60</f>
        <v>140.30199999999999</v>
      </c>
      <c r="G408" s="80">
        <v>40</v>
      </c>
      <c r="H408" s="78">
        <v>60</v>
      </c>
      <c r="I408" s="78">
        <f t="shared" si="60"/>
        <v>0</v>
      </c>
      <c r="J408" s="80">
        <v>100</v>
      </c>
      <c r="K408" s="80">
        <v>300</v>
      </c>
      <c r="L408" s="78">
        <f t="shared" si="64"/>
        <v>1150</v>
      </c>
      <c r="M408" s="88">
        <v>600</v>
      </c>
      <c r="N408" s="78">
        <f>100</f>
        <v>100</v>
      </c>
      <c r="O408" s="80">
        <v>240</v>
      </c>
      <c r="P408" s="80">
        <v>40</v>
      </c>
      <c r="Q408" s="80">
        <f t="shared" si="65"/>
        <v>315</v>
      </c>
      <c r="R408" s="80">
        <f t="shared" si="66"/>
        <v>100</v>
      </c>
      <c r="S408" s="78">
        <f t="shared" si="67"/>
        <v>695</v>
      </c>
      <c r="T408" s="78">
        <f>50</f>
        <v>50</v>
      </c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</row>
    <row r="409" spans="1:30" ht="15.75" x14ac:dyDescent="0.25">
      <c r="A409" s="14">
        <v>53386</v>
      </c>
      <c r="B409" s="90">
        <v>28</v>
      </c>
      <c r="C409" s="78">
        <f>122.58</f>
        <v>122.58</v>
      </c>
      <c r="D409" s="78">
        <f>297.941</f>
        <v>297.94099999999997</v>
      </c>
      <c r="E409" s="86">
        <f>89.177</f>
        <v>89.177000000000007</v>
      </c>
      <c r="F409" s="78">
        <f>240.302-40-60</f>
        <v>140.30199999999999</v>
      </c>
      <c r="G409" s="80">
        <v>40</v>
      </c>
      <c r="H409" s="78">
        <v>60</v>
      </c>
      <c r="I409" s="78">
        <f t="shared" si="60"/>
        <v>0</v>
      </c>
      <c r="J409" s="80">
        <v>100</v>
      </c>
      <c r="K409" s="80">
        <v>300</v>
      </c>
      <c r="L409" s="78">
        <f t="shared" si="64"/>
        <v>1150</v>
      </c>
      <c r="M409" s="88">
        <v>600</v>
      </c>
      <c r="N409" s="78">
        <f>100</f>
        <v>100</v>
      </c>
      <c r="O409" s="80">
        <v>240</v>
      </c>
      <c r="P409" s="80">
        <v>40</v>
      </c>
      <c r="Q409" s="80">
        <f t="shared" si="65"/>
        <v>315</v>
      </c>
      <c r="R409" s="80">
        <f t="shared" si="66"/>
        <v>100</v>
      </c>
      <c r="S409" s="78">
        <f t="shared" si="67"/>
        <v>695</v>
      </c>
      <c r="T409" s="78">
        <f>50</f>
        <v>50</v>
      </c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</row>
    <row r="410" spans="1:30" ht="15.75" x14ac:dyDescent="0.25">
      <c r="A410" s="14">
        <v>53417</v>
      </c>
      <c r="B410" s="90">
        <v>31</v>
      </c>
      <c r="C410" s="78">
        <f>122.58</f>
        <v>122.58</v>
      </c>
      <c r="D410" s="78">
        <f>297.941</f>
        <v>297.94099999999997</v>
      </c>
      <c r="E410" s="86">
        <f>89.177</f>
        <v>89.177000000000007</v>
      </c>
      <c r="F410" s="78">
        <f>240.302-40-60</f>
        <v>140.30199999999999</v>
      </c>
      <c r="G410" s="80">
        <v>40</v>
      </c>
      <c r="H410" s="78">
        <v>60</v>
      </c>
      <c r="I410" s="78">
        <f t="shared" si="60"/>
        <v>0</v>
      </c>
      <c r="J410" s="80">
        <v>100</v>
      </c>
      <c r="K410" s="80">
        <v>300</v>
      </c>
      <c r="L410" s="78">
        <f t="shared" si="64"/>
        <v>1150</v>
      </c>
      <c r="M410" s="88">
        <v>600</v>
      </c>
      <c r="N410" s="78">
        <f>100</f>
        <v>100</v>
      </c>
      <c r="O410" s="80">
        <v>240</v>
      </c>
      <c r="P410" s="80">
        <v>40</v>
      </c>
      <c r="Q410" s="80">
        <f t="shared" si="65"/>
        <v>315</v>
      </c>
      <c r="R410" s="80">
        <f t="shared" si="66"/>
        <v>100</v>
      </c>
      <c r="S410" s="78">
        <f t="shared" si="67"/>
        <v>695</v>
      </c>
      <c r="T410" s="78">
        <f>50</f>
        <v>50</v>
      </c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</row>
    <row r="411" spans="1:30" ht="15.75" x14ac:dyDescent="0.25">
      <c r="A411" s="14">
        <v>53447</v>
      </c>
      <c r="B411" s="90">
        <v>30</v>
      </c>
      <c r="C411" s="78">
        <f>141.293</f>
        <v>141.29300000000001</v>
      </c>
      <c r="D411" s="78">
        <f>267.993</f>
        <v>267.99299999999999</v>
      </c>
      <c r="E411" s="86">
        <f>115.016</f>
        <v>115.01600000000001</v>
      </c>
      <c r="F411" s="78">
        <f>314.698-40-25-60</f>
        <v>189.69799999999998</v>
      </c>
      <c r="G411" s="80">
        <v>40</v>
      </c>
      <c r="H411" s="78">
        <f t="shared" ref="H411:H417" si="68">25+60</f>
        <v>85</v>
      </c>
      <c r="I411" s="78">
        <f t="shared" si="60"/>
        <v>0</v>
      </c>
      <c r="J411" s="80">
        <v>100</v>
      </c>
      <c r="K411" s="80">
        <v>300</v>
      </c>
      <c r="L411" s="78">
        <f t="shared" si="64"/>
        <v>1239</v>
      </c>
      <c r="M411" s="88">
        <v>600</v>
      </c>
      <c r="N411" s="78">
        <f>100</f>
        <v>100</v>
      </c>
      <c r="O411" s="80">
        <v>240</v>
      </c>
      <c r="P411" s="80">
        <v>160</v>
      </c>
      <c r="Q411" s="80">
        <f t="shared" si="65"/>
        <v>195</v>
      </c>
      <c r="R411" s="80">
        <f t="shared" si="66"/>
        <v>100</v>
      </c>
      <c r="S411" s="78">
        <f t="shared" si="67"/>
        <v>695</v>
      </c>
      <c r="T411" s="78">
        <f>50</f>
        <v>50</v>
      </c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</row>
    <row r="412" spans="1:30" ht="15.75" x14ac:dyDescent="0.25">
      <c r="A412" s="14">
        <v>53478</v>
      </c>
      <c r="B412" s="90">
        <v>31</v>
      </c>
      <c r="C412" s="78">
        <f>194.205</f>
        <v>194.20500000000001</v>
      </c>
      <c r="D412" s="78">
        <f>267.466</f>
        <v>267.46600000000001</v>
      </c>
      <c r="E412" s="86">
        <f>133.845</f>
        <v>133.845</v>
      </c>
      <c r="F412" s="78">
        <f>278.484-40-25-60</f>
        <v>153.48399999999998</v>
      </c>
      <c r="G412" s="80">
        <v>40</v>
      </c>
      <c r="H412" s="78">
        <f t="shared" si="68"/>
        <v>85</v>
      </c>
      <c r="I412" s="78">
        <f t="shared" si="60"/>
        <v>0</v>
      </c>
      <c r="J412" s="80">
        <v>100</v>
      </c>
      <c r="K412" s="80">
        <v>300</v>
      </c>
      <c r="L412" s="78">
        <f t="shared" si="64"/>
        <v>1274</v>
      </c>
      <c r="M412" s="88">
        <v>600</v>
      </c>
      <c r="N412" s="78">
        <f>75</f>
        <v>75</v>
      </c>
      <c r="O412" s="80">
        <v>240</v>
      </c>
      <c r="P412" s="80">
        <v>160</v>
      </c>
      <c r="Q412" s="80">
        <f t="shared" si="65"/>
        <v>195</v>
      </c>
      <c r="R412" s="80">
        <f t="shared" si="66"/>
        <v>100</v>
      </c>
      <c r="S412" s="78">
        <f t="shared" si="67"/>
        <v>695</v>
      </c>
      <c r="T412" s="78">
        <f>50</f>
        <v>50</v>
      </c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</row>
    <row r="413" spans="1:30" ht="15.75" x14ac:dyDescent="0.25">
      <c r="A413" s="14">
        <v>53508</v>
      </c>
      <c r="B413" s="90">
        <v>30</v>
      </c>
      <c r="C413" s="78">
        <f>194.205</f>
        <v>194.20500000000001</v>
      </c>
      <c r="D413" s="78">
        <f>267.466</f>
        <v>267.46600000000001</v>
      </c>
      <c r="E413" s="86">
        <f>133.845</f>
        <v>133.845</v>
      </c>
      <c r="F413" s="78">
        <f>278.484-40-25-60</f>
        <v>153.48399999999998</v>
      </c>
      <c r="G413" s="80">
        <v>40</v>
      </c>
      <c r="H413" s="78">
        <f t="shared" si="68"/>
        <v>85</v>
      </c>
      <c r="I413" s="78">
        <f t="shared" si="60"/>
        <v>0</v>
      </c>
      <c r="J413" s="80">
        <v>100</v>
      </c>
      <c r="K413" s="80">
        <v>300</v>
      </c>
      <c r="L413" s="78">
        <f t="shared" si="64"/>
        <v>1274</v>
      </c>
      <c r="M413" s="88">
        <v>600</v>
      </c>
      <c r="N413" s="78">
        <f>30</f>
        <v>30</v>
      </c>
      <c r="O413" s="80">
        <v>240</v>
      </c>
      <c r="P413" s="80">
        <v>160</v>
      </c>
      <c r="Q413" s="80">
        <f t="shared" si="65"/>
        <v>195</v>
      </c>
      <c r="R413" s="80">
        <f t="shared" si="66"/>
        <v>100</v>
      </c>
      <c r="S413" s="78">
        <f t="shared" si="67"/>
        <v>695</v>
      </c>
      <c r="T413" s="78">
        <f>50</f>
        <v>50</v>
      </c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</row>
    <row r="414" spans="1:30" ht="15.75" x14ac:dyDescent="0.25">
      <c r="A414" s="14">
        <v>53539</v>
      </c>
      <c r="B414" s="90">
        <v>31</v>
      </c>
      <c r="C414" s="78">
        <f>194.205</f>
        <v>194.20500000000001</v>
      </c>
      <c r="D414" s="78">
        <f>267.466</f>
        <v>267.46600000000001</v>
      </c>
      <c r="E414" s="86">
        <f>133.845</f>
        <v>133.845</v>
      </c>
      <c r="F414" s="78">
        <f>278.484-40-25-60</f>
        <v>153.48399999999998</v>
      </c>
      <c r="G414" s="80">
        <v>40</v>
      </c>
      <c r="H414" s="78">
        <f t="shared" si="68"/>
        <v>85</v>
      </c>
      <c r="I414" s="78">
        <f t="shared" si="60"/>
        <v>0</v>
      </c>
      <c r="J414" s="80">
        <v>100</v>
      </c>
      <c r="K414" s="80">
        <v>300</v>
      </c>
      <c r="L414" s="78">
        <f t="shared" si="64"/>
        <v>1274</v>
      </c>
      <c r="M414" s="88">
        <v>600</v>
      </c>
      <c r="N414" s="78">
        <f>30</f>
        <v>30</v>
      </c>
      <c r="O414" s="80">
        <v>240</v>
      </c>
      <c r="P414" s="80">
        <v>160</v>
      </c>
      <c r="Q414" s="80">
        <f t="shared" si="65"/>
        <v>195</v>
      </c>
      <c r="R414" s="80">
        <f t="shared" si="66"/>
        <v>100</v>
      </c>
      <c r="S414" s="78">
        <f t="shared" si="67"/>
        <v>695</v>
      </c>
      <c r="T414" s="78">
        <f>0</f>
        <v>0</v>
      </c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</row>
    <row r="415" spans="1:30" ht="15.75" x14ac:dyDescent="0.25">
      <c r="A415" s="14">
        <v>53570</v>
      </c>
      <c r="B415" s="90">
        <v>31</v>
      </c>
      <c r="C415" s="78">
        <f>194.205</f>
        <v>194.20500000000001</v>
      </c>
      <c r="D415" s="78">
        <f>267.466</f>
        <v>267.46600000000001</v>
      </c>
      <c r="E415" s="86">
        <f>133.845</f>
        <v>133.845</v>
      </c>
      <c r="F415" s="78">
        <f>278.484-40-25-60</f>
        <v>153.48399999999998</v>
      </c>
      <c r="G415" s="80">
        <v>40</v>
      </c>
      <c r="H415" s="78">
        <f t="shared" si="68"/>
        <v>85</v>
      </c>
      <c r="I415" s="78">
        <f t="shared" si="60"/>
        <v>0</v>
      </c>
      <c r="J415" s="80">
        <v>100</v>
      </c>
      <c r="K415" s="80">
        <v>300</v>
      </c>
      <c r="L415" s="78">
        <f t="shared" si="64"/>
        <v>1274</v>
      </c>
      <c r="M415" s="88">
        <v>600</v>
      </c>
      <c r="N415" s="78">
        <f>30</f>
        <v>30</v>
      </c>
      <c r="O415" s="80">
        <v>240</v>
      </c>
      <c r="P415" s="80">
        <v>160</v>
      </c>
      <c r="Q415" s="80">
        <f t="shared" si="65"/>
        <v>195</v>
      </c>
      <c r="R415" s="80">
        <f t="shared" si="66"/>
        <v>100</v>
      </c>
      <c r="S415" s="78">
        <f t="shared" si="67"/>
        <v>695</v>
      </c>
      <c r="T415" s="78">
        <f>0</f>
        <v>0</v>
      </c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</row>
    <row r="416" spans="1:30" ht="15.75" x14ac:dyDescent="0.25">
      <c r="A416" s="14">
        <v>53600</v>
      </c>
      <c r="B416" s="90">
        <v>30</v>
      </c>
      <c r="C416" s="78">
        <f>194.205</f>
        <v>194.20500000000001</v>
      </c>
      <c r="D416" s="78">
        <f>267.466</f>
        <v>267.46600000000001</v>
      </c>
      <c r="E416" s="86">
        <f>133.845</f>
        <v>133.845</v>
      </c>
      <c r="F416" s="78">
        <f>278.484-40-25-60</f>
        <v>153.48399999999998</v>
      </c>
      <c r="G416" s="80">
        <v>40</v>
      </c>
      <c r="H416" s="78">
        <f t="shared" si="68"/>
        <v>85</v>
      </c>
      <c r="I416" s="78">
        <f t="shared" si="60"/>
        <v>0</v>
      </c>
      <c r="J416" s="80">
        <v>100</v>
      </c>
      <c r="K416" s="80">
        <v>300</v>
      </c>
      <c r="L416" s="78">
        <f t="shared" si="64"/>
        <v>1274</v>
      </c>
      <c r="M416" s="88">
        <v>600</v>
      </c>
      <c r="N416" s="78">
        <f>30</f>
        <v>30</v>
      </c>
      <c r="O416" s="80">
        <v>240</v>
      </c>
      <c r="P416" s="80">
        <v>160</v>
      </c>
      <c r="Q416" s="80">
        <f t="shared" si="65"/>
        <v>195</v>
      </c>
      <c r="R416" s="80">
        <f t="shared" si="66"/>
        <v>100</v>
      </c>
      <c r="S416" s="78">
        <f t="shared" si="67"/>
        <v>695</v>
      </c>
      <c r="T416" s="78">
        <f>0</f>
        <v>0</v>
      </c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</row>
    <row r="417" spans="1:30" ht="15.75" x14ac:dyDescent="0.25">
      <c r="A417" s="14">
        <v>53631</v>
      </c>
      <c r="B417" s="90">
        <v>31</v>
      </c>
      <c r="C417" s="78">
        <f>131.881</f>
        <v>131.881</v>
      </c>
      <c r="D417" s="78">
        <f>277.167</f>
        <v>277.16699999999997</v>
      </c>
      <c r="E417" s="86">
        <f>79.08</f>
        <v>79.08</v>
      </c>
      <c r="F417" s="78">
        <f>350.872-40-25-60</f>
        <v>225.87200000000001</v>
      </c>
      <c r="G417" s="80">
        <v>40</v>
      </c>
      <c r="H417" s="78">
        <f t="shared" si="68"/>
        <v>85</v>
      </c>
      <c r="I417" s="78">
        <f t="shared" si="60"/>
        <v>0</v>
      </c>
      <c r="J417" s="80">
        <v>100</v>
      </c>
      <c r="K417" s="80">
        <v>300</v>
      </c>
      <c r="L417" s="78">
        <f t="shared" si="64"/>
        <v>1239</v>
      </c>
      <c r="M417" s="88">
        <v>600</v>
      </c>
      <c r="N417" s="78">
        <f>75</f>
        <v>75</v>
      </c>
      <c r="O417" s="80">
        <v>240</v>
      </c>
      <c r="P417" s="80">
        <v>160</v>
      </c>
      <c r="Q417" s="80">
        <f t="shared" si="65"/>
        <v>195</v>
      </c>
      <c r="R417" s="80">
        <f t="shared" si="66"/>
        <v>100</v>
      </c>
      <c r="S417" s="78">
        <f t="shared" si="67"/>
        <v>695</v>
      </c>
      <c r="T417" s="78">
        <f>0</f>
        <v>0</v>
      </c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</row>
    <row r="418" spans="1:30" ht="15.75" x14ac:dyDescent="0.25">
      <c r="A418" s="14">
        <v>53661</v>
      </c>
      <c r="B418" s="90">
        <v>30</v>
      </c>
      <c r="C418" s="78">
        <f>122.58</f>
        <v>122.58</v>
      </c>
      <c r="D418" s="78">
        <f>297.941</f>
        <v>297.94099999999997</v>
      </c>
      <c r="E418" s="86">
        <f>89.177</f>
        <v>89.177000000000007</v>
      </c>
      <c r="F418" s="78">
        <f>240.302-40-60</f>
        <v>140.30199999999999</v>
      </c>
      <c r="G418" s="80">
        <v>40</v>
      </c>
      <c r="H418" s="78">
        <v>60</v>
      </c>
      <c r="I418" s="78">
        <f t="shared" si="60"/>
        <v>0</v>
      </c>
      <c r="J418" s="80">
        <v>100</v>
      </c>
      <c r="K418" s="80">
        <v>300</v>
      </c>
      <c r="L418" s="78">
        <f t="shared" si="64"/>
        <v>1150</v>
      </c>
      <c r="M418" s="88">
        <v>600</v>
      </c>
      <c r="N418" s="78">
        <f>100</f>
        <v>100</v>
      </c>
      <c r="O418" s="80">
        <v>240</v>
      </c>
      <c r="P418" s="80">
        <v>40</v>
      </c>
      <c r="Q418" s="80">
        <f t="shared" si="65"/>
        <v>315</v>
      </c>
      <c r="R418" s="80">
        <f t="shared" si="66"/>
        <v>100</v>
      </c>
      <c r="S418" s="78">
        <f t="shared" si="67"/>
        <v>695</v>
      </c>
      <c r="T418" s="78">
        <f>50</f>
        <v>50</v>
      </c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</row>
    <row r="419" spans="1:30" ht="15.75" x14ac:dyDescent="0.25">
      <c r="A419" s="14">
        <v>53692</v>
      </c>
      <c r="B419" s="90">
        <v>31</v>
      </c>
      <c r="C419" s="78">
        <f>122.58</f>
        <v>122.58</v>
      </c>
      <c r="D419" s="78">
        <f>297.941</f>
        <v>297.94099999999997</v>
      </c>
      <c r="E419" s="86">
        <f>89.177</f>
        <v>89.177000000000007</v>
      </c>
      <c r="F419" s="78">
        <f>240.302-40-60</f>
        <v>140.30199999999999</v>
      </c>
      <c r="G419" s="80">
        <v>40</v>
      </c>
      <c r="H419" s="78">
        <v>60</v>
      </c>
      <c r="I419" s="78">
        <f t="shared" si="60"/>
        <v>0</v>
      </c>
      <c r="J419" s="80">
        <v>100</v>
      </c>
      <c r="K419" s="80">
        <v>300</v>
      </c>
      <c r="L419" s="78">
        <f t="shared" si="64"/>
        <v>1150</v>
      </c>
      <c r="M419" s="88">
        <v>600</v>
      </c>
      <c r="N419" s="78">
        <f>100</f>
        <v>100</v>
      </c>
      <c r="O419" s="80">
        <v>240</v>
      </c>
      <c r="P419" s="80">
        <v>40</v>
      </c>
      <c r="Q419" s="80">
        <f t="shared" si="65"/>
        <v>315</v>
      </c>
      <c r="R419" s="80">
        <f t="shared" si="66"/>
        <v>100</v>
      </c>
      <c r="S419" s="78">
        <f t="shared" si="67"/>
        <v>695</v>
      </c>
      <c r="T419" s="78">
        <f>50</f>
        <v>50</v>
      </c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</row>
    <row r="420" spans="1:30" ht="15.75" x14ac:dyDescent="0.25">
      <c r="A420" s="14">
        <v>53723</v>
      </c>
      <c r="B420" s="90">
        <v>31</v>
      </c>
      <c r="C420" s="78">
        <f>122.58</f>
        <v>122.58</v>
      </c>
      <c r="D420" s="78">
        <f>297.941</f>
        <v>297.94099999999997</v>
      </c>
      <c r="E420" s="86">
        <f>89.177</f>
        <v>89.177000000000007</v>
      </c>
      <c r="F420" s="78">
        <f>240.302-40-60</f>
        <v>140.30199999999999</v>
      </c>
      <c r="G420" s="80">
        <v>40</v>
      </c>
      <c r="H420" s="78">
        <v>60</v>
      </c>
      <c r="I420" s="78">
        <f t="shared" si="60"/>
        <v>0</v>
      </c>
      <c r="J420" s="80">
        <v>100</v>
      </c>
      <c r="K420" s="80">
        <v>300</v>
      </c>
      <c r="L420" s="78">
        <f t="shared" si="64"/>
        <v>1150</v>
      </c>
      <c r="M420" s="88">
        <v>600</v>
      </c>
      <c r="N420" s="78">
        <f>100</f>
        <v>100</v>
      </c>
      <c r="O420" s="80">
        <v>240</v>
      </c>
      <c r="P420" s="80">
        <v>40</v>
      </c>
      <c r="Q420" s="80">
        <f t="shared" si="65"/>
        <v>315</v>
      </c>
      <c r="R420" s="80">
        <f t="shared" si="66"/>
        <v>100</v>
      </c>
      <c r="S420" s="78">
        <f t="shared" si="67"/>
        <v>695</v>
      </c>
      <c r="T420" s="78">
        <f>50</f>
        <v>50</v>
      </c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</row>
    <row r="421" spans="1:30" ht="15.75" x14ac:dyDescent="0.25">
      <c r="A421" s="14">
        <v>53751</v>
      </c>
      <c r="B421" s="90">
        <v>28</v>
      </c>
      <c r="C421" s="78">
        <f>122.58</f>
        <v>122.58</v>
      </c>
      <c r="D421" s="78">
        <f>297.941</f>
        <v>297.94099999999997</v>
      </c>
      <c r="E421" s="86">
        <f>89.177</f>
        <v>89.177000000000007</v>
      </c>
      <c r="F421" s="78">
        <f>240.302-40-60</f>
        <v>140.30199999999999</v>
      </c>
      <c r="G421" s="80">
        <v>40</v>
      </c>
      <c r="H421" s="78">
        <v>60</v>
      </c>
      <c r="I421" s="78">
        <f t="shared" si="60"/>
        <v>0</v>
      </c>
      <c r="J421" s="80">
        <v>100</v>
      </c>
      <c r="K421" s="80">
        <v>300</v>
      </c>
      <c r="L421" s="78">
        <f t="shared" si="64"/>
        <v>1150</v>
      </c>
      <c r="M421" s="88">
        <v>600</v>
      </c>
      <c r="N421" s="78">
        <f>100</f>
        <v>100</v>
      </c>
      <c r="O421" s="80">
        <v>240</v>
      </c>
      <c r="P421" s="80">
        <v>40</v>
      </c>
      <c r="Q421" s="80">
        <f t="shared" si="65"/>
        <v>315</v>
      </c>
      <c r="R421" s="80">
        <f t="shared" si="66"/>
        <v>100</v>
      </c>
      <c r="S421" s="78">
        <f t="shared" si="67"/>
        <v>695</v>
      </c>
      <c r="T421" s="78">
        <f>50</f>
        <v>50</v>
      </c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</row>
    <row r="422" spans="1:30" ht="15.75" x14ac:dyDescent="0.25">
      <c r="A422" s="14">
        <v>53782</v>
      </c>
      <c r="B422" s="90">
        <v>31</v>
      </c>
      <c r="C422" s="78">
        <f>122.58</f>
        <v>122.58</v>
      </c>
      <c r="D422" s="78">
        <f>297.941</f>
        <v>297.94099999999997</v>
      </c>
      <c r="E422" s="86">
        <f>89.177</f>
        <v>89.177000000000007</v>
      </c>
      <c r="F422" s="78">
        <f>240.302-40-60</f>
        <v>140.30199999999999</v>
      </c>
      <c r="G422" s="80">
        <v>40</v>
      </c>
      <c r="H422" s="78">
        <v>60</v>
      </c>
      <c r="I422" s="78">
        <f t="shared" si="60"/>
        <v>0</v>
      </c>
      <c r="J422" s="80">
        <v>100</v>
      </c>
      <c r="K422" s="80">
        <v>300</v>
      </c>
      <c r="L422" s="78">
        <f t="shared" si="64"/>
        <v>1150</v>
      </c>
      <c r="M422" s="88">
        <v>600</v>
      </c>
      <c r="N422" s="78">
        <f>100</f>
        <v>100</v>
      </c>
      <c r="O422" s="80">
        <v>240</v>
      </c>
      <c r="P422" s="80">
        <v>40</v>
      </c>
      <c r="Q422" s="80">
        <f t="shared" si="65"/>
        <v>315</v>
      </c>
      <c r="R422" s="80">
        <f t="shared" si="66"/>
        <v>100</v>
      </c>
      <c r="S422" s="78">
        <f t="shared" si="67"/>
        <v>695</v>
      </c>
      <c r="T422" s="78">
        <f>50</f>
        <v>50</v>
      </c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</row>
    <row r="423" spans="1:30" ht="15.75" x14ac:dyDescent="0.25">
      <c r="A423" s="14">
        <v>53812</v>
      </c>
      <c r="B423" s="90">
        <v>30</v>
      </c>
      <c r="C423" s="78">
        <f>141.293</f>
        <v>141.29300000000001</v>
      </c>
      <c r="D423" s="78">
        <f>267.993</f>
        <v>267.99299999999999</v>
      </c>
      <c r="E423" s="86">
        <f>115.016</f>
        <v>115.01600000000001</v>
      </c>
      <c r="F423" s="78">
        <f>314.698-40-25-60</f>
        <v>189.69799999999998</v>
      </c>
      <c r="G423" s="80">
        <v>40</v>
      </c>
      <c r="H423" s="78">
        <f t="shared" ref="H423:H429" si="69">25+60</f>
        <v>85</v>
      </c>
      <c r="I423" s="78">
        <f t="shared" si="60"/>
        <v>0</v>
      </c>
      <c r="J423" s="80">
        <v>100</v>
      </c>
      <c r="K423" s="80">
        <v>300</v>
      </c>
      <c r="L423" s="78">
        <f t="shared" si="64"/>
        <v>1239</v>
      </c>
      <c r="M423" s="88">
        <v>600</v>
      </c>
      <c r="N423" s="78">
        <f>100</f>
        <v>100</v>
      </c>
      <c r="O423" s="80">
        <v>240</v>
      </c>
      <c r="P423" s="80">
        <v>160</v>
      </c>
      <c r="Q423" s="80">
        <f t="shared" si="65"/>
        <v>195</v>
      </c>
      <c r="R423" s="80">
        <f t="shared" si="66"/>
        <v>100</v>
      </c>
      <c r="S423" s="78">
        <f t="shared" si="67"/>
        <v>695</v>
      </c>
      <c r="T423" s="78">
        <f>50</f>
        <v>50</v>
      </c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</row>
    <row r="424" spans="1:30" ht="15.75" x14ac:dyDescent="0.25">
      <c r="A424" s="14">
        <v>53843</v>
      </c>
      <c r="B424" s="90">
        <v>31</v>
      </c>
      <c r="C424" s="78">
        <f>194.205</f>
        <v>194.20500000000001</v>
      </c>
      <c r="D424" s="78">
        <f>267.466</f>
        <v>267.46600000000001</v>
      </c>
      <c r="E424" s="86">
        <f>133.845</f>
        <v>133.845</v>
      </c>
      <c r="F424" s="78">
        <f>278.484-40-25-60</f>
        <v>153.48399999999998</v>
      </c>
      <c r="G424" s="80">
        <v>40</v>
      </c>
      <c r="H424" s="78">
        <f t="shared" si="69"/>
        <v>85</v>
      </c>
      <c r="I424" s="78">
        <f t="shared" si="60"/>
        <v>0</v>
      </c>
      <c r="J424" s="80">
        <v>100</v>
      </c>
      <c r="K424" s="80">
        <v>300</v>
      </c>
      <c r="L424" s="78">
        <f t="shared" si="64"/>
        <v>1274</v>
      </c>
      <c r="M424" s="88">
        <v>600</v>
      </c>
      <c r="N424" s="78">
        <f>75</f>
        <v>75</v>
      </c>
      <c r="O424" s="80">
        <v>240</v>
      </c>
      <c r="P424" s="80">
        <v>160</v>
      </c>
      <c r="Q424" s="80">
        <f t="shared" si="65"/>
        <v>195</v>
      </c>
      <c r="R424" s="80">
        <f t="shared" si="66"/>
        <v>100</v>
      </c>
      <c r="S424" s="78">
        <f t="shared" si="67"/>
        <v>695</v>
      </c>
      <c r="T424" s="78">
        <f>50</f>
        <v>50</v>
      </c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</row>
    <row r="425" spans="1:30" ht="15.75" x14ac:dyDescent="0.25">
      <c r="A425" s="14">
        <v>53873</v>
      </c>
      <c r="B425" s="90">
        <v>30</v>
      </c>
      <c r="C425" s="78">
        <f>194.205</f>
        <v>194.20500000000001</v>
      </c>
      <c r="D425" s="78">
        <f>267.466</f>
        <v>267.46600000000001</v>
      </c>
      <c r="E425" s="86">
        <f>133.845</f>
        <v>133.845</v>
      </c>
      <c r="F425" s="78">
        <f>278.484-40-25-60</f>
        <v>153.48399999999998</v>
      </c>
      <c r="G425" s="80">
        <v>40</v>
      </c>
      <c r="H425" s="78">
        <f t="shared" si="69"/>
        <v>85</v>
      </c>
      <c r="I425" s="78">
        <f t="shared" si="60"/>
        <v>0</v>
      </c>
      <c r="J425" s="80">
        <v>100</v>
      </c>
      <c r="K425" s="80">
        <v>300</v>
      </c>
      <c r="L425" s="78">
        <f t="shared" si="64"/>
        <v>1274</v>
      </c>
      <c r="M425" s="88">
        <v>600</v>
      </c>
      <c r="N425" s="78">
        <f>30</f>
        <v>30</v>
      </c>
      <c r="O425" s="80">
        <v>240</v>
      </c>
      <c r="P425" s="80">
        <v>160</v>
      </c>
      <c r="Q425" s="80">
        <f t="shared" si="65"/>
        <v>195</v>
      </c>
      <c r="R425" s="80">
        <f t="shared" si="66"/>
        <v>100</v>
      </c>
      <c r="S425" s="78">
        <f t="shared" si="67"/>
        <v>695</v>
      </c>
      <c r="T425" s="78">
        <f>50</f>
        <v>50</v>
      </c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</row>
    <row r="426" spans="1:30" ht="15.75" x14ac:dyDescent="0.25">
      <c r="A426" s="14">
        <v>53904</v>
      </c>
      <c r="B426" s="90">
        <v>31</v>
      </c>
      <c r="C426" s="78">
        <f>194.205</f>
        <v>194.20500000000001</v>
      </c>
      <c r="D426" s="78">
        <f>267.466</f>
        <v>267.46600000000001</v>
      </c>
      <c r="E426" s="86">
        <f>133.845</f>
        <v>133.845</v>
      </c>
      <c r="F426" s="78">
        <f>278.484-40-25-60</f>
        <v>153.48399999999998</v>
      </c>
      <c r="G426" s="80">
        <v>40</v>
      </c>
      <c r="H426" s="78">
        <f t="shared" si="69"/>
        <v>85</v>
      </c>
      <c r="I426" s="78">
        <f t="shared" si="60"/>
        <v>0</v>
      </c>
      <c r="J426" s="80">
        <v>100</v>
      </c>
      <c r="K426" s="80">
        <v>300</v>
      </c>
      <c r="L426" s="78">
        <f t="shared" si="64"/>
        <v>1274</v>
      </c>
      <c r="M426" s="88">
        <v>600</v>
      </c>
      <c r="N426" s="78">
        <f>30</f>
        <v>30</v>
      </c>
      <c r="O426" s="80">
        <v>240</v>
      </c>
      <c r="P426" s="80">
        <v>160</v>
      </c>
      <c r="Q426" s="80">
        <f t="shared" si="65"/>
        <v>195</v>
      </c>
      <c r="R426" s="80">
        <f t="shared" si="66"/>
        <v>100</v>
      </c>
      <c r="S426" s="78">
        <f t="shared" si="67"/>
        <v>695</v>
      </c>
      <c r="T426" s="78">
        <f>0</f>
        <v>0</v>
      </c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</row>
    <row r="427" spans="1:30" ht="15.75" x14ac:dyDescent="0.25">
      <c r="A427" s="14">
        <v>53935</v>
      </c>
      <c r="B427" s="90">
        <v>31</v>
      </c>
      <c r="C427" s="78">
        <f>194.205</f>
        <v>194.20500000000001</v>
      </c>
      <c r="D427" s="78">
        <f>267.466</f>
        <v>267.46600000000001</v>
      </c>
      <c r="E427" s="86">
        <f>133.845</f>
        <v>133.845</v>
      </c>
      <c r="F427" s="78">
        <f>278.484-40-25-60</f>
        <v>153.48399999999998</v>
      </c>
      <c r="G427" s="80">
        <v>40</v>
      </c>
      <c r="H427" s="78">
        <f t="shared" si="69"/>
        <v>85</v>
      </c>
      <c r="I427" s="78">
        <f t="shared" si="60"/>
        <v>0</v>
      </c>
      <c r="J427" s="80">
        <v>100</v>
      </c>
      <c r="K427" s="80">
        <v>300</v>
      </c>
      <c r="L427" s="78">
        <f t="shared" si="64"/>
        <v>1274</v>
      </c>
      <c r="M427" s="88">
        <v>600</v>
      </c>
      <c r="N427" s="78">
        <f>30</f>
        <v>30</v>
      </c>
      <c r="O427" s="80">
        <v>240</v>
      </c>
      <c r="P427" s="80">
        <v>160</v>
      </c>
      <c r="Q427" s="80">
        <f t="shared" si="65"/>
        <v>195</v>
      </c>
      <c r="R427" s="80">
        <f t="shared" si="66"/>
        <v>100</v>
      </c>
      <c r="S427" s="78">
        <f t="shared" si="67"/>
        <v>695</v>
      </c>
      <c r="T427" s="78">
        <f>0</f>
        <v>0</v>
      </c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</row>
    <row r="428" spans="1:30" ht="15.75" x14ac:dyDescent="0.25">
      <c r="A428" s="14">
        <v>53965</v>
      </c>
      <c r="B428" s="90">
        <v>30</v>
      </c>
      <c r="C428" s="78">
        <f>194.205</f>
        <v>194.20500000000001</v>
      </c>
      <c r="D428" s="78">
        <f>267.466</f>
        <v>267.46600000000001</v>
      </c>
      <c r="E428" s="86">
        <f>133.845</f>
        <v>133.845</v>
      </c>
      <c r="F428" s="78">
        <f>278.484-40-25-60</f>
        <v>153.48399999999998</v>
      </c>
      <c r="G428" s="80">
        <v>40</v>
      </c>
      <c r="H428" s="78">
        <f t="shared" si="69"/>
        <v>85</v>
      </c>
      <c r="I428" s="78">
        <f t="shared" si="60"/>
        <v>0</v>
      </c>
      <c r="J428" s="80">
        <v>100</v>
      </c>
      <c r="K428" s="80">
        <v>300</v>
      </c>
      <c r="L428" s="78">
        <f t="shared" si="64"/>
        <v>1274</v>
      </c>
      <c r="M428" s="88">
        <v>600</v>
      </c>
      <c r="N428" s="78">
        <f>30</f>
        <v>30</v>
      </c>
      <c r="O428" s="80">
        <v>240</v>
      </c>
      <c r="P428" s="80">
        <v>160</v>
      </c>
      <c r="Q428" s="80">
        <f t="shared" si="65"/>
        <v>195</v>
      </c>
      <c r="R428" s="80">
        <f t="shared" si="66"/>
        <v>100</v>
      </c>
      <c r="S428" s="78">
        <f t="shared" si="67"/>
        <v>695</v>
      </c>
      <c r="T428" s="78">
        <f>0</f>
        <v>0</v>
      </c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</row>
    <row r="429" spans="1:30" ht="15.75" x14ac:dyDescent="0.25">
      <c r="A429" s="14">
        <v>53996</v>
      </c>
      <c r="B429" s="90">
        <v>31</v>
      </c>
      <c r="C429" s="78">
        <f>131.881</f>
        <v>131.881</v>
      </c>
      <c r="D429" s="78">
        <f>277.167</f>
        <v>277.16699999999997</v>
      </c>
      <c r="E429" s="86">
        <f>79.08</f>
        <v>79.08</v>
      </c>
      <c r="F429" s="78">
        <f>350.872-40-25-60</f>
        <v>225.87200000000001</v>
      </c>
      <c r="G429" s="80">
        <v>40</v>
      </c>
      <c r="H429" s="78">
        <f t="shared" si="69"/>
        <v>85</v>
      </c>
      <c r="I429" s="78">
        <f t="shared" si="60"/>
        <v>0</v>
      </c>
      <c r="J429" s="80">
        <v>100</v>
      </c>
      <c r="K429" s="80">
        <v>300</v>
      </c>
      <c r="L429" s="78">
        <f t="shared" si="64"/>
        <v>1239</v>
      </c>
      <c r="M429" s="88">
        <v>600</v>
      </c>
      <c r="N429" s="78">
        <f>75</f>
        <v>75</v>
      </c>
      <c r="O429" s="80">
        <v>240</v>
      </c>
      <c r="P429" s="80">
        <v>160</v>
      </c>
      <c r="Q429" s="80">
        <f t="shared" si="65"/>
        <v>195</v>
      </c>
      <c r="R429" s="80">
        <f t="shared" si="66"/>
        <v>100</v>
      </c>
      <c r="S429" s="78">
        <f t="shared" si="67"/>
        <v>695</v>
      </c>
      <c r="T429" s="78">
        <f>0</f>
        <v>0</v>
      </c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</row>
    <row r="430" spans="1:30" ht="15.75" x14ac:dyDescent="0.25">
      <c r="A430" s="14">
        <v>54026</v>
      </c>
      <c r="B430" s="90">
        <v>30</v>
      </c>
      <c r="C430" s="78">
        <f>122.58</f>
        <v>122.58</v>
      </c>
      <c r="D430" s="78">
        <f>297.941</f>
        <v>297.94099999999997</v>
      </c>
      <c r="E430" s="86">
        <f>89.177</f>
        <v>89.177000000000007</v>
      </c>
      <c r="F430" s="78">
        <f>240.302-40-60</f>
        <v>140.30199999999999</v>
      </c>
      <c r="G430" s="80">
        <v>40</v>
      </c>
      <c r="H430" s="78">
        <v>60</v>
      </c>
      <c r="I430" s="78">
        <f t="shared" si="60"/>
        <v>0</v>
      </c>
      <c r="J430" s="80">
        <v>100</v>
      </c>
      <c r="K430" s="80">
        <v>300</v>
      </c>
      <c r="L430" s="78">
        <f t="shared" si="64"/>
        <v>1150</v>
      </c>
      <c r="M430" s="88">
        <v>600</v>
      </c>
      <c r="N430" s="78">
        <f>100</f>
        <v>100</v>
      </c>
      <c r="O430" s="80">
        <v>240</v>
      </c>
      <c r="P430" s="80">
        <v>40</v>
      </c>
      <c r="Q430" s="80">
        <f t="shared" si="65"/>
        <v>315</v>
      </c>
      <c r="R430" s="80">
        <f t="shared" si="66"/>
        <v>100</v>
      </c>
      <c r="S430" s="78">
        <f t="shared" si="67"/>
        <v>695</v>
      </c>
      <c r="T430" s="78">
        <f>50</f>
        <v>50</v>
      </c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</row>
    <row r="431" spans="1:30" ht="15.75" x14ac:dyDescent="0.25">
      <c r="A431" s="14">
        <v>54057</v>
      </c>
      <c r="B431" s="90">
        <v>31</v>
      </c>
      <c r="C431" s="78">
        <f>122.58</f>
        <v>122.58</v>
      </c>
      <c r="D431" s="78">
        <f>297.941</f>
        <v>297.94099999999997</v>
      </c>
      <c r="E431" s="86">
        <f>89.177</f>
        <v>89.177000000000007</v>
      </c>
      <c r="F431" s="78">
        <f>240.302-40-60</f>
        <v>140.30199999999999</v>
      </c>
      <c r="G431" s="80">
        <v>40</v>
      </c>
      <c r="H431" s="78">
        <v>60</v>
      </c>
      <c r="I431" s="78">
        <f t="shared" si="60"/>
        <v>0</v>
      </c>
      <c r="J431" s="80">
        <v>100</v>
      </c>
      <c r="K431" s="80">
        <v>300</v>
      </c>
      <c r="L431" s="78">
        <f t="shared" si="64"/>
        <v>1150</v>
      </c>
      <c r="M431" s="88">
        <v>600</v>
      </c>
      <c r="N431" s="78">
        <f>100</f>
        <v>100</v>
      </c>
      <c r="O431" s="80">
        <v>240</v>
      </c>
      <c r="P431" s="80">
        <v>40</v>
      </c>
      <c r="Q431" s="80">
        <f t="shared" si="65"/>
        <v>315</v>
      </c>
      <c r="R431" s="80">
        <f t="shared" si="66"/>
        <v>100</v>
      </c>
      <c r="S431" s="78">
        <f t="shared" si="67"/>
        <v>695</v>
      </c>
      <c r="T431" s="78">
        <f>50</f>
        <v>50</v>
      </c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</row>
    <row r="432" spans="1:30" ht="15.75" x14ac:dyDescent="0.25">
      <c r="A432" s="14">
        <v>54088</v>
      </c>
      <c r="B432" s="90">
        <v>31</v>
      </c>
      <c r="C432" s="78">
        <f>122.58</f>
        <v>122.58</v>
      </c>
      <c r="D432" s="78">
        <f>297.941</f>
        <v>297.94099999999997</v>
      </c>
      <c r="E432" s="86">
        <f>89.177</f>
        <v>89.177000000000007</v>
      </c>
      <c r="F432" s="78">
        <f>240.302-40-60</f>
        <v>140.30199999999999</v>
      </c>
      <c r="G432" s="80">
        <v>40</v>
      </c>
      <c r="H432" s="78">
        <v>60</v>
      </c>
      <c r="I432" s="78">
        <f t="shared" si="60"/>
        <v>0</v>
      </c>
      <c r="J432" s="80">
        <v>100</v>
      </c>
      <c r="K432" s="80">
        <v>300</v>
      </c>
      <c r="L432" s="78">
        <f t="shared" si="64"/>
        <v>1150</v>
      </c>
      <c r="M432" s="88">
        <v>600</v>
      </c>
      <c r="N432" s="78">
        <f>100</f>
        <v>100</v>
      </c>
      <c r="O432" s="80">
        <v>240</v>
      </c>
      <c r="P432" s="80">
        <v>40</v>
      </c>
      <c r="Q432" s="80">
        <f t="shared" si="65"/>
        <v>315</v>
      </c>
      <c r="R432" s="80">
        <f t="shared" si="66"/>
        <v>100</v>
      </c>
      <c r="S432" s="78">
        <f t="shared" si="67"/>
        <v>695</v>
      </c>
      <c r="T432" s="78">
        <f>50</f>
        <v>50</v>
      </c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</row>
    <row r="433" spans="1:30" ht="15.75" x14ac:dyDescent="0.25">
      <c r="A433" s="14">
        <v>54116</v>
      </c>
      <c r="B433" s="90">
        <v>29</v>
      </c>
      <c r="C433" s="78">
        <f>122.58</f>
        <v>122.58</v>
      </c>
      <c r="D433" s="78">
        <f>297.941</f>
        <v>297.94099999999997</v>
      </c>
      <c r="E433" s="86">
        <f>89.177</f>
        <v>89.177000000000007</v>
      </c>
      <c r="F433" s="78">
        <f>240.302-40-60</f>
        <v>140.30199999999999</v>
      </c>
      <c r="G433" s="80">
        <v>40</v>
      </c>
      <c r="H433" s="78">
        <v>60</v>
      </c>
      <c r="I433" s="78">
        <f t="shared" si="60"/>
        <v>0</v>
      </c>
      <c r="J433" s="80">
        <v>100</v>
      </c>
      <c r="K433" s="80">
        <v>300</v>
      </c>
      <c r="L433" s="78">
        <f t="shared" si="64"/>
        <v>1150</v>
      </c>
      <c r="M433" s="88">
        <v>600</v>
      </c>
      <c r="N433" s="78">
        <f>100</f>
        <v>100</v>
      </c>
      <c r="O433" s="80">
        <v>240</v>
      </c>
      <c r="P433" s="80">
        <v>40</v>
      </c>
      <c r="Q433" s="80">
        <f t="shared" si="65"/>
        <v>315</v>
      </c>
      <c r="R433" s="80">
        <f t="shared" si="66"/>
        <v>100</v>
      </c>
      <c r="S433" s="78">
        <f t="shared" si="67"/>
        <v>695</v>
      </c>
      <c r="T433" s="78">
        <f>50</f>
        <v>50</v>
      </c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</row>
    <row r="434" spans="1:30" ht="15.75" x14ac:dyDescent="0.25">
      <c r="A434" s="14">
        <v>54148</v>
      </c>
      <c r="B434" s="90">
        <v>31</v>
      </c>
      <c r="C434" s="78">
        <f>122.58</f>
        <v>122.58</v>
      </c>
      <c r="D434" s="78">
        <f>297.941</f>
        <v>297.94099999999997</v>
      </c>
      <c r="E434" s="86">
        <f>89.177</f>
        <v>89.177000000000007</v>
      </c>
      <c r="F434" s="78">
        <f>240.302-40-60</f>
        <v>140.30199999999999</v>
      </c>
      <c r="G434" s="80">
        <v>40</v>
      </c>
      <c r="H434" s="78">
        <v>60</v>
      </c>
      <c r="I434" s="78">
        <f t="shared" si="60"/>
        <v>0</v>
      </c>
      <c r="J434" s="80">
        <v>100</v>
      </c>
      <c r="K434" s="80">
        <v>300</v>
      </c>
      <c r="L434" s="78">
        <f t="shared" si="64"/>
        <v>1150</v>
      </c>
      <c r="M434" s="88">
        <v>600</v>
      </c>
      <c r="N434" s="78">
        <f>100</f>
        <v>100</v>
      </c>
      <c r="O434" s="80">
        <v>240</v>
      </c>
      <c r="P434" s="80">
        <v>40</v>
      </c>
      <c r="Q434" s="80">
        <f t="shared" si="65"/>
        <v>315</v>
      </c>
      <c r="R434" s="80">
        <f t="shared" si="66"/>
        <v>100</v>
      </c>
      <c r="S434" s="78">
        <f t="shared" si="67"/>
        <v>695</v>
      </c>
      <c r="T434" s="78">
        <f>50</f>
        <v>50</v>
      </c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</row>
    <row r="435" spans="1:30" ht="15.75" x14ac:dyDescent="0.25">
      <c r="A435" s="14">
        <v>54178</v>
      </c>
      <c r="B435" s="90">
        <v>30</v>
      </c>
      <c r="C435" s="78">
        <f>141.293</f>
        <v>141.29300000000001</v>
      </c>
      <c r="D435" s="78">
        <f>267.993</f>
        <v>267.99299999999999</v>
      </c>
      <c r="E435" s="86">
        <f>115.016</f>
        <v>115.01600000000001</v>
      </c>
      <c r="F435" s="78">
        <f>314.698-40-25-60</f>
        <v>189.69799999999998</v>
      </c>
      <c r="G435" s="80">
        <v>40</v>
      </c>
      <c r="H435" s="78">
        <f t="shared" ref="H435:H441" si="70">25+60</f>
        <v>85</v>
      </c>
      <c r="I435" s="78">
        <f t="shared" si="60"/>
        <v>0</v>
      </c>
      <c r="J435" s="80">
        <v>100</v>
      </c>
      <c r="K435" s="80">
        <v>300</v>
      </c>
      <c r="L435" s="78">
        <f t="shared" si="64"/>
        <v>1239</v>
      </c>
      <c r="M435" s="88">
        <v>600</v>
      </c>
      <c r="N435" s="78">
        <f>100</f>
        <v>100</v>
      </c>
      <c r="O435" s="80">
        <v>240</v>
      </c>
      <c r="P435" s="80">
        <v>160</v>
      </c>
      <c r="Q435" s="80">
        <f t="shared" si="65"/>
        <v>195</v>
      </c>
      <c r="R435" s="80">
        <f t="shared" si="66"/>
        <v>100</v>
      </c>
      <c r="S435" s="78">
        <f t="shared" si="67"/>
        <v>695</v>
      </c>
      <c r="T435" s="78">
        <f>50</f>
        <v>50</v>
      </c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</row>
    <row r="436" spans="1:30" ht="15.75" x14ac:dyDescent="0.25">
      <c r="A436" s="14">
        <v>54209</v>
      </c>
      <c r="B436" s="90">
        <v>31</v>
      </c>
      <c r="C436" s="78">
        <f>194.205</f>
        <v>194.20500000000001</v>
      </c>
      <c r="D436" s="78">
        <f>267.466</f>
        <v>267.46600000000001</v>
      </c>
      <c r="E436" s="86">
        <f>133.845</f>
        <v>133.845</v>
      </c>
      <c r="F436" s="78">
        <f>278.484-40-25-60</f>
        <v>153.48399999999998</v>
      </c>
      <c r="G436" s="80">
        <v>40</v>
      </c>
      <c r="H436" s="78">
        <f t="shared" si="70"/>
        <v>85</v>
      </c>
      <c r="I436" s="78">
        <f t="shared" ref="I436:I499" si="71">400-J436-K436</f>
        <v>0</v>
      </c>
      <c r="J436" s="80">
        <v>100</v>
      </c>
      <c r="K436" s="80">
        <v>300</v>
      </c>
      <c r="L436" s="78">
        <f t="shared" si="64"/>
        <v>1274</v>
      </c>
      <c r="M436" s="88">
        <v>600</v>
      </c>
      <c r="N436" s="78">
        <f>75</f>
        <v>75</v>
      </c>
      <c r="O436" s="80">
        <v>240</v>
      </c>
      <c r="P436" s="80">
        <v>160</v>
      </c>
      <c r="Q436" s="80">
        <f t="shared" si="65"/>
        <v>195</v>
      </c>
      <c r="R436" s="80">
        <f t="shared" si="66"/>
        <v>100</v>
      </c>
      <c r="S436" s="78">
        <f t="shared" si="67"/>
        <v>695</v>
      </c>
      <c r="T436" s="78">
        <f>50</f>
        <v>50</v>
      </c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</row>
    <row r="437" spans="1:30" ht="15.75" x14ac:dyDescent="0.25">
      <c r="A437" s="14">
        <v>54239</v>
      </c>
      <c r="B437" s="90">
        <v>30</v>
      </c>
      <c r="C437" s="78">
        <f>194.205</f>
        <v>194.20500000000001</v>
      </c>
      <c r="D437" s="78">
        <f>267.466</f>
        <v>267.46600000000001</v>
      </c>
      <c r="E437" s="86">
        <f>133.845</f>
        <v>133.845</v>
      </c>
      <c r="F437" s="78">
        <f>278.484-40-25-60</f>
        <v>153.48399999999998</v>
      </c>
      <c r="G437" s="80">
        <v>40</v>
      </c>
      <c r="H437" s="78">
        <f t="shared" si="70"/>
        <v>85</v>
      </c>
      <c r="I437" s="78">
        <f t="shared" si="71"/>
        <v>0</v>
      </c>
      <c r="J437" s="80">
        <v>100</v>
      </c>
      <c r="K437" s="80">
        <v>300</v>
      </c>
      <c r="L437" s="78">
        <f t="shared" si="64"/>
        <v>1274</v>
      </c>
      <c r="M437" s="88">
        <v>600</v>
      </c>
      <c r="N437" s="78">
        <f>30</f>
        <v>30</v>
      </c>
      <c r="O437" s="80">
        <v>240</v>
      </c>
      <c r="P437" s="80">
        <v>160</v>
      </c>
      <c r="Q437" s="80">
        <f t="shared" si="65"/>
        <v>195</v>
      </c>
      <c r="R437" s="80">
        <f t="shared" si="66"/>
        <v>100</v>
      </c>
      <c r="S437" s="78">
        <f t="shared" si="67"/>
        <v>695</v>
      </c>
      <c r="T437" s="78">
        <f>50</f>
        <v>50</v>
      </c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</row>
    <row r="438" spans="1:30" ht="15.75" x14ac:dyDescent="0.25">
      <c r="A438" s="14">
        <v>54270</v>
      </c>
      <c r="B438" s="90">
        <v>31</v>
      </c>
      <c r="C438" s="78">
        <f>194.205</f>
        <v>194.20500000000001</v>
      </c>
      <c r="D438" s="78">
        <f>267.466</f>
        <v>267.46600000000001</v>
      </c>
      <c r="E438" s="86">
        <f>133.845</f>
        <v>133.845</v>
      </c>
      <c r="F438" s="78">
        <f>278.484-40-25-60</f>
        <v>153.48399999999998</v>
      </c>
      <c r="G438" s="80">
        <v>40</v>
      </c>
      <c r="H438" s="78">
        <f t="shared" si="70"/>
        <v>85</v>
      </c>
      <c r="I438" s="78">
        <f t="shared" si="71"/>
        <v>0</v>
      </c>
      <c r="J438" s="80">
        <v>100</v>
      </c>
      <c r="K438" s="80">
        <v>300</v>
      </c>
      <c r="L438" s="78">
        <f t="shared" si="64"/>
        <v>1274</v>
      </c>
      <c r="M438" s="88">
        <v>600</v>
      </c>
      <c r="N438" s="78">
        <f>30</f>
        <v>30</v>
      </c>
      <c r="O438" s="80">
        <v>240</v>
      </c>
      <c r="P438" s="80">
        <v>160</v>
      </c>
      <c r="Q438" s="80">
        <f t="shared" si="65"/>
        <v>195</v>
      </c>
      <c r="R438" s="80">
        <f t="shared" si="66"/>
        <v>100</v>
      </c>
      <c r="S438" s="78">
        <f t="shared" si="67"/>
        <v>695</v>
      </c>
      <c r="T438" s="78">
        <f>0</f>
        <v>0</v>
      </c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</row>
    <row r="439" spans="1:30" ht="15.75" x14ac:dyDescent="0.25">
      <c r="A439" s="14">
        <v>54301</v>
      </c>
      <c r="B439" s="90">
        <v>31</v>
      </c>
      <c r="C439" s="78">
        <f>194.205</f>
        <v>194.20500000000001</v>
      </c>
      <c r="D439" s="78">
        <f>267.466</f>
        <v>267.46600000000001</v>
      </c>
      <c r="E439" s="86">
        <f>133.845</f>
        <v>133.845</v>
      </c>
      <c r="F439" s="78">
        <f>278.484-40-25-60</f>
        <v>153.48399999999998</v>
      </c>
      <c r="G439" s="80">
        <v>40</v>
      </c>
      <c r="H439" s="78">
        <f t="shared" si="70"/>
        <v>85</v>
      </c>
      <c r="I439" s="78">
        <f t="shared" si="71"/>
        <v>0</v>
      </c>
      <c r="J439" s="80">
        <v>100</v>
      </c>
      <c r="K439" s="80">
        <v>300</v>
      </c>
      <c r="L439" s="78">
        <f t="shared" si="64"/>
        <v>1274</v>
      </c>
      <c r="M439" s="88">
        <v>600</v>
      </c>
      <c r="N439" s="78">
        <f>30</f>
        <v>30</v>
      </c>
      <c r="O439" s="80">
        <v>240</v>
      </c>
      <c r="P439" s="80">
        <v>160</v>
      </c>
      <c r="Q439" s="80">
        <f t="shared" si="65"/>
        <v>195</v>
      </c>
      <c r="R439" s="80">
        <f t="shared" si="66"/>
        <v>100</v>
      </c>
      <c r="S439" s="78">
        <f t="shared" si="67"/>
        <v>695</v>
      </c>
      <c r="T439" s="78">
        <f>0</f>
        <v>0</v>
      </c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</row>
    <row r="440" spans="1:30" ht="15.75" x14ac:dyDescent="0.25">
      <c r="A440" s="14">
        <v>54331</v>
      </c>
      <c r="B440" s="90">
        <v>30</v>
      </c>
      <c r="C440" s="78">
        <f>194.205</f>
        <v>194.20500000000001</v>
      </c>
      <c r="D440" s="78">
        <f>267.466</f>
        <v>267.46600000000001</v>
      </c>
      <c r="E440" s="86">
        <f>133.845</f>
        <v>133.845</v>
      </c>
      <c r="F440" s="78">
        <f>278.484-40-25-60</f>
        <v>153.48399999999998</v>
      </c>
      <c r="G440" s="80">
        <v>40</v>
      </c>
      <c r="H440" s="78">
        <f t="shared" si="70"/>
        <v>85</v>
      </c>
      <c r="I440" s="78">
        <f t="shared" si="71"/>
        <v>0</v>
      </c>
      <c r="J440" s="80">
        <v>100</v>
      </c>
      <c r="K440" s="80">
        <v>300</v>
      </c>
      <c r="L440" s="78">
        <f t="shared" si="64"/>
        <v>1274</v>
      </c>
      <c r="M440" s="88">
        <v>600</v>
      </c>
      <c r="N440" s="78">
        <f>30</f>
        <v>30</v>
      </c>
      <c r="O440" s="80">
        <v>240</v>
      </c>
      <c r="P440" s="80">
        <v>160</v>
      </c>
      <c r="Q440" s="80">
        <f t="shared" si="65"/>
        <v>195</v>
      </c>
      <c r="R440" s="80">
        <f t="shared" si="66"/>
        <v>100</v>
      </c>
      <c r="S440" s="78">
        <f t="shared" si="67"/>
        <v>695</v>
      </c>
      <c r="T440" s="78">
        <f>0</f>
        <v>0</v>
      </c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</row>
    <row r="441" spans="1:30" ht="15.75" x14ac:dyDescent="0.25">
      <c r="A441" s="14">
        <v>54362</v>
      </c>
      <c r="B441" s="90">
        <v>31</v>
      </c>
      <c r="C441" s="78">
        <f>131.881</f>
        <v>131.881</v>
      </c>
      <c r="D441" s="78">
        <f>277.167</f>
        <v>277.16699999999997</v>
      </c>
      <c r="E441" s="86">
        <f>79.08</f>
        <v>79.08</v>
      </c>
      <c r="F441" s="78">
        <f>350.872-40-25-60</f>
        <v>225.87200000000001</v>
      </c>
      <c r="G441" s="80">
        <v>40</v>
      </c>
      <c r="H441" s="78">
        <f t="shared" si="70"/>
        <v>85</v>
      </c>
      <c r="I441" s="78">
        <f t="shared" si="71"/>
        <v>0</v>
      </c>
      <c r="J441" s="80">
        <v>100</v>
      </c>
      <c r="K441" s="80">
        <v>300</v>
      </c>
      <c r="L441" s="78">
        <f t="shared" si="64"/>
        <v>1239</v>
      </c>
      <c r="M441" s="88">
        <v>600</v>
      </c>
      <c r="N441" s="78">
        <f>75</f>
        <v>75</v>
      </c>
      <c r="O441" s="80">
        <v>240</v>
      </c>
      <c r="P441" s="80">
        <v>160</v>
      </c>
      <c r="Q441" s="80">
        <f t="shared" si="65"/>
        <v>195</v>
      </c>
      <c r="R441" s="80">
        <f t="shared" si="66"/>
        <v>100</v>
      </c>
      <c r="S441" s="78">
        <f t="shared" si="67"/>
        <v>695</v>
      </c>
      <c r="T441" s="78">
        <f>0</f>
        <v>0</v>
      </c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</row>
    <row r="442" spans="1:30" ht="15.75" x14ac:dyDescent="0.25">
      <c r="A442" s="14">
        <v>54392</v>
      </c>
      <c r="B442" s="90">
        <v>30</v>
      </c>
      <c r="C442" s="78">
        <f>122.58</f>
        <v>122.58</v>
      </c>
      <c r="D442" s="78">
        <f>297.941</f>
        <v>297.94099999999997</v>
      </c>
      <c r="E442" s="86">
        <f>89.177</f>
        <v>89.177000000000007</v>
      </c>
      <c r="F442" s="78">
        <f>240.302-40-60</f>
        <v>140.30199999999999</v>
      </c>
      <c r="G442" s="80">
        <v>40</v>
      </c>
      <c r="H442" s="78">
        <v>60</v>
      </c>
      <c r="I442" s="78">
        <f t="shared" si="71"/>
        <v>0</v>
      </c>
      <c r="J442" s="80">
        <v>100</v>
      </c>
      <c r="K442" s="80">
        <v>300</v>
      </c>
      <c r="L442" s="78">
        <f t="shared" si="64"/>
        <v>1150</v>
      </c>
      <c r="M442" s="88">
        <v>600</v>
      </c>
      <c r="N442" s="78">
        <f>100</f>
        <v>100</v>
      </c>
      <c r="O442" s="80">
        <v>240</v>
      </c>
      <c r="P442" s="80">
        <v>40</v>
      </c>
      <c r="Q442" s="80">
        <f t="shared" si="65"/>
        <v>315</v>
      </c>
      <c r="R442" s="80">
        <f t="shared" si="66"/>
        <v>100</v>
      </c>
      <c r="S442" s="78">
        <f t="shared" si="67"/>
        <v>695</v>
      </c>
      <c r="T442" s="78">
        <f>50</f>
        <v>50</v>
      </c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</row>
    <row r="443" spans="1:30" ht="15.75" x14ac:dyDescent="0.25">
      <c r="A443" s="14">
        <v>54423</v>
      </c>
      <c r="B443" s="90">
        <v>31</v>
      </c>
      <c r="C443" s="78">
        <f>122.58</f>
        <v>122.58</v>
      </c>
      <c r="D443" s="78">
        <f>297.941</f>
        <v>297.94099999999997</v>
      </c>
      <c r="E443" s="86">
        <f>89.177</f>
        <v>89.177000000000007</v>
      </c>
      <c r="F443" s="78">
        <f>240.302-40-60</f>
        <v>140.30199999999999</v>
      </c>
      <c r="G443" s="80">
        <v>40</v>
      </c>
      <c r="H443" s="78">
        <v>60</v>
      </c>
      <c r="I443" s="78">
        <f t="shared" si="71"/>
        <v>0</v>
      </c>
      <c r="J443" s="80">
        <v>100</v>
      </c>
      <c r="K443" s="80">
        <v>300</v>
      </c>
      <c r="L443" s="78">
        <f t="shared" si="64"/>
        <v>1150</v>
      </c>
      <c r="M443" s="88">
        <v>600</v>
      </c>
      <c r="N443" s="78">
        <f>100</f>
        <v>100</v>
      </c>
      <c r="O443" s="80">
        <v>240</v>
      </c>
      <c r="P443" s="80">
        <v>40</v>
      </c>
      <c r="Q443" s="80">
        <f t="shared" si="65"/>
        <v>315</v>
      </c>
      <c r="R443" s="80">
        <f t="shared" si="66"/>
        <v>100</v>
      </c>
      <c r="S443" s="78">
        <f t="shared" si="67"/>
        <v>695</v>
      </c>
      <c r="T443" s="78">
        <f>50</f>
        <v>50</v>
      </c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</row>
    <row r="444" spans="1:30" ht="15.75" x14ac:dyDescent="0.25">
      <c r="A444" s="14">
        <v>54454</v>
      </c>
      <c r="B444" s="90">
        <v>31</v>
      </c>
      <c r="C444" s="78">
        <f>122.58</f>
        <v>122.58</v>
      </c>
      <c r="D444" s="78">
        <f>297.941</f>
        <v>297.94099999999997</v>
      </c>
      <c r="E444" s="86">
        <f>89.177</f>
        <v>89.177000000000007</v>
      </c>
      <c r="F444" s="78">
        <f>240.302-40-60</f>
        <v>140.30199999999999</v>
      </c>
      <c r="G444" s="80">
        <v>40</v>
      </c>
      <c r="H444" s="78">
        <v>60</v>
      </c>
      <c r="I444" s="78">
        <f t="shared" si="71"/>
        <v>0</v>
      </c>
      <c r="J444" s="80">
        <v>100</v>
      </c>
      <c r="K444" s="80">
        <v>300</v>
      </c>
      <c r="L444" s="78">
        <f t="shared" si="64"/>
        <v>1150</v>
      </c>
      <c r="M444" s="88">
        <v>600</v>
      </c>
      <c r="N444" s="78">
        <f>100</f>
        <v>100</v>
      </c>
      <c r="O444" s="80">
        <v>240</v>
      </c>
      <c r="P444" s="80">
        <v>40</v>
      </c>
      <c r="Q444" s="80">
        <f t="shared" si="65"/>
        <v>315</v>
      </c>
      <c r="R444" s="80">
        <f t="shared" si="66"/>
        <v>100</v>
      </c>
      <c r="S444" s="78">
        <f t="shared" si="67"/>
        <v>695</v>
      </c>
      <c r="T444" s="78">
        <f>50</f>
        <v>50</v>
      </c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</row>
    <row r="445" spans="1:30" ht="15.75" x14ac:dyDescent="0.25">
      <c r="A445" s="14">
        <v>54482</v>
      </c>
      <c r="B445" s="90">
        <v>28</v>
      </c>
      <c r="C445" s="78">
        <f>122.58</f>
        <v>122.58</v>
      </c>
      <c r="D445" s="78">
        <f>297.941</f>
        <v>297.94099999999997</v>
      </c>
      <c r="E445" s="86">
        <f>89.177</f>
        <v>89.177000000000007</v>
      </c>
      <c r="F445" s="78">
        <f>240.302-40-60</f>
        <v>140.30199999999999</v>
      </c>
      <c r="G445" s="80">
        <v>40</v>
      </c>
      <c r="H445" s="78">
        <v>60</v>
      </c>
      <c r="I445" s="78">
        <f t="shared" si="71"/>
        <v>0</v>
      </c>
      <c r="J445" s="80">
        <v>100</v>
      </c>
      <c r="K445" s="80">
        <v>300</v>
      </c>
      <c r="L445" s="78">
        <f t="shared" si="64"/>
        <v>1150</v>
      </c>
      <c r="M445" s="88">
        <v>600</v>
      </c>
      <c r="N445" s="78">
        <f>100</f>
        <v>100</v>
      </c>
      <c r="O445" s="80">
        <v>240</v>
      </c>
      <c r="P445" s="80">
        <v>40</v>
      </c>
      <c r="Q445" s="80">
        <f t="shared" si="65"/>
        <v>315</v>
      </c>
      <c r="R445" s="80">
        <f t="shared" si="66"/>
        <v>100</v>
      </c>
      <c r="S445" s="78">
        <f t="shared" si="67"/>
        <v>695</v>
      </c>
      <c r="T445" s="78">
        <f>50</f>
        <v>50</v>
      </c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</row>
    <row r="446" spans="1:30" ht="15.75" x14ac:dyDescent="0.25">
      <c r="A446" s="14">
        <v>54513</v>
      </c>
      <c r="B446" s="90">
        <v>31</v>
      </c>
      <c r="C446" s="78">
        <f>122.58</f>
        <v>122.58</v>
      </c>
      <c r="D446" s="78">
        <f>297.941</f>
        <v>297.94099999999997</v>
      </c>
      <c r="E446" s="86">
        <f>89.177</f>
        <v>89.177000000000007</v>
      </c>
      <c r="F446" s="78">
        <f>240.302-40-60</f>
        <v>140.30199999999999</v>
      </c>
      <c r="G446" s="80">
        <v>40</v>
      </c>
      <c r="H446" s="78">
        <v>60</v>
      </c>
      <c r="I446" s="78">
        <f t="shared" si="71"/>
        <v>0</v>
      </c>
      <c r="J446" s="80">
        <v>100</v>
      </c>
      <c r="K446" s="80">
        <v>300</v>
      </c>
      <c r="L446" s="78">
        <f t="shared" si="64"/>
        <v>1150</v>
      </c>
      <c r="M446" s="88">
        <v>600</v>
      </c>
      <c r="N446" s="78">
        <f>100</f>
        <v>100</v>
      </c>
      <c r="O446" s="80">
        <v>240</v>
      </c>
      <c r="P446" s="80">
        <v>40</v>
      </c>
      <c r="Q446" s="80">
        <f t="shared" si="65"/>
        <v>315</v>
      </c>
      <c r="R446" s="80">
        <f t="shared" si="66"/>
        <v>100</v>
      </c>
      <c r="S446" s="78">
        <f t="shared" si="67"/>
        <v>695</v>
      </c>
      <c r="T446" s="78">
        <f>50</f>
        <v>50</v>
      </c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</row>
    <row r="447" spans="1:30" ht="15.75" x14ac:dyDescent="0.25">
      <c r="A447" s="14">
        <v>54543</v>
      </c>
      <c r="B447" s="90">
        <v>30</v>
      </c>
      <c r="C447" s="78">
        <f>141.293</f>
        <v>141.29300000000001</v>
      </c>
      <c r="D447" s="78">
        <f>267.993</f>
        <v>267.99299999999999</v>
      </c>
      <c r="E447" s="86">
        <f>115.016</f>
        <v>115.01600000000001</v>
      </c>
      <c r="F447" s="78">
        <f>314.698-40-25-60</f>
        <v>189.69799999999998</v>
      </c>
      <c r="G447" s="80">
        <v>40</v>
      </c>
      <c r="H447" s="78">
        <f t="shared" ref="H447:H453" si="72">25+60</f>
        <v>85</v>
      </c>
      <c r="I447" s="78">
        <f t="shared" si="71"/>
        <v>0</v>
      </c>
      <c r="J447" s="80">
        <v>100</v>
      </c>
      <c r="K447" s="80">
        <v>300</v>
      </c>
      <c r="L447" s="78">
        <f t="shared" si="64"/>
        <v>1239</v>
      </c>
      <c r="M447" s="88">
        <v>600</v>
      </c>
      <c r="N447" s="78">
        <f>100</f>
        <v>100</v>
      </c>
      <c r="O447" s="80">
        <v>240</v>
      </c>
      <c r="P447" s="80">
        <v>160</v>
      </c>
      <c r="Q447" s="80">
        <f t="shared" si="65"/>
        <v>195</v>
      </c>
      <c r="R447" s="80">
        <f t="shared" si="66"/>
        <v>100</v>
      </c>
      <c r="S447" s="78">
        <f t="shared" si="67"/>
        <v>695</v>
      </c>
      <c r="T447" s="78">
        <f>50</f>
        <v>50</v>
      </c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</row>
    <row r="448" spans="1:30" ht="15.75" x14ac:dyDescent="0.25">
      <c r="A448" s="14">
        <v>54574</v>
      </c>
      <c r="B448" s="90">
        <v>31</v>
      </c>
      <c r="C448" s="78">
        <f>194.205</f>
        <v>194.20500000000001</v>
      </c>
      <c r="D448" s="78">
        <f>267.466</f>
        <v>267.46600000000001</v>
      </c>
      <c r="E448" s="86">
        <f>133.845</f>
        <v>133.845</v>
      </c>
      <c r="F448" s="78">
        <f>278.484-40-25-60</f>
        <v>153.48399999999998</v>
      </c>
      <c r="G448" s="80">
        <v>40</v>
      </c>
      <c r="H448" s="78">
        <f t="shared" si="72"/>
        <v>85</v>
      </c>
      <c r="I448" s="78">
        <f t="shared" si="71"/>
        <v>0</v>
      </c>
      <c r="J448" s="80">
        <v>100</v>
      </c>
      <c r="K448" s="80">
        <v>300</v>
      </c>
      <c r="L448" s="78">
        <f t="shared" si="64"/>
        <v>1274</v>
      </c>
      <c r="M448" s="88">
        <v>600</v>
      </c>
      <c r="N448" s="78">
        <f>75</f>
        <v>75</v>
      </c>
      <c r="O448" s="80">
        <v>240</v>
      </c>
      <c r="P448" s="80">
        <v>160</v>
      </c>
      <c r="Q448" s="80">
        <f t="shared" si="65"/>
        <v>195</v>
      </c>
      <c r="R448" s="80">
        <f t="shared" si="66"/>
        <v>100</v>
      </c>
      <c r="S448" s="78">
        <f t="shared" si="67"/>
        <v>695</v>
      </c>
      <c r="T448" s="78">
        <f>50</f>
        <v>50</v>
      </c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</row>
    <row r="449" spans="1:30" ht="15.75" x14ac:dyDescent="0.25">
      <c r="A449" s="14">
        <v>54604</v>
      </c>
      <c r="B449" s="90">
        <v>30</v>
      </c>
      <c r="C449" s="78">
        <f>194.205</f>
        <v>194.20500000000001</v>
      </c>
      <c r="D449" s="78">
        <f>267.466</f>
        <v>267.46600000000001</v>
      </c>
      <c r="E449" s="86">
        <f>133.845</f>
        <v>133.845</v>
      </c>
      <c r="F449" s="78">
        <f>278.484-40-25-60</f>
        <v>153.48399999999998</v>
      </c>
      <c r="G449" s="80">
        <v>40</v>
      </c>
      <c r="H449" s="78">
        <f t="shared" si="72"/>
        <v>85</v>
      </c>
      <c r="I449" s="78">
        <f t="shared" si="71"/>
        <v>0</v>
      </c>
      <c r="J449" s="80">
        <v>100</v>
      </c>
      <c r="K449" s="80">
        <v>300</v>
      </c>
      <c r="L449" s="78">
        <f t="shared" si="64"/>
        <v>1274</v>
      </c>
      <c r="M449" s="88">
        <v>600</v>
      </c>
      <c r="N449" s="78">
        <f>30</f>
        <v>30</v>
      </c>
      <c r="O449" s="80">
        <v>240</v>
      </c>
      <c r="P449" s="80">
        <v>160</v>
      </c>
      <c r="Q449" s="80">
        <f t="shared" si="65"/>
        <v>195</v>
      </c>
      <c r="R449" s="80">
        <f t="shared" si="66"/>
        <v>100</v>
      </c>
      <c r="S449" s="78">
        <f t="shared" si="67"/>
        <v>695</v>
      </c>
      <c r="T449" s="78">
        <f>50</f>
        <v>50</v>
      </c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</row>
    <row r="450" spans="1:30" ht="15.75" x14ac:dyDescent="0.25">
      <c r="A450" s="14">
        <v>54635</v>
      </c>
      <c r="B450" s="90">
        <v>31</v>
      </c>
      <c r="C450" s="78">
        <f>194.205</f>
        <v>194.20500000000001</v>
      </c>
      <c r="D450" s="78">
        <f>267.466</f>
        <v>267.46600000000001</v>
      </c>
      <c r="E450" s="86">
        <f>133.845</f>
        <v>133.845</v>
      </c>
      <c r="F450" s="78">
        <f>278.484-40-25-60</f>
        <v>153.48399999999998</v>
      </c>
      <c r="G450" s="80">
        <v>40</v>
      </c>
      <c r="H450" s="78">
        <f t="shared" si="72"/>
        <v>85</v>
      </c>
      <c r="I450" s="78">
        <f t="shared" si="71"/>
        <v>0</v>
      </c>
      <c r="J450" s="80">
        <v>100</v>
      </c>
      <c r="K450" s="80">
        <v>300</v>
      </c>
      <c r="L450" s="78">
        <f t="shared" si="64"/>
        <v>1274</v>
      </c>
      <c r="M450" s="88">
        <v>600</v>
      </c>
      <c r="N450" s="78">
        <f>30</f>
        <v>30</v>
      </c>
      <c r="O450" s="80">
        <v>240</v>
      </c>
      <c r="P450" s="80">
        <v>160</v>
      </c>
      <c r="Q450" s="80">
        <f t="shared" si="65"/>
        <v>195</v>
      </c>
      <c r="R450" s="80">
        <f t="shared" si="66"/>
        <v>100</v>
      </c>
      <c r="S450" s="78">
        <f t="shared" si="67"/>
        <v>695</v>
      </c>
      <c r="T450" s="78">
        <f>0</f>
        <v>0</v>
      </c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</row>
    <row r="451" spans="1:30" ht="15.75" x14ac:dyDescent="0.25">
      <c r="A451" s="14">
        <v>54666</v>
      </c>
      <c r="B451" s="90">
        <v>31</v>
      </c>
      <c r="C451" s="78">
        <f>194.205</f>
        <v>194.20500000000001</v>
      </c>
      <c r="D451" s="78">
        <f>267.466</f>
        <v>267.46600000000001</v>
      </c>
      <c r="E451" s="86">
        <f>133.845</f>
        <v>133.845</v>
      </c>
      <c r="F451" s="78">
        <f>278.484-40-25-60</f>
        <v>153.48399999999998</v>
      </c>
      <c r="G451" s="80">
        <v>40</v>
      </c>
      <c r="H451" s="78">
        <f t="shared" si="72"/>
        <v>85</v>
      </c>
      <c r="I451" s="78">
        <f t="shared" si="71"/>
        <v>0</v>
      </c>
      <c r="J451" s="80">
        <v>100</v>
      </c>
      <c r="K451" s="80">
        <v>300</v>
      </c>
      <c r="L451" s="78">
        <f t="shared" si="64"/>
        <v>1274</v>
      </c>
      <c r="M451" s="88">
        <v>600</v>
      </c>
      <c r="N451" s="78">
        <f>30</f>
        <v>30</v>
      </c>
      <c r="O451" s="80">
        <v>240</v>
      </c>
      <c r="P451" s="80">
        <v>160</v>
      </c>
      <c r="Q451" s="80">
        <f t="shared" si="65"/>
        <v>195</v>
      </c>
      <c r="R451" s="80">
        <f t="shared" si="66"/>
        <v>100</v>
      </c>
      <c r="S451" s="78">
        <f t="shared" si="67"/>
        <v>695</v>
      </c>
      <c r="T451" s="78">
        <f>0</f>
        <v>0</v>
      </c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</row>
    <row r="452" spans="1:30" ht="15.75" x14ac:dyDescent="0.25">
      <c r="A452" s="14">
        <v>54696</v>
      </c>
      <c r="B452" s="90">
        <v>30</v>
      </c>
      <c r="C452" s="78">
        <f>194.205</f>
        <v>194.20500000000001</v>
      </c>
      <c r="D452" s="78">
        <f>267.466</f>
        <v>267.46600000000001</v>
      </c>
      <c r="E452" s="86">
        <f>133.845</f>
        <v>133.845</v>
      </c>
      <c r="F452" s="78">
        <f>278.484-40-25-60</f>
        <v>153.48399999999998</v>
      </c>
      <c r="G452" s="80">
        <v>40</v>
      </c>
      <c r="H452" s="78">
        <f t="shared" si="72"/>
        <v>85</v>
      </c>
      <c r="I452" s="78">
        <f t="shared" si="71"/>
        <v>0</v>
      </c>
      <c r="J452" s="80">
        <v>100</v>
      </c>
      <c r="K452" s="80">
        <v>300</v>
      </c>
      <c r="L452" s="78">
        <f t="shared" si="64"/>
        <v>1274</v>
      </c>
      <c r="M452" s="88">
        <v>600</v>
      </c>
      <c r="N452" s="78">
        <f>30</f>
        <v>30</v>
      </c>
      <c r="O452" s="80">
        <v>240</v>
      </c>
      <c r="P452" s="80">
        <v>160</v>
      </c>
      <c r="Q452" s="80">
        <f t="shared" si="65"/>
        <v>195</v>
      </c>
      <c r="R452" s="80">
        <f t="shared" si="66"/>
        <v>100</v>
      </c>
      <c r="S452" s="78">
        <f t="shared" si="67"/>
        <v>695</v>
      </c>
      <c r="T452" s="78">
        <f>0</f>
        <v>0</v>
      </c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</row>
    <row r="453" spans="1:30" ht="15.75" x14ac:dyDescent="0.25">
      <c r="A453" s="14">
        <v>54727</v>
      </c>
      <c r="B453" s="90">
        <v>31</v>
      </c>
      <c r="C453" s="78">
        <f>131.881</f>
        <v>131.881</v>
      </c>
      <c r="D453" s="78">
        <f>277.167</f>
        <v>277.16699999999997</v>
      </c>
      <c r="E453" s="86">
        <f>79.08</f>
        <v>79.08</v>
      </c>
      <c r="F453" s="78">
        <f>350.872-40-25-60</f>
        <v>225.87200000000001</v>
      </c>
      <c r="G453" s="80">
        <v>40</v>
      </c>
      <c r="H453" s="78">
        <f t="shared" si="72"/>
        <v>85</v>
      </c>
      <c r="I453" s="78">
        <f t="shared" si="71"/>
        <v>0</v>
      </c>
      <c r="J453" s="80">
        <v>100</v>
      </c>
      <c r="K453" s="80">
        <v>300</v>
      </c>
      <c r="L453" s="78">
        <f t="shared" si="64"/>
        <v>1239</v>
      </c>
      <c r="M453" s="88">
        <v>600</v>
      </c>
      <c r="N453" s="78">
        <f>75</f>
        <v>75</v>
      </c>
      <c r="O453" s="80">
        <v>240</v>
      </c>
      <c r="P453" s="80">
        <v>160</v>
      </c>
      <c r="Q453" s="80">
        <f t="shared" si="65"/>
        <v>195</v>
      </c>
      <c r="R453" s="80">
        <f t="shared" si="66"/>
        <v>100</v>
      </c>
      <c r="S453" s="78">
        <f t="shared" si="67"/>
        <v>695</v>
      </c>
      <c r="T453" s="78">
        <f>0</f>
        <v>0</v>
      </c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</row>
    <row r="454" spans="1:30" ht="15.75" x14ac:dyDescent="0.25">
      <c r="A454" s="14">
        <v>54757</v>
      </c>
      <c r="B454" s="90">
        <v>30</v>
      </c>
      <c r="C454" s="78">
        <f>122.58</f>
        <v>122.58</v>
      </c>
      <c r="D454" s="78">
        <f>297.941</f>
        <v>297.94099999999997</v>
      </c>
      <c r="E454" s="86">
        <f>89.177</f>
        <v>89.177000000000007</v>
      </c>
      <c r="F454" s="78">
        <f>240.302-40-60</f>
        <v>140.30199999999999</v>
      </c>
      <c r="G454" s="80">
        <v>40</v>
      </c>
      <c r="H454" s="78">
        <v>60</v>
      </c>
      <c r="I454" s="78">
        <f t="shared" si="71"/>
        <v>0</v>
      </c>
      <c r="J454" s="80">
        <v>100</v>
      </c>
      <c r="K454" s="80">
        <v>300</v>
      </c>
      <c r="L454" s="78">
        <f t="shared" si="64"/>
        <v>1150</v>
      </c>
      <c r="M454" s="88">
        <v>600</v>
      </c>
      <c r="N454" s="78">
        <f>100</f>
        <v>100</v>
      </c>
      <c r="O454" s="80">
        <v>240</v>
      </c>
      <c r="P454" s="80">
        <v>40</v>
      </c>
      <c r="Q454" s="80">
        <f t="shared" si="65"/>
        <v>315</v>
      </c>
      <c r="R454" s="80">
        <f t="shared" si="66"/>
        <v>100</v>
      </c>
      <c r="S454" s="78">
        <f t="shared" si="67"/>
        <v>695</v>
      </c>
      <c r="T454" s="78">
        <f>50</f>
        <v>50</v>
      </c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</row>
    <row r="455" spans="1:30" ht="15.75" x14ac:dyDescent="0.25">
      <c r="A455" s="14">
        <v>54788</v>
      </c>
      <c r="B455" s="90">
        <v>31</v>
      </c>
      <c r="C455" s="78">
        <f>122.58</f>
        <v>122.58</v>
      </c>
      <c r="D455" s="78">
        <f>297.941</f>
        <v>297.94099999999997</v>
      </c>
      <c r="E455" s="86">
        <f>89.177</f>
        <v>89.177000000000007</v>
      </c>
      <c r="F455" s="78">
        <f>240.302-40-60</f>
        <v>140.30199999999999</v>
      </c>
      <c r="G455" s="80">
        <v>40</v>
      </c>
      <c r="H455" s="78">
        <v>60</v>
      </c>
      <c r="I455" s="78">
        <f t="shared" si="71"/>
        <v>0</v>
      </c>
      <c r="J455" s="80">
        <v>100</v>
      </c>
      <c r="K455" s="80">
        <v>300</v>
      </c>
      <c r="L455" s="78">
        <f t="shared" si="64"/>
        <v>1150</v>
      </c>
      <c r="M455" s="88">
        <v>600</v>
      </c>
      <c r="N455" s="78">
        <f>100</f>
        <v>100</v>
      </c>
      <c r="O455" s="80">
        <v>240</v>
      </c>
      <c r="P455" s="80">
        <v>40</v>
      </c>
      <c r="Q455" s="80">
        <f t="shared" si="65"/>
        <v>315</v>
      </c>
      <c r="R455" s="80">
        <f t="shared" si="66"/>
        <v>100</v>
      </c>
      <c r="S455" s="78">
        <f t="shared" si="67"/>
        <v>695</v>
      </c>
      <c r="T455" s="78">
        <f>50</f>
        <v>50</v>
      </c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</row>
    <row r="456" spans="1:30" ht="15.75" x14ac:dyDescent="0.25">
      <c r="A456" s="14">
        <v>54819</v>
      </c>
      <c r="B456" s="90">
        <v>31</v>
      </c>
      <c r="C456" s="78">
        <f>122.58</f>
        <v>122.58</v>
      </c>
      <c r="D456" s="78">
        <f>297.941</f>
        <v>297.94099999999997</v>
      </c>
      <c r="E456" s="86">
        <f>89.177</f>
        <v>89.177000000000007</v>
      </c>
      <c r="F456" s="78">
        <f>240.302-40-60</f>
        <v>140.30199999999999</v>
      </c>
      <c r="G456" s="80">
        <v>40</v>
      </c>
      <c r="H456" s="78">
        <v>60</v>
      </c>
      <c r="I456" s="78">
        <f t="shared" si="71"/>
        <v>0</v>
      </c>
      <c r="J456" s="80">
        <v>100</v>
      </c>
      <c r="K456" s="80">
        <v>300</v>
      </c>
      <c r="L456" s="78">
        <f t="shared" si="64"/>
        <v>1150</v>
      </c>
      <c r="M456" s="88">
        <v>600</v>
      </c>
      <c r="N456" s="78">
        <f>100</f>
        <v>100</v>
      </c>
      <c r="O456" s="80">
        <v>240</v>
      </c>
      <c r="P456" s="80">
        <v>40</v>
      </c>
      <c r="Q456" s="80">
        <f t="shared" si="65"/>
        <v>315</v>
      </c>
      <c r="R456" s="80">
        <f t="shared" si="66"/>
        <v>100</v>
      </c>
      <c r="S456" s="78">
        <f t="shared" si="67"/>
        <v>695</v>
      </c>
      <c r="T456" s="78">
        <f>50</f>
        <v>50</v>
      </c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</row>
    <row r="457" spans="1:30" ht="15.75" x14ac:dyDescent="0.25">
      <c r="A457" s="14">
        <v>54847</v>
      </c>
      <c r="B457" s="90">
        <v>28</v>
      </c>
      <c r="C457" s="78">
        <f>122.58</f>
        <v>122.58</v>
      </c>
      <c r="D457" s="78">
        <f>297.941</f>
        <v>297.94099999999997</v>
      </c>
      <c r="E457" s="86">
        <f>89.177</f>
        <v>89.177000000000007</v>
      </c>
      <c r="F457" s="78">
        <f>240.302-40-60</f>
        <v>140.30199999999999</v>
      </c>
      <c r="G457" s="80">
        <v>40</v>
      </c>
      <c r="H457" s="78">
        <v>60</v>
      </c>
      <c r="I457" s="78">
        <f t="shared" si="71"/>
        <v>0</v>
      </c>
      <c r="J457" s="80">
        <v>100</v>
      </c>
      <c r="K457" s="80">
        <v>300</v>
      </c>
      <c r="L457" s="78">
        <f t="shared" si="64"/>
        <v>1150</v>
      </c>
      <c r="M457" s="88">
        <v>600</v>
      </c>
      <c r="N457" s="78">
        <f>100</f>
        <v>100</v>
      </c>
      <c r="O457" s="80">
        <v>240</v>
      </c>
      <c r="P457" s="80">
        <v>40</v>
      </c>
      <c r="Q457" s="80">
        <f t="shared" si="65"/>
        <v>315</v>
      </c>
      <c r="R457" s="80">
        <f t="shared" si="66"/>
        <v>100</v>
      </c>
      <c r="S457" s="78">
        <f t="shared" si="67"/>
        <v>695</v>
      </c>
      <c r="T457" s="78">
        <f>50</f>
        <v>50</v>
      </c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</row>
    <row r="458" spans="1:30" ht="15.75" x14ac:dyDescent="0.25">
      <c r="A458" s="14">
        <v>54878</v>
      </c>
      <c r="B458" s="90">
        <v>31</v>
      </c>
      <c r="C458" s="78">
        <f>122.58</f>
        <v>122.58</v>
      </c>
      <c r="D458" s="78">
        <f>297.941</f>
        <v>297.94099999999997</v>
      </c>
      <c r="E458" s="86">
        <f>89.177</f>
        <v>89.177000000000007</v>
      </c>
      <c r="F458" s="78">
        <f>240.302-40-60</f>
        <v>140.30199999999999</v>
      </c>
      <c r="G458" s="80">
        <v>40</v>
      </c>
      <c r="H458" s="78">
        <v>60</v>
      </c>
      <c r="I458" s="78">
        <f t="shared" si="71"/>
        <v>0</v>
      </c>
      <c r="J458" s="80">
        <v>100</v>
      </c>
      <c r="K458" s="80">
        <v>300</v>
      </c>
      <c r="L458" s="78">
        <f t="shared" si="64"/>
        <v>1150</v>
      </c>
      <c r="M458" s="88">
        <v>600</v>
      </c>
      <c r="N458" s="78">
        <f>100</f>
        <v>100</v>
      </c>
      <c r="O458" s="80">
        <v>240</v>
      </c>
      <c r="P458" s="80">
        <v>40</v>
      </c>
      <c r="Q458" s="80">
        <f t="shared" si="65"/>
        <v>315</v>
      </c>
      <c r="R458" s="80">
        <f t="shared" si="66"/>
        <v>100</v>
      </c>
      <c r="S458" s="78">
        <f t="shared" si="67"/>
        <v>695</v>
      </c>
      <c r="T458" s="78">
        <f>50</f>
        <v>50</v>
      </c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</row>
    <row r="459" spans="1:30" ht="15.75" x14ac:dyDescent="0.25">
      <c r="A459" s="14">
        <v>54908</v>
      </c>
      <c r="B459" s="90">
        <v>30</v>
      </c>
      <c r="C459" s="78">
        <f>141.293</f>
        <v>141.29300000000001</v>
      </c>
      <c r="D459" s="78">
        <f>267.993</f>
        <v>267.99299999999999</v>
      </c>
      <c r="E459" s="86">
        <f>115.016</f>
        <v>115.01600000000001</v>
      </c>
      <c r="F459" s="78">
        <f>314.698-40-25-60</f>
        <v>189.69799999999998</v>
      </c>
      <c r="G459" s="80">
        <v>40</v>
      </c>
      <c r="H459" s="78">
        <f t="shared" ref="H459:H465" si="73">25+60</f>
        <v>85</v>
      </c>
      <c r="I459" s="78">
        <f t="shared" si="71"/>
        <v>0</v>
      </c>
      <c r="J459" s="80">
        <v>100</v>
      </c>
      <c r="K459" s="80">
        <v>300</v>
      </c>
      <c r="L459" s="78">
        <f t="shared" si="64"/>
        <v>1239</v>
      </c>
      <c r="M459" s="88">
        <v>600</v>
      </c>
      <c r="N459" s="78">
        <f>100</f>
        <v>100</v>
      </c>
      <c r="O459" s="80">
        <v>240</v>
      </c>
      <c r="P459" s="80">
        <v>160</v>
      </c>
      <c r="Q459" s="80">
        <f t="shared" si="65"/>
        <v>195</v>
      </c>
      <c r="R459" s="80">
        <f t="shared" si="66"/>
        <v>100</v>
      </c>
      <c r="S459" s="78">
        <f t="shared" si="67"/>
        <v>695</v>
      </c>
      <c r="T459" s="78">
        <f>50</f>
        <v>50</v>
      </c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</row>
    <row r="460" spans="1:30" ht="15.75" x14ac:dyDescent="0.25">
      <c r="A460" s="14">
        <v>54939</v>
      </c>
      <c r="B460" s="90">
        <v>31</v>
      </c>
      <c r="C460" s="78">
        <f>194.205</f>
        <v>194.20500000000001</v>
      </c>
      <c r="D460" s="78">
        <f>267.466</f>
        <v>267.46600000000001</v>
      </c>
      <c r="E460" s="86">
        <f>133.845</f>
        <v>133.845</v>
      </c>
      <c r="F460" s="78">
        <f>278.484-40-25-60</f>
        <v>153.48399999999998</v>
      </c>
      <c r="G460" s="80">
        <v>40</v>
      </c>
      <c r="H460" s="78">
        <f t="shared" si="73"/>
        <v>85</v>
      </c>
      <c r="I460" s="78">
        <f t="shared" si="71"/>
        <v>0</v>
      </c>
      <c r="J460" s="80">
        <v>100</v>
      </c>
      <c r="K460" s="80">
        <v>300</v>
      </c>
      <c r="L460" s="78">
        <f t="shared" si="64"/>
        <v>1274</v>
      </c>
      <c r="M460" s="88">
        <v>600</v>
      </c>
      <c r="N460" s="78">
        <f>75</f>
        <v>75</v>
      </c>
      <c r="O460" s="80">
        <v>240</v>
      </c>
      <c r="P460" s="80">
        <v>160</v>
      </c>
      <c r="Q460" s="80">
        <f t="shared" si="65"/>
        <v>195</v>
      </c>
      <c r="R460" s="80">
        <f t="shared" si="66"/>
        <v>100</v>
      </c>
      <c r="S460" s="78">
        <f t="shared" si="67"/>
        <v>695</v>
      </c>
      <c r="T460" s="78">
        <f>50</f>
        <v>50</v>
      </c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</row>
    <row r="461" spans="1:30" ht="15.75" x14ac:dyDescent="0.25">
      <c r="A461" s="14">
        <v>54969</v>
      </c>
      <c r="B461" s="90">
        <v>30</v>
      </c>
      <c r="C461" s="78">
        <f>194.205</f>
        <v>194.20500000000001</v>
      </c>
      <c r="D461" s="78">
        <f>267.466</f>
        <v>267.46600000000001</v>
      </c>
      <c r="E461" s="86">
        <f>133.845</f>
        <v>133.845</v>
      </c>
      <c r="F461" s="78">
        <f>278.484-40-25-60</f>
        <v>153.48399999999998</v>
      </c>
      <c r="G461" s="80">
        <v>40</v>
      </c>
      <c r="H461" s="78">
        <f t="shared" si="73"/>
        <v>85</v>
      </c>
      <c r="I461" s="78">
        <f t="shared" si="71"/>
        <v>0</v>
      </c>
      <c r="J461" s="80">
        <v>100</v>
      </c>
      <c r="K461" s="80">
        <v>300</v>
      </c>
      <c r="L461" s="78">
        <f t="shared" si="64"/>
        <v>1274</v>
      </c>
      <c r="M461" s="88">
        <v>600</v>
      </c>
      <c r="N461" s="78">
        <f>30</f>
        <v>30</v>
      </c>
      <c r="O461" s="80">
        <v>240</v>
      </c>
      <c r="P461" s="80">
        <v>160</v>
      </c>
      <c r="Q461" s="80">
        <f t="shared" si="65"/>
        <v>195</v>
      </c>
      <c r="R461" s="80">
        <f t="shared" si="66"/>
        <v>100</v>
      </c>
      <c r="S461" s="78">
        <f t="shared" si="67"/>
        <v>695</v>
      </c>
      <c r="T461" s="78">
        <f>50</f>
        <v>50</v>
      </c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</row>
    <row r="462" spans="1:30" ht="15.75" x14ac:dyDescent="0.25">
      <c r="A462" s="14">
        <v>55000</v>
      </c>
      <c r="B462" s="90">
        <v>31</v>
      </c>
      <c r="C462" s="78">
        <f>194.205</f>
        <v>194.20500000000001</v>
      </c>
      <c r="D462" s="78">
        <f>267.466</f>
        <v>267.46600000000001</v>
      </c>
      <c r="E462" s="86">
        <f>133.845</f>
        <v>133.845</v>
      </c>
      <c r="F462" s="78">
        <f>278.484-40-25-60</f>
        <v>153.48399999999998</v>
      </c>
      <c r="G462" s="80">
        <v>40</v>
      </c>
      <c r="H462" s="78">
        <f t="shared" si="73"/>
        <v>85</v>
      </c>
      <c r="I462" s="78">
        <f t="shared" si="71"/>
        <v>0</v>
      </c>
      <c r="J462" s="80">
        <v>100</v>
      </c>
      <c r="K462" s="80">
        <v>300</v>
      </c>
      <c r="L462" s="78">
        <f t="shared" si="64"/>
        <v>1274</v>
      </c>
      <c r="M462" s="88">
        <v>600</v>
      </c>
      <c r="N462" s="78">
        <f>30</f>
        <v>30</v>
      </c>
      <c r="O462" s="80">
        <v>240</v>
      </c>
      <c r="P462" s="80">
        <v>160</v>
      </c>
      <c r="Q462" s="80">
        <f t="shared" si="65"/>
        <v>195</v>
      </c>
      <c r="R462" s="80">
        <f t="shared" si="66"/>
        <v>100</v>
      </c>
      <c r="S462" s="78">
        <f t="shared" si="67"/>
        <v>695</v>
      </c>
      <c r="T462" s="78">
        <f>0</f>
        <v>0</v>
      </c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</row>
    <row r="463" spans="1:30" ht="15.75" x14ac:dyDescent="0.25">
      <c r="A463" s="14">
        <v>55031</v>
      </c>
      <c r="B463" s="90">
        <v>31</v>
      </c>
      <c r="C463" s="78">
        <f>194.205</f>
        <v>194.20500000000001</v>
      </c>
      <c r="D463" s="78">
        <f>267.466</f>
        <v>267.46600000000001</v>
      </c>
      <c r="E463" s="86">
        <f>133.845</f>
        <v>133.845</v>
      </c>
      <c r="F463" s="78">
        <f>278.484-40-25-60</f>
        <v>153.48399999999998</v>
      </c>
      <c r="G463" s="80">
        <v>40</v>
      </c>
      <c r="H463" s="78">
        <f t="shared" si="73"/>
        <v>85</v>
      </c>
      <c r="I463" s="78">
        <f t="shared" si="71"/>
        <v>0</v>
      </c>
      <c r="J463" s="80">
        <v>100</v>
      </c>
      <c r="K463" s="80">
        <v>300</v>
      </c>
      <c r="L463" s="78">
        <f t="shared" ref="L463:L526" si="74">SUM(C463:K463)</f>
        <v>1274</v>
      </c>
      <c r="M463" s="88">
        <v>600</v>
      </c>
      <c r="N463" s="78">
        <f>30</f>
        <v>30</v>
      </c>
      <c r="O463" s="80">
        <v>240</v>
      </c>
      <c r="P463" s="80">
        <v>160</v>
      </c>
      <c r="Q463" s="80">
        <f t="shared" ref="Q463:Q526" si="75">695-R463-O463-P463</f>
        <v>195</v>
      </c>
      <c r="R463" s="80">
        <f t="shared" ref="R463:R526" si="76">200-J463</f>
        <v>100</v>
      </c>
      <c r="S463" s="78">
        <f t="shared" ref="S463:S526" si="77">SUM(O463:R463)</f>
        <v>695</v>
      </c>
      <c r="T463" s="78">
        <f>0</f>
        <v>0</v>
      </c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</row>
    <row r="464" spans="1:30" ht="15.75" x14ac:dyDescent="0.25">
      <c r="A464" s="14">
        <v>55061</v>
      </c>
      <c r="B464" s="90">
        <v>30</v>
      </c>
      <c r="C464" s="78">
        <f>194.205</f>
        <v>194.20500000000001</v>
      </c>
      <c r="D464" s="78">
        <f>267.466</f>
        <v>267.46600000000001</v>
      </c>
      <c r="E464" s="86">
        <f>133.845</f>
        <v>133.845</v>
      </c>
      <c r="F464" s="78">
        <f>278.484-40-25-60</f>
        <v>153.48399999999998</v>
      </c>
      <c r="G464" s="80">
        <v>40</v>
      </c>
      <c r="H464" s="78">
        <f t="shared" si="73"/>
        <v>85</v>
      </c>
      <c r="I464" s="78">
        <f t="shared" si="71"/>
        <v>0</v>
      </c>
      <c r="J464" s="80">
        <v>100</v>
      </c>
      <c r="K464" s="80">
        <v>300</v>
      </c>
      <c r="L464" s="78">
        <f t="shared" si="74"/>
        <v>1274</v>
      </c>
      <c r="M464" s="88">
        <v>600</v>
      </c>
      <c r="N464" s="78">
        <f>30</f>
        <v>30</v>
      </c>
      <c r="O464" s="80">
        <v>240</v>
      </c>
      <c r="P464" s="80">
        <v>160</v>
      </c>
      <c r="Q464" s="80">
        <f t="shared" si="75"/>
        <v>195</v>
      </c>
      <c r="R464" s="80">
        <f t="shared" si="76"/>
        <v>100</v>
      </c>
      <c r="S464" s="78">
        <f t="shared" si="77"/>
        <v>695</v>
      </c>
      <c r="T464" s="78">
        <f>0</f>
        <v>0</v>
      </c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</row>
    <row r="465" spans="1:30" ht="15.75" x14ac:dyDescent="0.25">
      <c r="A465" s="14">
        <v>55092</v>
      </c>
      <c r="B465" s="90">
        <v>31</v>
      </c>
      <c r="C465" s="78">
        <f>131.881</f>
        <v>131.881</v>
      </c>
      <c r="D465" s="78">
        <f>277.167</f>
        <v>277.16699999999997</v>
      </c>
      <c r="E465" s="86">
        <f>79.08</f>
        <v>79.08</v>
      </c>
      <c r="F465" s="78">
        <f>350.872-40-25-60</f>
        <v>225.87200000000001</v>
      </c>
      <c r="G465" s="80">
        <v>40</v>
      </c>
      <c r="H465" s="78">
        <f t="shared" si="73"/>
        <v>85</v>
      </c>
      <c r="I465" s="78">
        <f t="shared" si="71"/>
        <v>0</v>
      </c>
      <c r="J465" s="80">
        <v>100</v>
      </c>
      <c r="K465" s="80">
        <v>300</v>
      </c>
      <c r="L465" s="78">
        <f t="shared" si="74"/>
        <v>1239</v>
      </c>
      <c r="M465" s="88">
        <v>600</v>
      </c>
      <c r="N465" s="78">
        <f>75</f>
        <v>75</v>
      </c>
      <c r="O465" s="80">
        <v>240</v>
      </c>
      <c r="P465" s="80">
        <v>160</v>
      </c>
      <c r="Q465" s="80">
        <f t="shared" si="75"/>
        <v>195</v>
      </c>
      <c r="R465" s="80">
        <f t="shared" si="76"/>
        <v>100</v>
      </c>
      <c r="S465" s="78">
        <f t="shared" si="77"/>
        <v>695</v>
      </c>
      <c r="T465" s="78">
        <f>0</f>
        <v>0</v>
      </c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</row>
    <row r="466" spans="1:30" ht="15.75" x14ac:dyDescent="0.25">
      <c r="A466" s="14">
        <v>55122</v>
      </c>
      <c r="B466" s="90">
        <v>30</v>
      </c>
      <c r="C466" s="78">
        <f>122.58</f>
        <v>122.58</v>
      </c>
      <c r="D466" s="78">
        <f>297.941</f>
        <v>297.94099999999997</v>
      </c>
      <c r="E466" s="86">
        <f>89.177</f>
        <v>89.177000000000007</v>
      </c>
      <c r="F466" s="78">
        <f>240.302-40-60</f>
        <v>140.30199999999999</v>
      </c>
      <c r="G466" s="80">
        <v>40</v>
      </c>
      <c r="H466" s="78">
        <v>60</v>
      </c>
      <c r="I466" s="78">
        <f t="shared" si="71"/>
        <v>0</v>
      </c>
      <c r="J466" s="80">
        <v>100</v>
      </c>
      <c r="K466" s="80">
        <v>300</v>
      </c>
      <c r="L466" s="78">
        <f t="shared" si="74"/>
        <v>1150</v>
      </c>
      <c r="M466" s="88">
        <v>600</v>
      </c>
      <c r="N466" s="78">
        <f>100</f>
        <v>100</v>
      </c>
      <c r="O466" s="80">
        <v>240</v>
      </c>
      <c r="P466" s="80">
        <v>40</v>
      </c>
      <c r="Q466" s="80">
        <f t="shared" si="75"/>
        <v>315</v>
      </c>
      <c r="R466" s="80">
        <f t="shared" si="76"/>
        <v>100</v>
      </c>
      <c r="S466" s="78">
        <f t="shared" si="77"/>
        <v>695</v>
      </c>
      <c r="T466" s="78">
        <f>50</f>
        <v>50</v>
      </c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</row>
    <row r="467" spans="1:30" ht="15.75" x14ac:dyDescent="0.25">
      <c r="A467" s="14">
        <v>55153</v>
      </c>
      <c r="B467" s="90">
        <v>31</v>
      </c>
      <c r="C467" s="78">
        <f>122.58</f>
        <v>122.58</v>
      </c>
      <c r="D467" s="78">
        <f>297.941</f>
        <v>297.94099999999997</v>
      </c>
      <c r="E467" s="86">
        <f>89.177</f>
        <v>89.177000000000007</v>
      </c>
      <c r="F467" s="78">
        <f>240.302-40-60</f>
        <v>140.30199999999999</v>
      </c>
      <c r="G467" s="80">
        <v>40</v>
      </c>
      <c r="H467" s="78">
        <v>60</v>
      </c>
      <c r="I467" s="78">
        <f t="shared" si="71"/>
        <v>0</v>
      </c>
      <c r="J467" s="80">
        <v>100</v>
      </c>
      <c r="K467" s="80">
        <v>300</v>
      </c>
      <c r="L467" s="78">
        <f t="shared" si="74"/>
        <v>1150</v>
      </c>
      <c r="M467" s="88">
        <v>600</v>
      </c>
      <c r="N467" s="78">
        <f>100</f>
        <v>100</v>
      </c>
      <c r="O467" s="80">
        <v>240</v>
      </c>
      <c r="P467" s="80">
        <v>40</v>
      </c>
      <c r="Q467" s="80">
        <f t="shared" si="75"/>
        <v>315</v>
      </c>
      <c r="R467" s="80">
        <f t="shared" si="76"/>
        <v>100</v>
      </c>
      <c r="S467" s="78">
        <f t="shared" si="77"/>
        <v>695</v>
      </c>
      <c r="T467" s="78">
        <f>50</f>
        <v>50</v>
      </c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</row>
    <row r="468" spans="1:30" ht="15.75" x14ac:dyDescent="0.25">
      <c r="A468" s="14">
        <v>55184</v>
      </c>
      <c r="B468" s="90">
        <v>31</v>
      </c>
      <c r="C468" s="78">
        <f>122.58</f>
        <v>122.58</v>
      </c>
      <c r="D468" s="78">
        <f>297.941</f>
        <v>297.94099999999997</v>
      </c>
      <c r="E468" s="86">
        <f>89.177</f>
        <v>89.177000000000007</v>
      </c>
      <c r="F468" s="78">
        <f>240.302-40-60</f>
        <v>140.30199999999999</v>
      </c>
      <c r="G468" s="80">
        <v>40</v>
      </c>
      <c r="H468" s="78">
        <v>60</v>
      </c>
      <c r="I468" s="78">
        <f t="shared" si="71"/>
        <v>0</v>
      </c>
      <c r="J468" s="80">
        <v>100</v>
      </c>
      <c r="K468" s="80">
        <v>300</v>
      </c>
      <c r="L468" s="78">
        <f t="shared" si="74"/>
        <v>1150</v>
      </c>
      <c r="M468" s="88">
        <v>600</v>
      </c>
      <c r="N468" s="78">
        <f>100</f>
        <v>100</v>
      </c>
      <c r="O468" s="80">
        <v>240</v>
      </c>
      <c r="P468" s="80">
        <v>40</v>
      </c>
      <c r="Q468" s="80">
        <f t="shared" si="75"/>
        <v>315</v>
      </c>
      <c r="R468" s="80">
        <f t="shared" si="76"/>
        <v>100</v>
      </c>
      <c r="S468" s="78">
        <f t="shared" si="77"/>
        <v>695</v>
      </c>
      <c r="T468" s="78">
        <f>50</f>
        <v>50</v>
      </c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</row>
    <row r="469" spans="1:30" ht="15.75" x14ac:dyDescent="0.25">
      <c r="A469" s="14">
        <v>55212</v>
      </c>
      <c r="B469" s="90">
        <v>28</v>
      </c>
      <c r="C469" s="78">
        <f>122.58</f>
        <v>122.58</v>
      </c>
      <c r="D469" s="78">
        <f>297.941</f>
        <v>297.94099999999997</v>
      </c>
      <c r="E469" s="86">
        <f>89.177</f>
        <v>89.177000000000007</v>
      </c>
      <c r="F469" s="78">
        <f>240.302-40-60</f>
        <v>140.30199999999999</v>
      </c>
      <c r="G469" s="80">
        <v>40</v>
      </c>
      <c r="H469" s="78">
        <v>60</v>
      </c>
      <c r="I469" s="78">
        <f t="shared" si="71"/>
        <v>0</v>
      </c>
      <c r="J469" s="80">
        <v>100</v>
      </c>
      <c r="K469" s="80">
        <v>300</v>
      </c>
      <c r="L469" s="78">
        <f t="shared" si="74"/>
        <v>1150</v>
      </c>
      <c r="M469" s="88">
        <v>600</v>
      </c>
      <c r="N469" s="78">
        <f>100</f>
        <v>100</v>
      </c>
      <c r="O469" s="80">
        <v>240</v>
      </c>
      <c r="P469" s="80">
        <v>40</v>
      </c>
      <c r="Q469" s="80">
        <f t="shared" si="75"/>
        <v>315</v>
      </c>
      <c r="R469" s="80">
        <f t="shared" si="76"/>
        <v>100</v>
      </c>
      <c r="S469" s="78">
        <f t="shared" si="77"/>
        <v>695</v>
      </c>
      <c r="T469" s="78">
        <f>50</f>
        <v>50</v>
      </c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</row>
    <row r="470" spans="1:30" ht="15.75" x14ac:dyDescent="0.25">
      <c r="A470" s="14">
        <v>55243</v>
      </c>
      <c r="B470" s="90">
        <v>31</v>
      </c>
      <c r="C470" s="78">
        <f>122.58</f>
        <v>122.58</v>
      </c>
      <c r="D470" s="78">
        <f>297.941</f>
        <v>297.94099999999997</v>
      </c>
      <c r="E470" s="86">
        <f>89.177</f>
        <v>89.177000000000007</v>
      </c>
      <c r="F470" s="78">
        <f>240.302-40-60</f>
        <v>140.30199999999999</v>
      </c>
      <c r="G470" s="80">
        <v>40</v>
      </c>
      <c r="H470" s="78">
        <v>60</v>
      </c>
      <c r="I470" s="78">
        <f t="shared" si="71"/>
        <v>0</v>
      </c>
      <c r="J470" s="80">
        <v>100</v>
      </c>
      <c r="K470" s="80">
        <v>300</v>
      </c>
      <c r="L470" s="78">
        <f t="shared" si="74"/>
        <v>1150</v>
      </c>
      <c r="M470" s="88">
        <v>600</v>
      </c>
      <c r="N470" s="78">
        <f>100</f>
        <v>100</v>
      </c>
      <c r="O470" s="80">
        <v>240</v>
      </c>
      <c r="P470" s="80">
        <v>40</v>
      </c>
      <c r="Q470" s="80">
        <f t="shared" si="75"/>
        <v>315</v>
      </c>
      <c r="R470" s="80">
        <f t="shared" si="76"/>
        <v>100</v>
      </c>
      <c r="S470" s="78">
        <f t="shared" si="77"/>
        <v>695</v>
      </c>
      <c r="T470" s="78">
        <f>50</f>
        <v>50</v>
      </c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</row>
    <row r="471" spans="1:30" ht="15.75" x14ac:dyDescent="0.25">
      <c r="A471" s="14">
        <v>55273</v>
      </c>
      <c r="B471" s="90">
        <v>30</v>
      </c>
      <c r="C471" s="78">
        <f>141.293</f>
        <v>141.29300000000001</v>
      </c>
      <c r="D471" s="78">
        <f>267.993</f>
        <v>267.99299999999999</v>
      </c>
      <c r="E471" s="86">
        <f>115.016</f>
        <v>115.01600000000001</v>
      </c>
      <c r="F471" s="78">
        <f>314.698-40-25-60</f>
        <v>189.69799999999998</v>
      </c>
      <c r="G471" s="80">
        <v>40</v>
      </c>
      <c r="H471" s="78">
        <f t="shared" ref="H471:H477" si="78">25+60</f>
        <v>85</v>
      </c>
      <c r="I471" s="78">
        <f t="shared" si="71"/>
        <v>0</v>
      </c>
      <c r="J471" s="80">
        <v>100</v>
      </c>
      <c r="K471" s="80">
        <v>300</v>
      </c>
      <c r="L471" s="78">
        <f t="shared" si="74"/>
        <v>1239</v>
      </c>
      <c r="M471" s="88">
        <v>600</v>
      </c>
      <c r="N471" s="78">
        <f>100</f>
        <v>100</v>
      </c>
      <c r="O471" s="80">
        <v>240</v>
      </c>
      <c r="P471" s="80">
        <v>160</v>
      </c>
      <c r="Q471" s="80">
        <f t="shared" si="75"/>
        <v>195</v>
      </c>
      <c r="R471" s="80">
        <f t="shared" si="76"/>
        <v>100</v>
      </c>
      <c r="S471" s="78">
        <f t="shared" si="77"/>
        <v>695</v>
      </c>
      <c r="T471" s="78">
        <f>50</f>
        <v>50</v>
      </c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</row>
    <row r="472" spans="1:30" ht="15.75" x14ac:dyDescent="0.25">
      <c r="A472" s="14">
        <v>55304</v>
      </c>
      <c r="B472" s="90">
        <v>31</v>
      </c>
      <c r="C472" s="78">
        <f>194.205</f>
        <v>194.20500000000001</v>
      </c>
      <c r="D472" s="78">
        <f>267.466</f>
        <v>267.46600000000001</v>
      </c>
      <c r="E472" s="86">
        <f>133.845</f>
        <v>133.845</v>
      </c>
      <c r="F472" s="78">
        <f>278.484-40-25-60</f>
        <v>153.48399999999998</v>
      </c>
      <c r="G472" s="80">
        <v>40</v>
      </c>
      <c r="H472" s="78">
        <f t="shared" si="78"/>
        <v>85</v>
      </c>
      <c r="I472" s="78">
        <f t="shared" si="71"/>
        <v>0</v>
      </c>
      <c r="J472" s="80">
        <v>100</v>
      </c>
      <c r="K472" s="80">
        <v>300</v>
      </c>
      <c r="L472" s="78">
        <f t="shared" si="74"/>
        <v>1274</v>
      </c>
      <c r="M472" s="88">
        <v>600</v>
      </c>
      <c r="N472" s="78">
        <f>75</f>
        <v>75</v>
      </c>
      <c r="O472" s="80">
        <v>240</v>
      </c>
      <c r="P472" s="80">
        <v>160</v>
      </c>
      <c r="Q472" s="80">
        <f t="shared" si="75"/>
        <v>195</v>
      </c>
      <c r="R472" s="80">
        <f t="shared" si="76"/>
        <v>100</v>
      </c>
      <c r="S472" s="78">
        <f t="shared" si="77"/>
        <v>695</v>
      </c>
      <c r="T472" s="78">
        <f>50</f>
        <v>50</v>
      </c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</row>
    <row r="473" spans="1:30" ht="15.75" x14ac:dyDescent="0.25">
      <c r="A473" s="14">
        <v>55334</v>
      </c>
      <c r="B473" s="90">
        <v>30</v>
      </c>
      <c r="C473" s="78">
        <f>194.205</f>
        <v>194.20500000000001</v>
      </c>
      <c r="D473" s="78">
        <f>267.466</f>
        <v>267.46600000000001</v>
      </c>
      <c r="E473" s="86">
        <f>133.845</f>
        <v>133.845</v>
      </c>
      <c r="F473" s="78">
        <f>278.484-40-25-60</f>
        <v>153.48399999999998</v>
      </c>
      <c r="G473" s="80">
        <v>40</v>
      </c>
      <c r="H473" s="78">
        <f t="shared" si="78"/>
        <v>85</v>
      </c>
      <c r="I473" s="78">
        <f t="shared" si="71"/>
        <v>0</v>
      </c>
      <c r="J473" s="80">
        <v>100</v>
      </c>
      <c r="K473" s="80">
        <v>300</v>
      </c>
      <c r="L473" s="78">
        <f t="shared" si="74"/>
        <v>1274</v>
      </c>
      <c r="M473" s="88">
        <v>600</v>
      </c>
      <c r="N473" s="78">
        <f>30</f>
        <v>30</v>
      </c>
      <c r="O473" s="80">
        <v>240</v>
      </c>
      <c r="P473" s="80">
        <v>160</v>
      </c>
      <c r="Q473" s="80">
        <f t="shared" si="75"/>
        <v>195</v>
      </c>
      <c r="R473" s="80">
        <f t="shared" si="76"/>
        <v>100</v>
      </c>
      <c r="S473" s="78">
        <f t="shared" si="77"/>
        <v>695</v>
      </c>
      <c r="T473" s="78">
        <f>50</f>
        <v>50</v>
      </c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</row>
    <row r="474" spans="1:30" ht="15.75" x14ac:dyDescent="0.25">
      <c r="A474" s="14">
        <v>55365</v>
      </c>
      <c r="B474" s="90">
        <v>31</v>
      </c>
      <c r="C474" s="78">
        <f>194.205</f>
        <v>194.20500000000001</v>
      </c>
      <c r="D474" s="78">
        <f>267.466</f>
        <v>267.46600000000001</v>
      </c>
      <c r="E474" s="86">
        <f>133.845</f>
        <v>133.845</v>
      </c>
      <c r="F474" s="78">
        <f>278.484-40-25-60</f>
        <v>153.48399999999998</v>
      </c>
      <c r="G474" s="80">
        <v>40</v>
      </c>
      <c r="H474" s="78">
        <f t="shared" si="78"/>
        <v>85</v>
      </c>
      <c r="I474" s="78">
        <f t="shared" si="71"/>
        <v>0</v>
      </c>
      <c r="J474" s="80">
        <v>100</v>
      </c>
      <c r="K474" s="80">
        <v>300</v>
      </c>
      <c r="L474" s="78">
        <f t="shared" si="74"/>
        <v>1274</v>
      </c>
      <c r="M474" s="88">
        <v>600</v>
      </c>
      <c r="N474" s="78">
        <f>30</f>
        <v>30</v>
      </c>
      <c r="O474" s="80">
        <v>240</v>
      </c>
      <c r="P474" s="80">
        <v>160</v>
      </c>
      <c r="Q474" s="80">
        <f t="shared" si="75"/>
        <v>195</v>
      </c>
      <c r="R474" s="80">
        <f t="shared" si="76"/>
        <v>100</v>
      </c>
      <c r="S474" s="78">
        <f t="shared" si="77"/>
        <v>695</v>
      </c>
      <c r="T474" s="78">
        <f>0</f>
        <v>0</v>
      </c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</row>
    <row r="475" spans="1:30" ht="15.75" x14ac:dyDescent="0.25">
      <c r="A475" s="14">
        <v>55396</v>
      </c>
      <c r="B475" s="90">
        <v>31</v>
      </c>
      <c r="C475" s="78">
        <f>194.205</f>
        <v>194.20500000000001</v>
      </c>
      <c r="D475" s="78">
        <f>267.466</f>
        <v>267.46600000000001</v>
      </c>
      <c r="E475" s="86">
        <f>133.845</f>
        <v>133.845</v>
      </c>
      <c r="F475" s="78">
        <f>278.484-40-25-60</f>
        <v>153.48399999999998</v>
      </c>
      <c r="G475" s="80">
        <v>40</v>
      </c>
      <c r="H475" s="78">
        <f t="shared" si="78"/>
        <v>85</v>
      </c>
      <c r="I475" s="78">
        <f t="shared" si="71"/>
        <v>0</v>
      </c>
      <c r="J475" s="80">
        <v>100</v>
      </c>
      <c r="K475" s="80">
        <v>300</v>
      </c>
      <c r="L475" s="78">
        <f t="shared" si="74"/>
        <v>1274</v>
      </c>
      <c r="M475" s="88">
        <v>600</v>
      </c>
      <c r="N475" s="78">
        <f>30</f>
        <v>30</v>
      </c>
      <c r="O475" s="80">
        <v>240</v>
      </c>
      <c r="P475" s="80">
        <v>160</v>
      </c>
      <c r="Q475" s="80">
        <f t="shared" si="75"/>
        <v>195</v>
      </c>
      <c r="R475" s="80">
        <f t="shared" si="76"/>
        <v>100</v>
      </c>
      <c r="S475" s="78">
        <f t="shared" si="77"/>
        <v>695</v>
      </c>
      <c r="T475" s="78">
        <f>0</f>
        <v>0</v>
      </c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</row>
    <row r="476" spans="1:30" ht="15.75" x14ac:dyDescent="0.25">
      <c r="A476" s="14">
        <v>55426</v>
      </c>
      <c r="B476" s="90">
        <v>30</v>
      </c>
      <c r="C476" s="78">
        <f>194.205</f>
        <v>194.20500000000001</v>
      </c>
      <c r="D476" s="78">
        <f>267.466</f>
        <v>267.46600000000001</v>
      </c>
      <c r="E476" s="86">
        <f>133.845</f>
        <v>133.845</v>
      </c>
      <c r="F476" s="78">
        <f>278.484-40-25-60</f>
        <v>153.48399999999998</v>
      </c>
      <c r="G476" s="80">
        <v>40</v>
      </c>
      <c r="H476" s="78">
        <f t="shared" si="78"/>
        <v>85</v>
      </c>
      <c r="I476" s="78">
        <f t="shared" si="71"/>
        <v>0</v>
      </c>
      <c r="J476" s="80">
        <v>100</v>
      </c>
      <c r="K476" s="80">
        <v>300</v>
      </c>
      <c r="L476" s="78">
        <f t="shared" si="74"/>
        <v>1274</v>
      </c>
      <c r="M476" s="88">
        <v>600</v>
      </c>
      <c r="N476" s="78">
        <f>30</f>
        <v>30</v>
      </c>
      <c r="O476" s="80">
        <v>240</v>
      </c>
      <c r="P476" s="80">
        <v>160</v>
      </c>
      <c r="Q476" s="80">
        <f t="shared" si="75"/>
        <v>195</v>
      </c>
      <c r="R476" s="80">
        <f t="shared" si="76"/>
        <v>100</v>
      </c>
      <c r="S476" s="78">
        <f t="shared" si="77"/>
        <v>695</v>
      </c>
      <c r="T476" s="78">
        <f>0</f>
        <v>0</v>
      </c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</row>
    <row r="477" spans="1:30" ht="15.75" x14ac:dyDescent="0.25">
      <c r="A477" s="14">
        <v>55457</v>
      </c>
      <c r="B477" s="90">
        <v>31</v>
      </c>
      <c r="C477" s="78">
        <f>131.881</f>
        <v>131.881</v>
      </c>
      <c r="D477" s="78">
        <f>277.167</f>
        <v>277.16699999999997</v>
      </c>
      <c r="E477" s="86">
        <f>79.08</f>
        <v>79.08</v>
      </c>
      <c r="F477" s="78">
        <f>350.872-40-25-60</f>
        <v>225.87200000000001</v>
      </c>
      <c r="G477" s="80">
        <v>40</v>
      </c>
      <c r="H477" s="78">
        <f t="shared" si="78"/>
        <v>85</v>
      </c>
      <c r="I477" s="78">
        <f t="shared" si="71"/>
        <v>0</v>
      </c>
      <c r="J477" s="80">
        <v>100</v>
      </c>
      <c r="K477" s="80">
        <v>300</v>
      </c>
      <c r="L477" s="78">
        <f t="shared" si="74"/>
        <v>1239</v>
      </c>
      <c r="M477" s="88">
        <v>600</v>
      </c>
      <c r="N477" s="78">
        <f>75</f>
        <v>75</v>
      </c>
      <c r="O477" s="80">
        <v>240</v>
      </c>
      <c r="P477" s="80">
        <v>160</v>
      </c>
      <c r="Q477" s="80">
        <f t="shared" si="75"/>
        <v>195</v>
      </c>
      <c r="R477" s="80">
        <f t="shared" si="76"/>
        <v>100</v>
      </c>
      <c r="S477" s="78">
        <f t="shared" si="77"/>
        <v>695</v>
      </c>
      <c r="T477" s="78">
        <f>0</f>
        <v>0</v>
      </c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</row>
    <row r="478" spans="1:30" ht="15.75" x14ac:dyDescent="0.25">
      <c r="A478" s="14">
        <v>55487</v>
      </c>
      <c r="B478" s="90">
        <v>30</v>
      </c>
      <c r="C478" s="78">
        <f>122.58</f>
        <v>122.58</v>
      </c>
      <c r="D478" s="78">
        <f>297.941</f>
        <v>297.94099999999997</v>
      </c>
      <c r="E478" s="86">
        <f>89.177</f>
        <v>89.177000000000007</v>
      </c>
      <c r="F478" s="78">
        <f>240.302-40-60</f>
        <v>140.30199999999999</v>
      </c>
      <c r="G478" s="80">
        <v>40</v>
      </c>
      <c r="H478" s="78">
        <v>60</v>
      </c>
      <c r="I478" s="78">
        <f t="shared" si="71"/>
        <v>0</v>
      </c>
      <c r="J478" s="80">
        <v>100</v>
      </c>
      <c r="K478" s="80">
        <v>300</v>
      </c>
      <c r="L478" s="78">
        <f t="shared" si="74"/>
        <v>1150</v>
      </c>
      <c r="M478" s="88">
        <v>600</v>
      </c>
      <c r="N478" s="78">
        <f>100</f>
        <v>100</v>
      </c>
      <c r="O478" s="80">
        <v>240</v>
      </c>
      <c r="P478" s="80">
        <v>40</v>
      </c>
      <c r="Q478" s="80">
        <f t="shared" si="75"/>
        <v>315</v>
      </c>
      <c r="R478" s="80">
        <f t="shared" si="76"/>
        <v>100</v>
      </c>
      <c r="S478" s="78">
        <f t="shared" si="77"/>
        <v>695</v>
      </c>
      <c r="T478" s="78">
        <f>50</f>
        <v>50</v>
      </c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</row>
    <row r="479" spans="1:30" ht="15.75" x14ac:dyDescent="0.25">
      <c r="A479" s="14">
        <v>55518</v>
      </c>
      <c r="B479" s="90">
        <v>31</v>
      </c>
      <c r="C479" s="78">
        <f>122.58</f>
        <v>122.58</v>
      </c>
      <c r="D479" s="78">
        <f>297.941</f>
        <v>297.94099999999997</v>
      </c>
      <c r="E479" s="86">
        <f>89.177</f>
        <v>89.177000000000007</v>
      </c>
      <c r="F479" s="78">
        <f>240.302-40-60</f>
        <v>140.30199999999999</v>
      </c>
      <c r="G479" s="80">
        <v>40</v>
      </c>
      <c r="H479" s="78">
        <v>60</v>
      </c>
      <c r="I479" s="78">
        <f t="shared" si="71"/>
        <v>0</v>
      </c>
      <c r="J479" s="80">
        <v>100</v>
      </c>
      <c r="K479" s="80">
        <v>300</v>
      </c>
      <c r="L479" s="78">
        <f t="shared" si="74"/>
        <v>1150</v>
      </c>
      <c r="M479" s="88">
        <v>600</v>
      </c>
      <c r="N479" s="78">
        <f>100</f>
        <v>100</v>
      </c>
      <c r="O479" s="80">
        <v>240</v>
      </c>
      <c r="P479" s="80">
        <v>40</v>
      </c>
      <c r="Q479" s="80">
        <f t="shared" si="75"/>
        <v>315</v>
      </c>
      <c r="R479" s="80">
        <f t="shared" si="76"/>
        <v>100</v>
      </c>
      <c r="S479" s="78">
        <f t="shared" si="77"/>
        <v>695</v>
      </c>
      <c r="T479" s="78">
        <f>50</f>
        <v>50</v>
      </c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</row>
    <row r="480" spans="1:30" ht="15.75" x14ac:dyDescent="0.25">
      <c r="A480" s="14">
        <v>55549</v>
      </c>
      <c r="B480" s="90">
        <v>31</v>
      </c>
      <c r="C480" s="78">
        <f>122.58</f>
        <v>122.58</v>
      </c>
      <c r="D480" s="78">
        <f>297.941</f>
        <v>297.94099999999997</v>
      </c>
      <c r="E480" s="86">
        <f>89.177</f>
        <v>89.177000000000007</v>
      </c>
      <c r="F480" s="78">
        <f>240.302-40-60</f>
        <v>140.30199999999999</v>
      </c>
      <c r="G480" s="80">
        <v>40</v>
      </c>
      <c r="H480" s="78">
        <v>60</v>
      </c>
      <c r="I480" s="78">
        <f t="shared" si="71"/>
        <v>0</v>
      </c>
      <c r="J480" s="80">
        <v>100</v>
      </c>
      <c r="K480" s="80">
        <v>300</v>
      </c>
      <c r="L480" s="78">
        <f t="shared" si="74"/>
        <v>1150</v>
      </c>
      <c r="M480" s="88">
        <v>600</v>
      </c>
      <c r="N480" s="78">
        <f>100</f>
        <v>100</v>
      </c>
      <c r="O480" s="80">
        <v>240</v>
      </c>
      <c r="P480" s="80">
        <v>40</v>
      </c>
      <c r="Q480" s="80">
        <f t="shared" si="75"/>
        <v>315</v>
      </c>
      <c r="R480" s="80">
        <f t="shared" si="76"/>
        <v>100</v>
      </c>
      <c r="S480" s="78">
        <f t="shared" si="77"/>
        <v>695</v>
      </c>
      <c r="T480" s="78">
        <f>50</f>
        <v>50</v>
      </c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</row>
    <row r="481" spans="1:30" ht="15.75" x14ac:dyDescent="0.25">
      <c r="A481" s="14">
        <v>55577</v>
      </c>
      <c r="B481" s="90">
        <v>29</v>
      </c>
      <c r="C481" s="78">
        <f>122.58</f>
        <v>122.58</v>
      </c>
      <c r="D481" s="78">
        <f>297.941</f>
        <v>297.94099999999997</v>
      </c>
      <c r="E481" s="86">
        <f>89.177</f>
        <v>89.177000000000007</v>
      </c>
      <c r="F481" s="78">
        <f>240.302-40-60</f>
        <v>140.30199999999999</v>
      </c>
      <c r="G481" s="80">
        <v>40</v>
      </c>
      <c r="H481" s="78">
        <v>60</v>
      </c>
      <c r="I481" s="78">
        <f t="shared" si="71"/>
        <v>0</v>
      </c>
      <c r="J481" s="80">
        <v>100</v>
      </c>
      <c r="K481" s="80">
        <v>300</v>
      </c>
      <c r="L481" s="78">
        <f t="shared" si="74"/>
        <v>1150</v>
      </c>
      <c r="M481" s="88">
        <v>600</v>
      </c>
      <c r="N481" s="78">
        <f>100</f>
        <v>100</v>
      </c>
      <c r="O481" s="80">
        <v>240</v>
      </c>
      <c r="P481" s="80">
        <v>40</v>
      </c>
      <c r="Q481" s="80">
        <f t="shared" si="75"/>
        <v>315</v>
      </c>
      <c r="R481" s="80">
        <f t="shared" si="76"/>
        <v>100</v>
      </c>
      <c r="S481" s="78">
        <f t="shared" si="77"/>
        <v>695</v>
      </c>
      <c r="T481" s="78">
        <f>50</f>
        <v>50</v>
      </c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</row>
    <row r="482" spans="1:30" ht="15.75" x14ac:dyDescent="0.25">
      <c r="A482" s="14">
        <v>55609</v>
      </c>
      <c r="B482" s="90">
        <v>31</v>
      </c>
      <c r="C482" s="78">
        <f>122.58</f>
        <v>122.58</v>
      </c>
      <c r="D482" s="78">
        <f>297.941</f>
        <v>297.94099999999997</v>
      </c>
      <c r="E482" s="86">
        <f>89.177</f>
        <v>89.177000000000007</v>
      </c>
      <c r="F482" s="78">
        <f>240.302-40-60</f>
        <v>140.30199999999999</v>
      </c>
      <c r="G482" s="80">
        <v>40</v>
      </c>
      <c r="H482" s="78">
        <v>60</v>
      </c>
      <c r="I482" s="78">
        <f t="shared" si="71"/>
        <v>0</v>
      </c>
      <c r="J482" s="80">
        <v>100</v>
      </c>
      <c r="K482" s="80">
        <v>300</v>
      </c>
      <c r="L482" s="78">
        <f t="shared" si="74"/>
        <v>1150</v>
      </c>
      <c r="M482" s="88">
        <v>600</v>
      </c>
      <c r="N482" s="78">
        <f>100</f>
        <v>100</v>
      </c>
      <c r="O482" s="80">
        <v>240</v>
      </c>
      <c r="P482" s="80">
        <v>40</v>
      </c>
      <c r="Q482" s="80">
        <f t="shared" si="75"/>
        <v>315</v>
      </c>
      <c r="R482" s="80">
        <f t="shared" si="76"/>
        <v>100</v>
      </c>
      <c r="S482" s="78">
        <f t="shared" si="77"/>
        <v>695</v>
      </c>
      <c r="T482" s="78">
        <f>50</f>
        <v>50</v>
      </c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</row>
    <row r="483" spans="1:30" ht="15.75" x14ac:dyDescent="0.25">
      <c r="A483" s="14">
        <v>55639</v>
      </c>
      <c r="B483" s="90">
        <v>30</v>
      </c>
      <c r="C483" s="78">
        <f>141.293</f>
        <v>141.29300000000001</v>
      </c>
      <c r="D483" s="78">
        <f>267.993</f>
        <v>267.99299999999999</v>
      </c>
      <c r="E483" s="86">
        <f>115.016</f>
        <v>115.01600000000001</v>
      </c>
      <c r="F483" s="78">
        <f>314.698-40-25-60</f>
        <v>189.69799999999998</v>
      </c>
      <c r="G483" s="80">
        <v>40</v>
      </c>
      <c r="H483" s="78">
        <f t="shared" ref="H483:H489" si="79">25+60</f>
        <v>85</v>
      </c>
      <c r="I483" s="78">
        <f t="shared" si="71"/>
        <v>0</v>
      </c>
      <c r="J483" s="80">
        <v>100</v>
      </c>
      <c r="K483" s="80">
        <v>300</v>
      </c>
      <c r="L483" s="78">
        <f t="shared" si="74"/>
        <v>1239</v>
      </c>
      <c r="M483" s="88">
        <v>600</v>
      </c>
      <c r="N483" s="78">
        <f>100</f>
        <v>100</v>
      </c>
      <c r="O483" s="80">
        <v>240</v>
      </c>
      <c r="P483" s="80">
        <v>160</v>
      </c>
      <c r="Q483" s="80">
        <f t="shared" si="75"/>
        <v>195</v>
      </c>
      <c r="R483" s="80">
        <f t="shared" si="76"/>
        <v>100</v>
      </c>
      <c r="S483" s="78">
        <f t="shared" si="77"/>
        <v>695</v>
      </c>
      <c r="T483" s="78">
        <f>50</f>
        <v>50</v>
      </c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</row>
    <row r="484" spans="1:30" ht="15.75" x14ac:dyDescent="0.25">
      <c r="A484" s="14">
        <v>55670</v>
      </c>
      <c r="B484" s="90">
        <v>31</v>
      </c>
      <c r="C484" s="78">
        <f>194.205</f>
        <v>194.20500000000001</v>
      </c>
      <c r="D484" s="78">
        <f>267.466</f>
        <v>267.46600000000001</v>
      </c>
      <c r="E484" s="86">
        <f>133.845</f>
        <v>133.845</v>
      </c>
      <c r="F484" s="78">
        <f>278.484-40-25-60</f>
        <v>153.48399999999998</v>
      </c>
      <c r="G484" s="80">
        <v>40</v>
      </c>
      <c r="H484" s="78">
        <f t="shared" si="79"/>
        <v>85</v>
      </c>
      <c r="I484" s="78">
        <f t="shared" si="71"/>
        <v>0</v>
      </c>
      <c r="J484" s="80">
        <v>100</v>
      </c>
      <c r="K484" s="80">
        <v>300</v>
      </c>
      <c r="L484" s="78">
        <f t="shared" si="74"/>
        <v>1274</v>
      </c>
      <c r="M484" s="88">
        <v>600</v>
      </c>
      <c r="N484" s="78">
        <f>75</f>
        <v>75</v>
      </c>
      <c r="O484" s="80">
        <v>240</v>
      </c>
      <c r="P484" s="80">
        <v>160</v>
      </c>
      <c r="Q484" s="80">
        <f t="shared" si="75"/>
        <v>195</v>
      </c>
      <c r="R484" s="80">
        <f t="shared" si="76"/>
        <v>100</v>
      </c>
      <c r="S484" s="78">
        <f t="shared" si="77"/>
        <v>695</v>
      </c>
      <c r="T484" s="78">
        <f>50</f>
        <v>50</v>
      </c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</row>
    <row r="485" spans="1:30" ht="15.75" x14ac:dyDescent="0.25">
      <c r="A485" s="14">
        <v>55700</v>
      </c>
      <c r="B485" s="90">
        <v>30</v>
      </c>
      <c r="C485" s="78">
        <f>194.205</f>
        <v>194.20500000000001</v>
      </c>
      <c r="D485" s="78">
        <f>267.466</f>
        <v>267.46600000000001</v>
      </c>
      <c r="E485" s="86">
        <f>133.845</f>
        <v>133.845</v>
      </c>
      <c r="F485" s="78">
        <f>278.484-40-25-60</f>
        <v>153.48399999999998</v>
      </c>
      <c r="G485" s="80">
        <v>40</v>
      </c>
      <c r="H485" s="78">
        <f t="shared" si="79"/>
        <v>85</v>
      </c>
      <c r="I485" s="78">
        <f t="shared" si="71"/>
        <v>0</v>
      </c>
      <c r="J485" s="80">
        <v>100</v>
      </c>
      <c r="K485" s="80">
        <v>300</v>
      </c>
      <c r="L485" s="78">
        <f t="shared" si="74"/>
        <v>1274</v>
      </c>
      <c r="M485" s="88">
        <v>600</v>
      </c>
      <c r="N485" s="78">
        <f>30</f>
        <v>30</v>
      </c>
      <c r="O485" s="80">
        <v>240</v>
      </c>
      <c r="P485" s="80">
        <v>160</v>
      </c>
      <c r="Q485" s="80">
        <f t="shared" si="75"/>
        <v>195</v>
      </c>
      <c r="R485" s="80">
        <f t="shared" si="76"/>
        <v>100</v>
      </c>
      <c r="S485" s="78">
        <f t="shared" si="77"/>
        <v>695</v>
      </c>
      <c r="T485" s="78">
        <f>50</f>
        <v>50</v>
      </c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</row>
    <row r="486" spans="1:30" ht="15.75" x14ac:dyDescent="0.25">
      <c r="A486" s="14">
        <v>55731</v>
      </c>
      <c r="B486" s="90">
        <v>31</v>
      </c>
      <c r="C486" s="78">
        <f>194.205</f>
        <v>194.20500000000001</v>
      </c>
      <c r="D486" s="78">
        <f>267.466</f>
        <v>267.46600000000001</v>
      </c>
      <c r="E486" s="86">
        <f>133.845</f>
        <v>133.845</v>
      </c>
      <c r="F486" s="78">
        <f>278.484-40-25-60</f>
        <v>153.48399999999998</v>
      </c>
      <c r="G486" s="80">
        <v>40</v>
      </c>
      <c r="H486" s="78">
        <f t="shared" si="79"/>
        <v>85</v>
      </c>
      <c r="I486" s="78">
        <f t="shared" si="71"/>
        <v>0</v>
      </c>
      <c r="J486" s="80">
        <v>100</v>
      </c>
      <c r="K486" s="80">
        <v>300</v>
      </c>
      <c r="L486" s="78">
        <f t="shared" si="74"/>
        <v>1274</v>
      </c>
      <c r="M486" s="88">
        <v>600</v>
      </c>
      <c r="N486" s="78">
        <f>30</f>
        <v>30</v>
      </c>
      <c r="O486" s="80">
        <v>240</v>
      </c>
      <c r="P486" s="80">
        <v>160</v>
      </c>
      <c r="Q486" s="80">
        <f t="shared" si="75"/>
        <v>195</v>
      </c>
      <c r="R486" s="80">
        <f t="shared" si="76"/>
        <v>100</v>
      </c>
      <c r="S486" s="78">
        <f t="shared" si="77"/>
        <v>695</v>
      </c>
      <c r="T486" s="78">
        <f>0</f>
        <v>0</v>
      </c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</row>
    <row r="487" spans="1:30" ht="15.75" x14ac:dyDescent="0.25">
      <c r="A487" s="14">
        <v>55762</v>
      </c>
      <c r="B487" s="90">
        <v>31</v>
      </c>
      <c r="C487" s="78">
        <f>194.205</f>
        <v>194.20500000000001</v>
      </c>
      <c r="D487" s="78">
        <f>267.466</f>
        <v>267.46600000000001</v>
      </c>
      <c r="E487" s="86">
        <f>133.845</f>
        <v>133.845</v>
      </c>
      <c r="F487" s="78">
        <f>278.484-40-25-60</f>
        <v>153.48399999999998</v>
      </c>
      <c r="G487" s="80">
        <v>40</v>
      </c>
      <c r="H487" s="78">
        <f t="shared" si="79"/>
        <v>85</v>
      </c>
      <c r="I487" s="78">
        <f t="shared" si="71"/>
        <v>0</v>
      </c>
      <c r="J487" s="80">
        <v>100</v>
      </c>
      <c r="K487" s="80">
        <v>300</v>
      </c>
      <c r="L487" s="78">
        <f t="shared" si="74"/>
        <v>1274</v>
      </c>
      <c r="M487" s="88">
        <v>600</v>
      </c>
      <c r="N487" s="78">
        <f>30</f>
        <v>30</v>
      </c>
      <c r="O487" s="80">
        <v>240</v>
      </c>
      <c r="P487" s="80">
        <v>160</v>
      </c>
      <c r="Q487" s="80">
        <f t="shared" si="75"/>
        <v>195</v>
      </c>
      <c r="R487" s="80">
        <f t="shared" si="76"/>
        <v>100</v>
      </c>
      <c r="S487" s="78">
        <f t="shared" si="77"/>
        <v>695</v>
      </c>
      <c r="T487" s="78">
        <f>0</f>
        <v>0</v>
      </c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</row>
    <row r="488" spans="1:30" ht="15.75" x14ac:dyDescent="0.25">
      <c r="A488" s="14">
        <v>55792</v>
      </c>
      <c r="B488" s="90">
        <v>30</v>
      </c>
      <c r="C488" s="78">
        <f>194.205</f>
        <v>194.20500000000001</v>
      </c>
      <c r="D488" s="78">
        <f>267.466</f>
        <v>267.46600000000001</v>
      </c>
      <c r="E488" s="86">
        <f>133.845</f>
        <v>133.845</v>
      </c>
      <c r="F488" s="78">
        <f>278.484-40-25-60</f>
        <v>153.48399999999998</v>
      </c>
      <c r="G488" s="80">
        <v>40</v>
      </c>
      <c r="H488" s="78">
        <f t="shared" si="79"/>
        <v>85</v>
      </c>
      <c r="I488" s="78">
        <f t="shared" si="71"/>
        <v>0</v>
      </c>
      <c r="J488" s="80">
        <v>100</v>
      </c>
      <c r="K488" s="80">
        <v>300</v>
      </c>
      <c r="L488" s="78">
        <f t="shared" si="74"/>
        <v>1274</v>
      </c>
      <c r="M488" s="88">
        <v>600</v>
      </c>
      <c r="N488" s="78">
        <f>30</f>
        <v>30</v>
      </c>
      <c r="O488" s="80">
        <v>240</v>
      </c>
      <c r="P488" s="80">
        <v>160</v>
      </c>
      <c r="Q488" s="80">
        <f t="shared" si="75"/>
        <v>195</v>
      </c>
      <c r="R488" s="80">
        <f t="shared" si="76"/>
        <v>100</v>
      </c>
      <c r="S488" s="78">
        <f t="shared" si="77"/>
        <v>695</v>
      </c>
      <c r="T488" s="78">
        <f>0</f>
        <v>0</v>
      </c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</row>
    <row r="489" spans="1:30" ht="15.75" x14ac:dyDescent="0.25">
      <c r="A489" s="14">
        <v>55823</v>
      </c>
      <c r="B489" s="90">
        <v>31</v>
      </c>
      <c r="C489" s="78">
        <f>131.881</f>
        <v>131.881</v>
      </c>
      <c r="D489" s="78">
        <f>277.167</f>
        <v>277.16699999999997</v>
      </c>
      <c r="E489" s="86">
        <f>79.08</f>
        <v>79.08</v>
      </c>
      <c r="F489" s="78">
        <f>350.872-40-25-60</f>
        <v>225.87200000000001</v>
      </c>
      <c r="G489" s="80">
        <v>40</v>
      </c>
      <c r="H489" s="78">
        <f t="shared" si="79"/>
        <v>85</v>
      </c>
      <c r="I489" s="78">
        <f t="shared" si="71"/>
        <v>0</v>
      </c>
      <c r="J489" s="80">
        <v>100</v>
      </c>
      <c r="K489" s="80">
        <v>300</v>
      </c>
      <c r="L489" s="78">
        <f t="shared" si="74"/>
        <v>1239</v>
      </c>
      <c r="M489" s="88">
        <v>600</v>
      </c>
      <c r="N489" s="78">
        <f>75</f>
        <v>75</v>
      </c>
      <c r="O489" s="80">
        <v>240</v>
      </c>
      <c r="P489" s="80">
        <v>160</v>
      </c>
      <c r="Q489" s="80">
        <f t="shared" si="75"/>
        <v>195</v>
      </c>
      <c r="R489" s="80">
        <f t="shared" si="76"/>
        <v>100</v>
      </c>
      <c r="S489" s="78">
        <f t="shared" si="77"/>
        <v>695</v>
      </c>
      <c r="T489" s="78">
        <f>0</f>
        <v>0</v>
      </c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</row>
    <row r="490" spans="1:30" ht="15.75" x14ac:dyDescent="0.25">
      <c r="A490" s="14">
        <v>55853</v>
      </c>
      <c r="B490" s="90">
        <v>30</v>
      </c>
      <c r="C490" s="78">
        <f>122.58</f>
        <v>122.58</v>
      </c>
      <c r="D490" s="78">
        <f>297.941</f>
        <v>297.94099999999997</v>
      </c>
      <c r="E490" s="86">
        <f>89.177</f>
        <v>89.177000000000007</v>
      </c>
      <c r="F490" s="78">
        <f>240.302-40-60</f>
        <v>140.30199999999999</v>
      </c>
      <c r="G490" s="80">
        <v>40</v>
      </c>
      <c r="H490" s="78">
        <v>60</v>
      </c>
      <c r="I490" s="78">
        <f t="shared" si="71"/>
        <v>0</v>
      </c>
      <c r="J490" s="80">
        <v>100</v>
      </c>
      <c r="K490" s="80">
        <v>300</v>
      </c>
      <c r="L490" s="78">
        <f t="shared" si="74"/>
        <v>1150</v>
      </c>
      <c r="M490" s="88">
        <v>600</v>
      </c>
      <c r="N490" s="78">
        <f>100</f>
        <v>100</v>
      </c>
      <c r="O490" s="80">
        <v>240</v>
      </c>
      <c r="P490" s="80">
        <v>40</v>
      </c>
      <c r="Q490" s="80">
        <f t="shared" si="75"/>
        <v>315</v>
      </c>
      <c r="R490" s="80">
        <f t="shared" si="76"/>
        <v>100</v>
      </c>
      <c r="S490" s="78">
        <f t="shared" si="77"/>
        <v>695</v>
      </c>
      <c r="T490" s="78">
        <f>50</f>
        <v>50</v>
      </c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</row>
    <row r="491" spans="1:30" ht="15.75" x14ac:dyDescent="0.25">
      <c r="A491" s="14">
        <v>55884</v>
      </c>
      <c r="B491" s="90">
        <v>31</v>
      </c>
      <c r="C491" s="78">
        <f>122.58</f>
        <v>122.58</v>
      </c>
      <c r="D491" s="78">
        <f>297.941</f>
        <v>297.94099999999997</v>
      </c>
      <c r="E491" s="86">
        <f>89.177</f>
        <v>89.177000000000007</v>
      </c>
      <c r="F491" s="78">
        <f>240.302-40-60</f>
        <v>140.30199999999999</v>
      </c>
      <c r="G491" s="80">
        <v>40</v>
      </c>
      <c r="H491" s="78">
        <v>60</v>
      </c>
      <c r="I491" s="78">
        <f t="shared" si="71"/>
        <v>0</v>
      </c>
      <c r="J491" s="80">
        <v>100</v>
      </c>
      <c r="K491" s="80">
        <v>300</v>
      </c>
      <c r="L491" s="78">
        <f t="shared" si="74"/>
        <v>1150</v>
      </c>
      <c r="M491" s="88">
        <v>600</v>
      </c>
      <c r="N491" s="78">
        <f>100</f>
        <v>100</v>
      </c>
      <c r="O491" s="80">
        <v>240</v>
      </c>
      <c r="P491" s="80">
        <v>40</v>
      </c>
      <c r="Q491" s="80">
        <f t="shared" si="75"/>
        <v>315</v>
      </c>
      <c r="R491" s="80">
        <f t="shared" si="76"/>
        <v>100</v>
      </c>
      <c r="S491" s="78">
        <f t="shared" si="77"/>
        <v>695</v>
      </c>
      <c r="T491" s="78">
        <f>50</f>
        <v>50</v>
      </c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</row>
    <row r="492" spans="1:30" ht="15.75" x14ac:dyDescent="0.25">
      <c r="A492" s="14">
        <v>55915</v>
      </c>
      <c r="B492" s="90">
        <v>31</v>
      </c>
      <c r="C492" s="78">
        <f>122.58</f>
        <v>122.58</v>
      </c>
      <c r="D492" s="78">
        <f>297.941</f>
        <v>297.94099999999997</v>
      </c>
      <c r="E492" s="86">
        <f>89.177</f>
        <v>89.177000000000007</v>
      </c>
      <c r="F492" s="78">
        <f>240.302-40-60</f>
        <v>140.30199999999999</v>
      </c>
      <c r="G492" s="80">
        <v>40</v>
      </c>
      <c r="H492" s="78">
        <v>60</v>
      </c>
      <c r="I492" s="78">
        <f t="shared" si="71"/>
        <v>0</v>
      </c>
      <c r="J492" s="80">
        <v>100</v>
      </c>
      <c r="K492" s="80">
        <v>300</v>
      </c>
      <c r="L492" s="78">
        <f t="shared" si="74"/>
        <v>1150</v>
      </c>
      <c r="M492" s="88">
        <v>600</v>
      </c>
      <c r="N492" s="78">
        <f>100</f>
        <v>100</v>
      </c>
      <c r="O492" s="80">
        <v>240</v>
      </c>
      <c r="P492" s="80">
        <v>40</v>
      </c>
      <c r="Q492" s="80">
        <f t="shared" si="75"/>
        <v>315</v>
      </c>
      <c r="R492" s="80">
        <f t="shared" si="76"/>
        <v>100</v>
      </c>
      <c r="S492" s="78">
        <f t="shared" si="77"/>
        <v>695</v>
      </c>
      <c r="T492" s="78">
        <f>50</f>
        <v>50</v>
      </c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</row>
    <row r="493" spans="1:30" ht="15.75" x14ac:dyDescent="0.25">
      <c r="A493" s="14">
        <v>55943</v>
      </c>
      <c r="B493" s="90">
        <v>28</v>
      </c>
      <c r="C493" s="78">
        <f>122.58</f>
        <v>122.58</v>
      </c>
      <c r="D493" s="78">
        <f>297.941</f>
        <v>297.94099999999997</v>
      </c>
      <c r="E493" s="86">
        <f>89.177</f>
        <v>89.177000000000007</v>
      </c>
      <c r="F493" s="78">
        <f>240.302-40-60</f>
        <v>140.30199999999999</v>
      </c>
      <c r="G493" s="80">
        <v>40</v>
      </c>
      <c r="H493" s="78">
        <v>60</v>
      </c>
      <c r="I493" s="78">
        <f t="shared" si="71"/>
        <v>0</v>
      </c>
      <c r="J493" s="80">
        <v>100</v>
      </c>
      <c r="K493" s="80">
        <v>300</v>
      </c>
      <c r="L493" s="78">
        <f t="shared" si="74"/>
        <v>1150</v>
      </c>
      <c r="M493" s="88">
        <v>600</v>
      </c>
      <c r="N493" s="78">
        <f>100</f>
        <v>100</v>
      </c>
      <c r="O493" s="80">
        <v>240</v>
      </c>
      <c r="P493" s="80">
        <v>40</v>
      </c>
      <c r="Q493" s="80">
        <f t="shared" si="75"/>
        <v>315</v>
      </c>
      <c r="R493" s="80">
        <f t="shared" si="76"/>
        <v>100</v>
      </c>
      <c r="S493" s="78">
        <f t="shared" si="77"/>
        <v>695</v>
      </c>
      <c r="T493" s="78">
        <f>50</f>
        <v>50</v>
      </c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</row>
    <row r="494" spans="1:30" ht="15.75" x14ac:dyDescent="0.25">
      <c r="A494" s="14">
        <v>55974</v>
      </c>
      <c r="B494" s="90">
        <v>31</v>
      </c>
      <c r="C494" s="78">
        <f>122.58</f>
        <v>122.58</v>
      </c>
      <c r="D494" s="78">
        <f>297.941</f>
        <v>297.94099999999997</v>
      </c>
      <c r="E494" s="86">
        <f>89.177</f>
        <v>89.177000000000007</v>
      </c>
      <c r="F494" s="78">
        <f>240.302-40-60</f>
        <v>140.30199999999999</v>
      </c>
      <c r="G494" s="80">
        <v>40</v>
      </c>
      <c r="H494" s="78">
        <v>60</v>
      </c>
      <c r="I494" s="78">
        <f t="shared" si="71"/>
        <v>0</v>
      </c>
      <c r="J494" s="80">
        <v>100</v>
      </c>
      <c r="K494" s="80">
        <v>300</v>
      </c>
      <c r="L494" s="78">
        <f t="shared" si="74"/>
        <v>1150</v>
      </c>
      <c r="M494" s="88">
        <v>600</v>
      </c>
      <c r="N494" s="78">
        <f>100</f>
        <v>100</v>
      </c>
      <c r="O494" s="80">
        <v>240</v>
      </c>
      <c r="P494" s="80">
        <v>40</v>
      </c>
      <c r="Q494" s="80">
        <f t="shared" si="75"/>
        <v>315</v>
      </c>
      <c r="R494" s="80">
        <f t="shared" si="76"/>
        <v>100</v>
      </c>
      <c r="S494" s="78">
        <f t="shared" si="77"/>
        <v>695</v>
      </c>
      <c r="T494" s="78">
        <f>50</f>
        <v>50</v>
      </c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</row>
    <row r="495" spans="1:30" ht="15.75" x14ac:dyDescent="0.25">
      <c r="A495" s="14">
        <v>56004</v>
      </c>
      <c r="B495" s="90">
        <v>30</v>
      </c>
      <c r="C495" s="78">
        <f>141.293</f>
        <v>141.29300000000001</v>
      </c>
      <c r="D495" s="78">
        <f>267.993</f>
        <v>267.99299999999999</v>
      </c>
      <c r="E495" s="86">
        <f>115.016</f>
        <v>115.01600000000001</v>
      </c>
      <c r="F495" s="78">
        <f>314.698-40-25-60</f>
        <v>189.69799999999998</v>
      </c>
      <c r="G495" s="80">
        <v>40</v>
      </c>
      <c r="H495" s="78">
        <f t="shared" ref="H495:H501" si="80">25+60</f>
        <v>85</v>
      </c>
      <c r="I495" s="78">
        <f t="shared" si="71"/>
        <v>0</v>
      </c>
      <c r="J495" s="80">
        <v>100</v>
      </c>
      <c r="K495" s="80">
        <v>300</v>
      </c>
      <c r="L495" s="78">
        <f t="shared" si="74"/>
        <v>1239</v>
      </c>
      <c r="M495" s="88">
        <v>600</v>
      </c>
      <c r="N495" s="78">
        <f>100</f>
        <v>100</v>
      </c>
      <c r="O495" s="80">
        <v>240</v>
      </c>
      <c r="P495" s="80">
        <v>160</v>
      </c>
      <c r="Q495" s="80">
        <f t="shared" si="75"/>
        <v>195</v>
      </c>
      <c r="R495" s="80">
        <f t="shared" si="76"/>
        <v>100</v>
      </c>
      <c r="S495" s="78">
        <f t="shared" si="77"/>
        <v>695</v>
      </c>
      <c r="T495" s="78">
        <f>50</f>
        <v>50</v>
      </c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</row>
    <row r="496" spans="1:30" ht="15.75" x14ac:dyDescent="0.25">
      <c r="A496" s="14">
        <v>56035</v>
      </c>
      <c r="B496" s="90">
        <v>31</v>
      </c>
      <c r="C496" s="78">
        <f>194.205</f>
        <v>194.20500000000001</v>
      </c>
      <c r="D496" s="78">
        <f>267.466</f>
        <v>267.46600000000001</v>
      </c>
      <c r="E496" s="86">
        <f>133.845</f>
        <v>133.845</v>
      </c>
      <c r="F496" s="78">
        <f>278.484-40-25-60</f>
        <v>153.48399999999998</v>
      </c>
      <c r="G496" s="80">
        <v>40</v>
      </c>
      <c r="H496" s="78">
        <f t="shared" si="80"/>
        <v>85</v>
      </c>
      <c r="I496" s="78">
        <f t="shared" si="71"/>
        <v>0</v>
      </c>
      <c r="J496" s="80">
        <v>100</v>
      </c>
      <c r="K496" s="80">
        <v>300</v>
      </c>
      <c r="L496" s="78">
        <f t="shared" si="74"/>
        <v>1274</v>
      </c>
      <c r="M496" s="88">
        <v>600</v>
      </c>
      <c r="N496" s="78">
        <f>75</f>
        <v>75</v>
      </c>
      <c r="O496" s="80">
        <v>240</v>
      </c>
      <c r="P496" s="80">
        <v>160</v>
      </c>
      <c r="Q496" s="80">
        <f t="shared" si="75"/>
        <v>195</v>
      </c>
      <c r="R496" s="80">
        <f t="shared" si="76"/>
        <v>100</v>
      </c>
      <c r="S496" s="78">
        <f t="shared" si="77"/>
        <v>695</v>
      </c>
      <c r="T496" s="78">
        <f>50</f>
        <v>50</v>
      </c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</row>
    <row r="497" spans="1:30" ht="15.75" x14ac:dyDescent="0.25">
      <c r="A497" s="14">
        <v>56065</v>
      </c>
      <c r="B497" s="90">
        <v>30</v>
      </c>
      <c r="C497" s="78">
        <f>194.205</f>
        <v>194.20500000000001</v>
      </c>
      <c r="D497" s="78">
        <f>267.466</f>
        <v>267.46600000000001</v>
      </c>
      <c r="E497" s="86">
        <f>133.845</f>
        <v>133.845</v>
      </c>
      <c r="F497" s="78">
        <f>278.484-40-25-60</f>
        <v>153.48399999999998</v>
      </c>
      <c r="G497" s="80">
        <v>40</v>
      </c>
      <c r="H497" s="78">
        <f t="shared" si="80"/>
        <v>85</v>
      </c>
      <c r="I497" s="78">
        <f t="shared" si="71"/>
        <v>0</v>
      </c>
      <c r="J497" s="80">
        <v>100</v>
      </c>
      <c r="K497" s="80">
        <v>300</v>
      </c>
      <c r="L497" s="78">
        <f t="shared" si="74"/>
        <v>1274</v>
      </c>
      <c r="M497" s="88">
        <v>600</v>
      </c>
      <c r="N497" s="78">
        <f>30</f>
        <v>30</v>
      </c>
      <c r="O497" s="80">
        <v>240</v>
      </c>
      <c r="P497" s="80">
        <v>160</v>
      </c>
      <c r="Q497" s="80">
        <f t="shared" si="75"/>
        <v>195</v>
      </c>
      <c r="R497" s="80">
        <f t="shared" si="76"/>
        <v>100</v>
      </c>
      <c r="S497" s="78">
        <f t="shared" si="77"/>
        <v>695</v>
      </c>
      <c r="T497" s="78">
        <f>50</f>
        <v>50</v>
      </c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</row>
    <row r="498" spans="1:30" ht="15.75" x14ac:dyDescent="0.25">
      <c r="A498" s="14">
        <v>56096</v>
      </c>
      <c r="B498" s="90">
        <v>31</v>
      </c>
      <c r="C498" s="78">
        <f>194.205</f>
        <v>194.20500000000001</v>
      </c>
      <c r="D498" s="78">
        <f>267.466</f>
        <v>267.46600000000001</v>
      </c>
      <c r="E498" s="86">
        <f>133.845</f>
        <v>133.845</v>
      </c>
      <c r="F498" s="78">
        <f>278.484-40-25-60</f>
        <v>153.48399999999998</v>
      </c>
      <c r="G498" s="80">
        <v>40</v>
      </c>
      <c r="H498" s="78">
        <f t="shared" si="80"/>
        <v>85</v>
      </c>
      <c r="I498" s="78">
        <f t="shared" si="71"/>
        <v>0</v>
      </c>
      <c r="J498" s="80">
        <v>100</v>
      </c>
      <c r="K498" s="80">
        <v>300</v>
      </c>
      <c r="L498" s="78">
        <f t="shared" si="74"/>
        <v>1274</v>
      </c>
      <c r="M498" s="88">
        <v>600</v>
      </c>
      <c r="N498" s="78">
        <f>30</f>
        <v>30</v>
      </c>
      <c r="O498" s="80">
        <v>240</v>
      </c>
      <c r="P498" s="80">
        <v>160</v>
      </c>
      <c r="Q498" s="80">
        <f t="shared" si="75"/>
        <v>195</v>
      </c>
      <c r="R498" s="80">
        <f t="shared" si="76"/>
        <v>100</v>
      </c>
      <c r="S498" s="78">
        <f t="shared" si="77"/>
        <v>695</v>
      </c>
      <c r="T498" s="78">
        <f>0</f>
        <v>0</v>
      </c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</row>
    <row r="499" spans="1:30" ht="15.75" x14ac:dyDescent="0.25">
      <c r="A499" s="14">
        <v>56127</v>
      </c>
      <c r="B499" s="90">
        <v>31</v>
      </c>
      <c r="C499" s="78">
        <f>194.205</f>
        <v>194.20500000000001</v>
      </c>
      <c r="D499" s="78">
        <f>267.466</f>
        <v>267.46600000000001</v>
      </c>
      <c r="E499" s="86">
        <f>133.845</f>
        <v>133.845</v>
      </c>
      <c r="F499" s="78">
        <f>278.484-40-25-60</f>
        <v>153.48399999999998</v>
      </c>
      <c r="G499" s="80">
        <v>40</v>
      </c>
      <c r="H499" s="78">
        <f t="shared" si="80"/>
        <v>85</v>
      </c>
      <c r="I499" s="78">
        <f t="shared" si="71"/>
        <v>0</v>
      </c>
      <c r="J499" s="80">
        <v>100</v>
      </c>
      <c r="K499" s="80">
        <v>300</v>
      </c>
      <c r="L499" s="78">
        <f t="shared" si="74"/>
        <v>1274</v>
      </c>
      <c r="M499" s="88">
        <v>600</v>
      </c>
      <c r="N499" s="78">
        <f>30</f>
        <v>30</v>
      </c>
      <c r="O499" s="80">
        <v>240</v>
      </c>
      <c r="P499" s="80">
        <v>160</v>
      </c>
      <c r="Q499" s="80">
        <f t="shared" si="75"/>
        <v>195</v>
      </c>
      <c r="R499" s="80">
        <f t="shared" si="76"/>
        <v>100</v>
      </c>
      <c r="S499" s="78">
        <f t="shared" si="77"/>
        <v>695</v>
      </c>
      <c r="T499" s="78">
        <f>0</f>
        <v>0</v>
      </c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</row>
    <row r="500" spans="1:30" ht="15.75" x14ac:dyDescent="0.25">
      <c r="A500" s="14">
        <v>56157</v>
      </c>
      <c r="B500" s="90">
        <v>30</v>
      </c>
      <c r="C500" s="78">
        <f>194.205</f>
        <v>194.20500000000001</v>
      </c>
      <c r="D500" s="78">
        <f>267.466</f>
        <v>267.46600000000001</v>
      </c>
      <c r="E500" s="86">
        <f>133.845</f>
        <v>133.845</v>
      </c>
      <c r="F500" s="78">
        <f>278.484-40-25-60</f>
        <v>153.48399999999998</v>
      </c>
      <c r="G500" s="80">
        <v>40</v>
      </c>
      <c r="H500" s="78">
        <f t="shared" si="80"/>
        <v>85</v>
      </c>
      <c r="I500" s="78">
        <f t="shared" ref="I500:I563" si="81">400-J500-K500</f>
        <v>0</v>
      </c>
      <c r="J500" s="80">
        <v>100</v>
      </c>
      <c r="K500" s="80">
        <v>300</v>
      </c>
      <c r="L500" s="78">
        <f t="shared" si="74"/>
        <v>1274</v>
      </c>
      <c r="M500" s="88">
        <v>600</v>
      </c>
      <c r="N500" s="78">
        <f>30</f>
        <v>30</v>
      </c>
      <c r="O500" s="80">
        <v>240</v>
      </c>
      <c r="P500" s="80">
        <v>160</v>
      </c>
      <c r="Q500" s="80">
        <f t="shared" si="75"/>
        <v>195</v>
      </c>
      <c r="R500" s="80">
        <f t="shared" si="76"/>
        <v>100</v>
      </c>
      <c r="S500" s="78">
        <f t="shared" si="77"/>
        <v>695</v>
      </c>
      <c r="T500" s="78">
        <f>0</f>
        <v>0</v>
      </c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</row>
    <row r="501" spans="1:30" ht="15.75" x14ac:dyDescent="0.25">
      <c r="A501" s="14">
        <v>56188</v>
      </c>
      <c r="B501" s="90">
        <v>31</v>
      </c>
      <c r="C501" s="78">
        <f>131.881</f>
        <v>131.881</v>
      </c>
      <c r="D501" s="78">
        <f>277.167</f>
        <v>277.16699999999997</v>
      </c>
      <c r="E501" s="86">
        <f>79.08</f>
        <v>79.08</v>
      </c>
      <c r="F501" s="78">
        <f>350.872-40-25-60</f>
        <v>225.87200000000001</v>
      </c>
      <c r="G501" s="80">
        <v>40</v>
      </c>
      <c r="H501" s="78">
        <f t="shared" si="80"/>
        <v>85</v>
      </c>
      <c r="I501" s="78">
        <f t="shared" si="81"/>
        <v>0</v>
      </c>
      <c r="J501" s="80">
        <v>100</v>
      </c>
      <c r="K501" s="80">
        <v>300</v>
      </c>
      <c r="L501" s="78">
        <f t="shared" si="74"/>
        <v>1239</v>
      </c>
      <c r="M501" s="88">
        <v>600</v>
      </c>
      <c r="N501" s="78">
        <f>75</f>
        <v>75</v>
      </c>
      <c r="O501" s="80">
        <v>240</v>
      </c>
      <c r="P501" s="80">
        <v>160</v>
      </c>
      <c r="Q501" s="80">
        <f t="shared" si="75"/>
        <v>195</v>
      </c>
      <c r="R501" s="80">
        <f t="shared" si="76"/>
        <v>100</v>
      </c>
      <c r="S501" s="78">
        <f t="shared" si="77"/>
        <v>695</v>
      </c>
      <c r="T501" s="78">
        <f>0</f>
        <v>0</v>
      </c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</row>
    <row r="502" spans="1:30" ht="15.75" x14ac:dyDescent="0.25">
      <c r="A502" s="14">
        <v>56218</v>
      </c>
      <c r="B502" s="90">
        <v>30</v>
      </c>
      <c r="C502" s="78">
        <f>122.58</f>
        <v>122.58</v>
      </c>
      <c r="D502" s="78">
        <f>297.941</f>
        <v>297.94099999999997</v>
      </c>
      <c r="E502" s="86">
        <f>89.177</f>
        <v>89.177000000000007</v>
      </c>
      <c r="F502" s="78">
        <f>240.302-40-60</f>
        <v>140.30199999999999</v>
      </c>
      <c r="G502" s="80">
        <v>40</v>
      </c>
      <c r="H502" s="78">
        <v>60</v>
      </c>
      <c r="I502" s="78">
        <f t="shared" si="81"/>
        <v>0</v>
      </c>
      <c r="J502" s="80">
        <v>100</v>
      </c>
      <c r="K502" s="80">
        <v>300</v>
      </c>
      <c r="L502" s="78">
        <f t="shared" si="74"/>
        <v>1150</v>
      </c>
      <c r="M502" s="88">
        <v>600</v>
      </c>
      <c r="N502" s="78">
        <f>100</f>
        <v>100</v>
      </c>
      <c r="O502" s="80">
        <v>240</v>
      </c>
      <c r="P502" s="80">
        <v>40</v>
      </c>
      <c r="Q502" s="80">
        <f t="shared" si="75"/>
        <v>315</v>
      </c>
      <c r="R502" s="80">
        <f t="shared" si="76"/>
        <v>100</v>
      </c>
      <c r="S502" s="78">
        <f t="shared" si="77"/>
        <v>695</v>
      </c>
      <c r="T502" s="78">
        <f>50</f>
        <v>50</v>
      </c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</row>
    <row r="503" spans="1:30" ht="15.75" x14ac:dyDescent="0.25">
      <c r="A503" s="14">
        <v>56249</v>
      </c>
      <c r="B503" s="90">
        <v>31</v>
      </c>
      <c r="C503" s="78">
        <f>122.58</f>
        <v>122.58</v>
      </c>
      <c r="D503" s="78">
        <f>297.941</f>
        <v>297.94099999999997</v>
      </c>
      <c r="E503" s="86">
        <f>89.177</f>
        <v>89.177000000000007</v>
      </c>
      <c r="F503" s="78">
        <f>240.302-40-60</f>
        <v>140.30199999999999</v>
      </c>
      <c r="G503" s="80">
        <v>40</v>
      </c>
      <c r="H503" s="78">
        <v>60</v>
      </c>
      <c r="I503" s="78">
        <f t="shared" si="81"/>
        <v>0</v>
      </c>
      <c r="J503" s="80">
        <v>100</v>
      </c>
      <c r="K503" s="80">
        <v>300</v>
      </c>
      <c r="L503" s="78">
        <f t="shared" si="74"/>
        <v>1150</v>
      </c>
      <c r="M503" s="88">
        <v>600</v>
      </c>
      <c r="N503" s="78">
        <f>100</f>
        <v>100</v>
      </c>
      <c r="O503" s="80">
        <v>240</v>
      </c>
      <c r="P503" s="80">
        <v>40</v>
      </c>
      <c r="Q503" s="80">
        <f t="shared" si="75"/>
        <v>315</v>
      </c>
      <c r="R503" s="80">
        <f t="shared" si="76"/>
        <v>100</v>
      </c>
      <c r="S503" s="78">
        <f t="shared" si="77"/>
        <v>695</v>
      </c>
      <c r="T503" s="78">
        <f>50</f>
        <v>50</v>
      </c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</row>
    <row r="504" spans="1:30" ht="15.75" x14ac:dyDescent="0.25">
      <c r="A504" s="14">
        <v>56280</v>
      </c>
      <c r="B504" s="90">
        <v>31</v>
      </c>
      <c r="C504" s="78">
        <f>122.58</f>
        <v>122.58</v>
      </c>
      <c r="D504" s="78">
        <f>297.941</f>
        <v>297.94099999999997</v>
      </c>
      <c r="E504" s="86">
        <f>89.177</f>
        <v>89.177000000000007</v>
      </c>
      <c r="F504" s="78">
        <f>240.302-40-60</f>
        <v>140.30199999999999</v>
      </c>
      <c r="G504" s="80">
        <v>40</v>
      </c>
      <c r="H504" s="78">
        <v>60</v>
      </c>
      <c r="I504" s="78">
        <f t="shared" si="81"/>
        <v>0</v>
      </c>
      <c r="J504" s="80">
        <v>100</v>
      </c>
      <c r="K504" s="80">
        <v>300</v>
      </c>
      <c r="L504" s="78">
        <f t="shared" si="74"/>
        <v>1150</v>
      </c>
      <c r="M504" s="88">
        <v>600</v>
      </c>
      <c r="N504" s="78">
        <f>100</f>
        <v>100</v>
      </c>
      <c r="O504" s="80">
        <v>240</v>
      </c>
      <c r="P504" s="80">
        <v>40</v>
      </c>
      <c r="Q504" s="80">
        <f t="shared" si="75"/>
        <v>315</v>
      </c>
      <c r="R504" s="80">
        <f t="shared" si="76"/>
        <v>100</v>
      </c>
      <c r="S504" s="78">
        <f t="shared" si="77"/>
        <v>695</v>
      </c>
      <c r="T504" s="78">
        <f>50</f>
        <v>50</v>
      </c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</row>
    <row r="505" spans="1:30" ht="15.75" x14ac:dyDescent="0.25">
      <c r="A505" s="14">
        <v>56308</v>
      </c>
      <c r="B505" s="90">
        <v>28</v>
      </c>
      <c r="C505" s="78">
        <f>122.58</f>
        <v>122.58</v>
      </c>
      <c r="D505" s="78">
        <f>297.941</f>
        <v>297.94099999999997</v>
      </c>
      <c r="E505" s="86">
        <f>89.177</f>
        <v>89.177000000000007</v>
      </c>
      <c r="F505" s="78">
        <f>240.302-40-60</f>
        <v>140.30199999999999</v>
      </c>
      <c r="G505" s="80">
        <v>40</v>
      </c>
      <c r="H505" s="78">
        <v>60</v>
      </c>
      <c r="I505" s="78">
        <f t="shared" si="81"/>
        <v>0</v>
      </c>
      <c r="J505" s="80">
        <v>100</v>
      </c>
      <c r="K505" s="80">
        <v>300</v>
      </c>
      <c r="L505" s="78">
        <f t="shared" si="74"/>
        <v>1150</v>
      </c>
      <c r="M505" s="88">
        <v>600</v>
      </c>
      <c r="N505" s="78">
        <f>100</f>
        <v>100</v>
      </c>
      <c r="O505" s="80">
        <v>240</v>
      </c>
      <c r="P505" s="80">
        <v>40</v>
      </c>
      <c r="Q505" s="80">
        <f t="shared" si="75"/>
        <v>315</v>
      </c>
      <c r="R505" s="80">
        <f t="shared" si="76"/>
        <v>100</v>
      </c>
      <c r="S505" s="78">
        <f t="shared" si="77"/>
        <v>695</v>
      </c>
      <c r="T505" s="78">
        <f>50</f>
        <v>50</v>
      </c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</row>
    <row r="506" spans="1:30" ht="15.75" x14ac:dyDescent="0.25">
      <c r="A506" s="14">
        <v>56339</v>
      </c>
      <c r="B506" s="90">
        <v>31</v>
      </c>
      <c r="C506" s="78">
        <f>122.58</f>
        <v>122.58</v>
      </c>
      <c r="D506" s="78">
        <f>297.941</f>
        <v>297.94099999999997</v>
      </c>
      <c r="E506" s="86">
        <f>89.177</f>
        <v>89.177000000000007</v>
      </c>
      <c r="F506" s="78">
        <f>240.302-40-60</f>
        <v>140.30199999999999</v>
      </c>
      <c r="G506" s="80">
        <v>40</v>
      </c>
      <c r="H506" s="78">
        <v>60</v>
      </c>
      <c r="I506" s="78">
        <f t="shared" si="81"/>
        <v>0</v>
      </c>
      <c r="J506" s="80">
        <v>100</v>
      </c>
      <c r="K506" s="80">
        <v>300</v>
      </c>
      <c r="L506" s="78">
        <f t="shared" si="74"/>
        <v>1150</v>
      </c>
      <c r="M506" s="88">
        <v>600</v>
      </c>
      <c r="N506" s="78">
        <f>100</f>
        <v>100</v>
      </c>
      <c r="O506" s="80">
        <v>240</v>
      </c>
      <c r="P506" s="80">
        <v>40</v>
      </c>
      <c r="Q506" s="80">
        <f t="shared" si="75"/>
        <v>315</v>
      </c>
      <c r="R506" s="80">
        <f t="shared" si="76"/>
        <v>100</v>
      </c>
      <c r="S506" s="78">
        <f t="shared" si="77"/>
        <v>695</v>
      </c>
      <c r="T506" s="78">
        <f>50</f>
        <v>50</v>
      </c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</row>
    <row r="507" spans="1:30" ht="15.75" x14ac:dyDescent="0.25">
      <c r="A507" s="14">
        <v>56369</v>
      </c>
      <c r="B507" s="90">
        <v>30</v>
      </c>
      <c r="C507" s="78">
        <f>141.293</f>
        <v>141.29300000000001</v>
      </c>
      <c r="D507" s="78">
        <f>267.993</f>
        <v>267.99299999999999</v>
      </c>
      <c r="E507" s="86">
        <f>115.016</f>
        <v>115.01600000000001</v>
      </c>
      <c r="F507" s="78">
        <f>314.698-40-25-60</f>
        <v>189.69799999999998</v>
      </c>
      <c r="G507" s="80">
        <v>40</v>
      </c>
      <c r="H507" s="78">
        <f t="shared" ref="H507:H513" si="82">25+60</f>
        <v>85</v>
      </c>
      <c r="I507" s="78">
        <f t="shared" si="81"/>
        <v>0</v>
      </c>
      <c r="J507" s="80">
        <v>100</v>
      </c>
      <c r="K507" s="80">
        <v>300</v>
      </c>
      <c r="L507" s="78">
        <f t="shared" si="74"/>
        <v>1239</v>
      </c>
      <c r="M507" s="88">
        <v>600</v>
      </c>
      <c r="N507" s="78">
        <f>100</f>
        <v>100</v>
      </c>
      <c r="O507" s="80">
        <v>240</v>
      </c>
      <c r="P507" s="80">
        <v>160</v>
      </c>
      <c r="Q507" s="80">
        <f t="shared" si="75"/>
        <v>195</v>
      </c>
      <c r="R507" s="80">
        <f t="shared" si="76"/>
        <v>100</v>
      </c>
      <c r="S507" s="78">
        <f t="shared" si="77"/>
        <v>695</v>
      </c>
      <c r="T507" s="78">
        <f>50</f>
        <v>50</v>
      </c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</row>
    <row r="508" spans="1:30" ht="15.75" x14ac:dyDescent="0.25">
      <c r="A508" s="14">
        <v>56400</v>
      </c>
      <c r="B508" s="90">
        <v>31</v>
      </c>
      <c r="C508" s="78">
        <f>194.205</f>
        <v>194.20500000000001</v>
      </c>
      <c r="D508" s="78">
        <f>267.466</f>
        <v>267.46600000000001</v>
      </c>
      <c r="E508" s="86">
        <f>133.845</f>
        <v>133.845</v>
      </c>
      <c r="F508" s="78">
        <f>278.484-40-25-60</f>
        <v>153.48399999999998</v>
      </c>
      <c r="G508" s="80">
        <v>40</v>
      </c>
      <c r="H508" s="78">
        <f t="shared" si="82"/>
        <v>85</v>
      </c>
      <c r="I508" s="78">
        <f t="shared" si="81"/>
        <v>0</v>
      </c>
      <c r="J508" s="80">
        <v>100</v>
      </c>
      <c r="K508" s="80">
        <v>300</v>
      </c>
      <c r="L508" s="78">
        <f t="shared" si="74"/>
        <v>1274</v>
      </c>
      <c r="M508" s="88">
        <v>600</v>
      </c>
      <c r="N508" s="78">
        <f>75</f>
        <v>75</v>
      </c>
      <c r="O508" s="80">
        <v>240</v>
      </c>
      <c r="P508" s="80">
        <v>160</v>
      </c>
      <c r="Q508" s="80">
        <f t="shared" si="75"/>
        <v>195</v>
      </c>
      <c r="R508" s="80">
        <f t="shared" si="76"/>
        <v>100</v>
      </c>
      <c r="S508" s="78">
        <f t="shared" si="77"/>
        <v>695</v>
      </c>
      <c r="T508" s="78">
        <f>50</f>
        <v>50</v>
      </c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</row>
    <row r="509" spans="1:30" ht="15.75" x14ac:dyDescent="0.25">
      <c r="A509" s="14">
        <v>56430</v>
      </c>
      <c r="B509" s="90">
        <v>30</v>
      </c>
      <c r="C509" s="78">
        <f>194.205</f>
        <v>194.20500000000001</v>
      </c>
      <c r="D509" s="78">
        <f>267.466</f>
        <v>267.46600000000001</v>
      </c>
      <c r="E509" s="86">
        <f>133.845</f>
        <v>133.845</v>
      </c>
      <c r="F509" s="78">
        <f>278.484-40-25-60</f>
        <v>153.48399999999998</v>
      </c>
      <c r="G509" s="80">
        <v>40</v>
      </c>
      <c r="H509" s="78">
        <f t="shared" si="82"/>
        <v>85</v>
      </c>
      <c r="I509" s="78">
        <f t="shared" si="81"/>
        <v>0</v>
      </c>
      <c r="J509" s="80">
        <v>100</v>
      </c>
      <c r="K509" s="80">
        <v>300</v>
      </c>
      <c r="L509" s="78">
        <f t="shared" si="74"/>
        <v>1274</v>
      </c>
      <c r="M509" s="88">
        <v>600</v>
      </c>
      <c r="N509" s="78">
        <f>30</f>
        <v>30</v>
      </c>
      <c r="O509" s="80">
        <v>240</v>
      </c>
      <c r="P509" s="80">
        <v>160</v>
      </c>
      <c r="Q509" s="80">
        <f t="shared" si="75"/>
        <v>195</v>
      </c>
      <c r="R509" s="80">
        <f t="shared" si="76"/>
        <v>100</v>
      </c>
      <c r="S509" s="78">
        <f t="shared" si="77"/>
        <v>695</v>
      </c>
      <c r="T509" s="78">
        <f>50</f>
        <v>50</v>
      </c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</row>
    <row r="510" spans="1:30" ht="15.75" x14ac:dyDescent="0.25">
      <c r="A510" s="14">
        <v>56461</v>
      </c>
      <c r="B510" s="90">
        <v>31</v>
      </c>
      <c r="C510" s="78">
        <f>194.205</f>
        <v>194.20500000000001</v>
      </c>
      <c r="D510" s="78">
        <f>267.466</f>
        <v>267.46600000000001</v>
      </c>
      <c r="E510" s="86">
        <f>133.845</f>
        <v>133.845</v>
      </c>
      <c r="F510" s="78">
        <f>278.484-40-25-60</f>
        <v>153.48399999999998</v>
      </c>
      <c r="G510" s="80">
        <v>40</v>
      </c>
      <c r="H510" s="78">
        <f t="shared" si="82"/>
        <v>85</v>
      </c>
      <c r="I510" s="78">
        <f t="shared" si="81"/>
        <v>0</v>
      </c>
      <c r="J510" s="80">
        <v>100</v>
      </c>
      <c r="K510" s="80">
        <v>300</v>
      </c>
      <c r="L510" s="78">
        <f t="shared" si="74"/>
        <v>1274</v>
      </c>
      <c r="M510" s="88">
        <v>600</v>
      </c>
      <c r="N510" s="78">
        <f>30</f>
        <v>30</v>
      </c>
      <c r="O510" s="80">
        <v>240</v>
      </c>
      <c r="P510" s="80">
        <v>160</v>
      </c>
      <c r="Q510" s="80">
        <f t="shared" si="75"/>
        <v>195</v>
      </c>
      <c r="R510" s="80">
        <f t="shared" si="76"/>
        <v>100</v>
      </c>
      <c r="S510" s="78">
        <f t="shared" si="77"/>
        <v>695</v>
      </c>
      <c r="T510" s="78">
        <f>0</f>
        <v>0</v>
      </c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</row>
    <row r="511" spans="1:30" ht="15.75" x14ac:dyDescent="0.25">
      <c r="A511" s="14">
        <v>56492</v>
      </c>
      <c r="B511" s="90">
        <v>31</v>
      </c>
      <c r="C511" s="78">
        <f>194.205</f>
        <v>194.20500000000001</v>
      </c>
      <c r="D511" s="78">
        <f>267.466</f>
        <v>267.46600000000001</v>
      </c>
      <c r="E511" s="86">
        <f>133.845</f>
        <v>133.845</v>
      </c>
      <c r="F511" s="78">
        <f>278.484-40-25-60</f>
        <v>153.48399999999998</v>
      </c>
      <c r="G511" s="80">
        <v>40</v>
      </c>
      <c r="H511" s="78">
        <f t="shared" si="82"/>
        <v>85</v>
      </c>
      <c r="I511" s="78">
        <f t="shared" si="81"/>
        <v>0</v>
      </c>
      <c r="J511" s="80">
        <v>100</v>
      </c>
      <c r="K511" s="80">
        <v>300</v>
      </c>
      <c r="L511" s="78">
        <f t="shared" si="74"/>
        <v>1274</v>
      </c>
      <c r="M511" s="88">
        <v>600</v>
      </c>
      <c r="N511" s="78">
        <f>30</f>
        <v>30</v>
      </c>
      <c r="O511" s="80">
        <v>240</v>
      </c>
      <c r="P511" s="80">
        <v>160</v>
      </c>
      <c r="Q511" s="80">
        <f t="shared" si="75"/>
        <v>195</v>
      </c>
      <c r="R511" s="80">
        <f t="shared" si="76"/>
        <v>100</v>
      </c>
      <c r="S511" s="78">
        <f t="shared" si="77"/>
        <v>695</v>
      </c>
      <c r="T511" s="78">
        <f>0</f>
        <v>0</v>
      </c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</row>
    <row r="512" spans="1:30" ht="15.75" x14ac:dyDescent="0.25">
      <c r="A512" s="14">
        <v>56522</v>
      </c>
      <c r="B512" s="90">
        <v>30</v>
      </c>
      <c r="C512" s="78">
        <f>194.205</f>
        <v>194.20500000000001</v>
      </c>
      <c r="D512" s="78">
        <f>267.466</f>
        <v>267.46600000000001</v>
      </c>
      <c r="E512" s="86">
        <f>133.845</f>
        <v>133.845</v>
      </c>
      <c r="F512" s="78">
        <f>278.484-40-25-60</f>
        <v>153.48399999999998</v>
      </c>
      <c r="G512" s="80">
        <v>40</v>
      </c>
      <c r="H512" s="78">
        <f t="shared" si="82"/>
        <v>85</v>
      </c>
      <c r="I512" s="78">
        <f t="shared" si="81"/>
        <v>0</v>
      </c>
      <c r="J512" s="80">
        <v>100</v>
      </c>
      <c r="K512" s="80">
        <v>300</v>
      </c>
      <c r="L512" s="78">
        <f t="shared" si="74"/>
        <v>1274</v>
      </c>
      <c r="M512" s="88">
        <v>600</v>
      </c>
      <c r="N512" s="78">
        <f>30</f>
        <v>30</v>
      </c>
      <c r="O512" s="80">
        <v>240</v>
      </c>
      <c r="P512" s="80">
        <v>160</v>
      </c>
      <c r="Q512" s="80">
        <f t="shared" si="75"/>
        <v>195</v>
      </c>
      <c r="R512" s="80">
        <f t="shared" si="76"/>
        <v>100</v>
      </c>
      <c r="S512" s="78">
        <f t="shared" si="77"/>
        <v>695</v>
      </c>
      <c r="T512" s="78">
        <f>0</f>
        <v>0</v>
      </c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</row>
    <row r="513" spans="1:30" ht="15.75" x14ac:dyDescent="0.25">
      <c r="A513" s="14">
        <v>56553</v>
      </c>
      <c r="B513" s="90">
        <v>31</v>
      </c>
      <c r="C513" s="78">
        <f>131.881</f>
        <v>131.881</v>
      </c>
      <c r="D513" s="78">
        <f>277.167</f>
        <v>277.16699999999997</v>
      </c>
      <c r="E513" s="86">
        <f>79.08</f>
        <v>79.08</v>
      </c>
      <c r="F513" s="78">
        <f>350.872-40-25-60</f>
        <v>225.87200000000001</v>
      </c>
      <c r="G513" s="80">
        <v>40</v>
      </c>
      <c r="H513" s="78">
        <f t="shared" si="82"/>
        <v>85</v>
      </c>
      <c r="I513" s="78">
        <f t="shared" si="81"/>
        <v>0</v>
      </c>
      <c r="J513" s="80">
        <v>100</v>
      </c>
      <c r="K513" s="80">
        <v>300</v>
      </c>
      <c r="L513" s="78">
        <f t="shared" si="74"/>
        <v>1239</v>
      </c>
      <c r="M513" s="88">
        <v>600</v>
      </c>
      <c r="N513" s="78">
        <f>75</f>
        <v>75</v>
      </c>
      <c r="O513" s="80">
        <v>240</v>
      </c>
      <c r="P513" s="80">
        <v>160</v>
      </c>
      <c r="Q513" s="80">
        <f t="shared" si="75"/>
        <v>195</v>
      </c>
      <c r="R513" s="80">
        <f t="shared" si="76"/>
        <v>100</v>
      </c>
      <c r="S513" s="78">
        <f t="shared" si="77"/>
        <v>695</v>
      </c>
      <c r="T513" s="78">
        <f>0</f>
        <v>0</v>
      </c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</row>
    <row r="514" spans="1:30" ht="15.75" x14ac:dyDescent="0.25">
      <c r="A514" s="14">
        <v>56583</v>
      </c>
      <c r="B514" s="90">
        <v>30</v>
      </c>
      <c r="C514" s="78">
        <f>122.58</f>
        <v>122.58</v>
      </c>
      <c r="D514" s="78">
        <f>297.941</f>
        <v>297.94099999999997</v>
      </c>
      <c r="E514" s="86">
        <f>89.177</f>
        <v>89.177000000000007</v>
      </c>
      <c r="F514" s="78">
        <f>240.302-40-60</f>
        <v>140.30199999999999</v>
      </c>
      <c r="G514" s="80">
        <v>40</v>
      </c>
      <c r="H514" s="78">
        <v>60</v>
      </c>
      <c r="I514" s="78">
        <f t="shared" si="81"/>
        <v>0</v>
      </c>
      <c r="J514" s="80">
        <v>100</v>
      </c>
      <c r="K514" s="80">
        <v>300</v>
      </c>
      <c r="L514" s="78">
        <f t="shared" si="74"/>
        <v>1150</v>
      </c>
      <c r="M514" s="88">
        <v>600</v>
      </c>
      <c r="N514" s="78">
        <f>100</f>
        <v>100</v>
      </c>
      <c r="O514" s="80">
        <v>240</v>
      </c>
      <c r="P514" s="80">
        <v>40</v>
      </c>
      <c r="Q514" s="80">
        <f t="shared" si="75"/>
        <v>315</v>
      </c>
      <c r="R514" s="80">
        <f t="shared" si="76"/>
        <v>100</v>
      </c>
      <c r="S514" s="78">
        <f t="shared" si="77"/>
        <v>695</v>
      </c>
      <c r="T514" s="78">
        <f>50</f>
        <v>50</v>
      </c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</row>
    <row r="515" spans="1:30" ht="15.75" x14ac:dyDescent="0.25">
      <c r="A515" s="14">
        <v>56614</v>
      </c>
      <c r="B515" s="90">
        <v>31</v>
      </c>
      <c r="C515" s="78">
        <f>122.58</f>
        <v>122.58</v>
      </c>
      <c r="D515" s="78">
        <f>297.941</f>
        <v>297.94099999999997</v>
      </c>
      <c r="E515" s="86">
        <f>89.177</f>
        <v>89.177000000000007</v>
      </c>
      <c r="F515" s="78">
        <f>240.302-40-60</f>
        <v>140.30199999999999</v>
      </c>
      <c r="G515" s="80">
        <v>40</v>
      </c>
      <c r="H515" s="78">
        <v>60</v>
      </c>
      <c r="I515" s="78">
        <f t="shared" si="81"/>
        <v>0</v>
      </c>
      <c r="J515" s="80">
        <v>100</v>
      </c>
      <c r="K515" s="80">
        <v>300</v>
      </c>
      <c r="L515" s="78">
        <f t="shared" si="74"/>
        <v>1150</v>
      </c>
      <c r="M515" s="88">
        <v>600</v>
      </c>
      <c r="N515" s="78">
        <f>100</f>
        <v>100</v>
      </c>
      <c r="O515" s="80">
        <v>240</v>
      </c>
      <c r="P515" s="80">
        <v>40</v>
      </c>
      <c r="Q515" s="80">
        <f t="shared" si="75"/>
        <v>315</v>
      </c>
      <c r="R515" s="80">
        <f t="shared" si="76"/>
        <v>100</v>
      </c>
      <c r="S515" s="78">
        <f t="shared" si="77"/>
        <v>695</v>
      </c>
      <c r="T515" s="78">
        <f>50</f>
        <v>50</v>
      </c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</row>
    <row r="516" spans="1:30" ht="15.75" x14ac:dyDescent="0.25">
      <c r="A516" s="13">
        <v>56645</v>
      </c>
      <c r="B516" s="89">
        <v>31</v>
      </c>
      <c r="C516" s="78">
        <f>122.58</f>
        <v>122.58</v>
      </c>
      <c r="D516" s="78">
        <f>297.941</f>
        <v>297.94099999999997</v>
      </c>
      <c r="E516" s="86">
        <f>89.177</f>
        <v>89.177000000000007</v>
      </c>
      <c r="F516" s="78">
        <f>240.302-40-60</f>
        <v>140.30199999999999</v>
      </c>
      <c r="G516" s="80">
        <v>40</v>
      </c>
      <c r="H516" s="78">
        <v>60</v>
      </c>
      <c r="I516" s="78">
        <f t="shared" si="81"/>
        <v>0</v>
      </c>
      <c r="J516" s="80">
        <v>100</v>
      </c>
      <c r="K516" s="80">
        <v>300</v>
      </c>
      <c r="L516" s="78">
        <f t="shared" si="74"/>
        <v>1150</v>
      </c>
      <c r="M516" s="88">
        <v>600</v>
      </c>
      <c r="N516" s="78">
        <f>100</f>
        <v>100</v>
      </c>
      <c r="O516" s="80">
        <v>240</v>
      </c>
      <c r="P516" s="80">
        <v>40</v>
      </c>
      <c r="Q516" s="80">
        <f t="shared" si="75"/>
        <v>315</v>
      </c>
      <c r="R516" s="80">
        <f t="shared" si="76"/>
        <v>100</v>
      </c>
      <c r="S516" s="78">
        <f t="shared" si="77"/>
        <v>695</v>
      </c>
      <c r="T516" s="78">
        <f>50</f>
        <v>50</v>
      </c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</row>
    <row r="517" spans="1:30" ht="15.75" x14ac:dyDescent="0.25">
      <c r="A517" s="13">
        <v>56673</v>
      </c>
      <c r="B517" s="89">
        <v>28</v>
      </c>
      <c r="C517" s="78">
        <f>122.58</f>
        <v>122.58</v>
      </c>
      <c r="D517" s="78">
        <f>297.941</f>
        <v>297.94099999999997</v>
      </c>
      <c r="E517" s="86">
        <f>89.177</f>
        <v>89.177000000000007</v>
      </c>
      <c r="F517" s="78">
        <f>240.302-40-60</f>
        <v>140.30199999999999</v>
      </c>
      <c r="G517" s="80">
        <v>40</v>
      </c>
      <c r="H517" s="78">
        <v>60</v>
      </c>
      <c r="I517" s="78">
        <f t="shared" si="81"/>
        <v>0</v>
      </c>
      <c r="J517" s="80">
        <v>100</v>
      </c>
      <c r="K517" s="80">
        <v>300</v>
      </c>
      <c r="L517" s="78">
        <f t="shared" si="74"/>
        <v>1150</v>
      </c>
      <c r="M517" s="88">
        <v>600</v>
      </c>
      <c r="N517" s="78">
        <f>100</f>
        <v>100</v>
      </c>
      <c r="O517" s="80">
        <v>240</v>
      </c>
      <c r="P517" s="80">
        <v>40</v>
      </c>
      <c r="Q517" s="80">
        <f t="shared" si="75"/>
        <v>315</v>
      </c>
      <c r="R517" s="80">
        <f t="shared" si="76"/>
        <v>100</v>
      </c>
      <c r="S517" s="78">
        <f t="shared" si="77"/>
        <v>695</v>
      </c>
      <c r="T517" s="78">
        <f>50</f>
        <v>50</v>
      </c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</row>
    <row r="518" spans="1:30" ht="15.75" x14ac:dyDescent="0.25">
      <c r="A518" s="13">
        <v>56704</v>
      </c>
      <c r="B518" s="89">
        <v>31</v>
      </c>
      <c r="C518" s="78">
        <f>122.58</f>
        <v>122.58</v>
      </c>
      <c r="D518" s="78">
        <f>297.941</f>
        <v>297.94099999999997</v>
      </c>
      <c r="E518" s="86">
        <f>89.177</f>
        <v>89.177000000000007</v>
      </c>
      <c r="F518" s="78">
        <f>240.302-40-60</f>
        <v>140.30199999999999</v>
      </c>
      <c r="G518" s="80">
        <v>40</v>
      </c>
      <c r="H518" s="78">
        <v>60</v>
      </c>
      <c r="I518" s="78">
        <f t="shared" si="81"/>
        <v>0</v>
      </c>
      <c r="J518" s="80">
        <v>100</v>
      </c>
      <c r="K518" s="80">
        <v>300</v>
      </c>
      <c r="L518" s="78">
        <f t="shared" si="74"/>
        <v>1150</v>
      </c>
      <c r="M518" s="88">
        <v>600</v>
      </c>
      <c r="N518" s="78">
        <f>100</f>
        <v>100</v>
      </c>
      <c r="O518" s="80">
        <v>240</v>
      </c>
      <c r="P518" s="80">
        <v>40</v>
      </c>
      <c r="Q518" s="80">
        <f t="shared" si="75"/>
        <v>315</v>
      </c>
      <c r="R518" s="80">
        <f t="shared" si="76"/>
        <v>100</v>
      </c>
      <c r="S518" s="78">
        <f t="shared" si="77"/>
        <v>695</v>
      </c>
      <c r="T518" s="78">
        <f>50</f>
        <v>50</v>
      </c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</row>
    <row r="519" spans="1:30" ht="15.75" x14ac:dyDescent="0.25">
      <c r="A519" s="13">
        <v>56734</v>
      </c>
      <c r="B519" s="89">
        <v>30</v>
      </c>
      <c r="C519" s="78">
        <f>141.293</f>
        <v>141.29300000000001</v>
      </c>
      <c r="D519" s="78">
        <f>267.993</f>
        <v>267.99299999999999</v>
      </c>
      <c r="E519" s="86">
        <f>115.016</f>
        <v>115.01600000000001</v>
      </c>
      <c r="F519" s="78">
        <f>314.698-40-25-60</f>
        <v>189.69799999999998</v>
      </c>
      <c r="G519" s="80">
        <v>40</v>
      </c>
      <c r="H519" s="78">
        <f t="shared" ref="H519:H525" si="83">25+60</f>
        <v>85</v>
      </c>
      <c r="I519" s="78">
        <f t="shared" si="81"/>
        <v>0</v>
      </c>
      <c r="J519" s="80">
        <v>100</v>
      </c>
      <c r="K519" s="80">
        <v>300</v>
      </c>
      <c r="L519" s="78">
        <f t="shared" si="74"/>
        <v>1239</v>
      </c>
      <c r="M519" s="88">
        <v>600</v>
      </c>
      <c r="N519" s="78">
        <f>100</f>
        <v>100</v>
      </c>
      <c r="O519" s="80">
        <v>240</v>
      </c>
      <c r="P519" s="80">
        <v>160</v>
      </c>
      <c r="Q519" s="80">
        <f t="shared" si="75"/>
        <v>195</v>
      </c>
      <c r="R519" s="80">
        <f t="shared" si="76"/>
        <v>100</v>
      </c>
      <c r="S519" s="78">
        <f t="shared" si="77"/>
        <v>695</v>
      </c>
      <c r="T519" s="78">
        <f>50</f>
        <v>50</v>
      </c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</row>
    <row r="520" spans="1:30" ht="15.75" x14ac:dyDescent="0.25">
      <c r="A520" s="13">
        <v>56765</v>
      </c>
      <c r="B520" s="89">
        <v>31</v>
      </c>
      <c r="C520" s="78">
        <f>194.205</f>
        <v>194.20500000000001</v>
      </c>
      <c r="D520" s="78">
        <f>267.466</f>
        <v>267.46600000000001</v>
      </c>
      <c r="E520" s="86">
        <f>133.845</f>
        <v>133.845</v>
      </c>
      <c r="F520" s="78">
        <f>278.484-40-25-60</f>
        <v>153.48399999999998</v>
      </c>
      <c r="G520" s="80">
        <v>40</v>
      </c>
      <c r="H520" s="78">
        <f t="shared" si="83"/>
        <v>85</v>
      </c>
      <c r="I520" s="78">
        <f t="shared" si="81"/>
        <v>0</v>
      </c>
      <c r="J520" s="80">
        <v>100</v>
      </c>
      <c r="K520" s="80">
        <v>300</v>
      </c>
      <c r="L520" s="78">
        <f t="shared" si="74"/>
        <v>1274</v>
      </c>
      <c r="M520" s="88">
        <v>600</v>
      </c>
      <c r="N520" s="78">
        <f>75</f>
        <v>75</v>
      </c>
      <c r="O520" s="80">
        <v>240</v>
      </c>
      <c r="P520" s="80">
        <v>160</v>
      </c>
      <c r="Q520" s="80">
        <f t="shared" si="75"/>
        <v>195</v>
      </c>
      <c r="R520" s="80">
        <f t="shared" si="76"/>
        <v>100</v>
      </c>
      <c r="S520" s="78">
        <f t="shared" si="77"/>
        <v>695</v>
      </c>
      <c r="T520" s="78">
        <f>50</f>
        <v>50</v>
      </c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</row>
    <row r="521" spans="1:30" ht="15.75" x14ac:dyDescent="0.25">
      <c r="A521" s="13">
        <v>56795</v>
      </c>
      <c r="B521" s="89">
        <v>30</v>
      </c>
      <c r="C521" s="78">
        <f>194.205</f>
        <v>194.20500000000001</v>
      </c>
      <c r="D521" s="78">
        <f>267.466</f>
        <v>267.46600000000001</v>
      </c>
      <c r="E521" s="86">
        <f>133.845</f>
        <v>133.845</v>
      </c>
      <c r="F521" s="78">
        <f>278.484-40-25-60</f>
        <v>153.48399999999998</v>
      </c>
      <c r="G521" s="80">
        <v>40</v>
      </c>
      <c r="H521" s="78">
        <f t="shared" si="83"/>
        <v>85</v>
      </c>
      <c r="I521" s="78">
        <f t="shared" si="81"/>
        <v>0</v>
      </c>
      <c r="J521" s="80">
        <v>100</v>
      </c>
      <c r="K521" s="80">
        <v>300</v>
      </c>
      <c r="L521" s="78">
        <f t="shared" si="74"/>
        <v>1274</v>
      </c>
      <c r="M521" s="88">
        <v>600</v>
      </c>
      <c r="N521" s="78">
        <f>30</f>
        <v>30</v>
      </c>
      <c r="O521" s="80">
        <v>240</v>
      </c>
      <c r="P521" s="80">
        <v>160</v>
      </c>
      <c r="Q521" s="80">
        <f t="shared" si="75"/>
        <v>195</v>
      </c>
      <c r="R521" s="80">
        <f t="shared" si="76"/>
        <v>100</v>
      </c>
      <c r="S521" s="78">
        <f t="shared" si="77"/>
        <v>695</v>
      </c>
      <c r="T521" s="78">
        <f>50</f>
        <v>50</v>
      </c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</row>
    <row r="522" spans="1:30" ht="15.75" x14ac:dyDescent="0.25">
      <c r="A522" s="13">
        <v>56826</v>
      </c>
      <c r="B522" s="89">
        <v>31</v>
      </c>
      <c r="C522" s="78">
        <f>194.205</f>
        <v>194.20500000000001</v>
      </c>
      <c r="D522" s="78">
        <f>267.466</f>
        <v>267.46600000000001</v>
      </c>
      <c r="E522" s="86">
        <f>133.845</f>
        <v>133.845</v>
      </c>
      <c r="F522" s="78">
        <f>278.484-40-25-60</f>
        <v>153.48399999999998</v>
      </c>
      <c r="G522" s="80">
        <v>40</v>
      </c>
      <c r="H522" s="78">
        <f t="shared" si="83"/>
        <v>85</v>
      </c>
      <c r="I522" s="78">
        <f t="shared" si="81"/>
        <v>0</v>
      </c>
      <c r="J522" s="80">
        <v>100</v>
      </c>
      <c r="K522" s="80">
        <v>300</v>
      </c>
      <c r="L522" s="78">
        <f t="shared" si="74"/>
        <v>1274</v>
      </c>
      <c r="M522" s="88">
        <v>600</v>
      </c>
      <c r="N522" s="78">
        <f>30</f>
        <v>30</v>
      </c>
      <c r="O522" s="80">
        <v>240</v>
      </c>
      <c r="P522" s="80">
        <v>160</v>
      </c>
      <c r="Q522" s="80">
        <f t="shared" si="75"/>
        <v>195</v>
      </c>
      <c r="R522" s="80">
        <f t="shared" si="76"/>
        <v>100</v>
      </c>
      <c r="S522" s="78">
        <f t="shared" si="77"/>
        <v>695</v>
      </c>
      <c r="T522" s="78">
        <f>0</f>
        <v>0</v>
      </c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</row>
    <row r="523" spans="1:30" ht="15.75" x14ac:dyDescent="0.25">
      <c r="A523" s="13">
        <v>56857</v>
      </c>
      <c r="B523" s="89">
        <v>31</v>
      </c>
      <c r="C523" s="78">
        <f>194.205</f>
        <v>194.20500000000001</v>
      </c>
      <c r="D523" s="78">
        <f>267.466</f>
        <v>267.46600000000001</v>
      </c>
      <c r="E523" s="86">
        <f>133.845</f>
        <v>133.845</v>
      </c>
      <c r="F523" s="78">
        <f>278.484-40-25-60</f>
        <v>153.48399999999998</v>
      </c>
      <c r="G523" s="80">
        <v>40</v>
      </c>
      <c r="H523" s="78">
        <f t="shared" si="83"/>
        <v>85</v>
      </c>
      <c r="I523" s="78">
        <f t="shared" si="81"/>
        <v>0</v>
      </c>
      <c r="J523" s="80">
        <v>100</v>
      </c>
      <c r="K523" s="80">
        <v>300</v>
      </c>
      <c r="L523" s="78">
        <f t="shared" si="74"/>
        <v>1274</v>
      </c>
      <c r="M523" s="88">
        <v>600</v>
      </c>
      <c r="N523" s="78">
        <f>30</f>
        <v>30</v>
      </c>
      <c r="O523" s="80">
        <v>240</v>
      </c>
      <c r="P523" s="80">
        <v>160</v>
      </c>
      <c r="Q523" s="80">
        <f t="shared" si="75"/>
        <v>195</v>
      </c>
      <c r="R523" s="80">
        <f t="shared" si="76"/>
        <v>100</v>
      </c>
      <c r="S523" s="78">
        <f t="shared" si="77"/>
        <v>695</v>
      </c>
      <c r="T523" s="78">
        <f>0</f>
        <v>0</v>
      </c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</row>
    <row r="524" spans="1:30" ht="15.75" x14ac:dyDescent="0.25">
      <c r="A524" s="13">
        <v>56887</v>
      </c>
      <c r="B524" s="89">
        <v>30</v>
      </c>
      <c r="C524" s="78">
        <f>194.205</f>
        <v>194.20500000000001</v>
      </c>
      <c r="D524" s="78">
        <f>267.466</f>
        <v>267.46600000000001</v>
      </c>
      <c r="E524" s="86">
        <f>133.845</f>
        <v>133.845</v>
      </c>
      <c r="F524" s="78">
        <f>278.484-40-25-60</f>
        <v>153.48399999999998</v>
      </c>
      <c r="G524" s="80">
        <v>40</v>
      </c>
      <c r="H524" s="78">
        <f t="shared" si="83"/>
        <v>85</v>
      </c>
      <c r="I524" s="78">
        <f t="shared" si="81"/>
        <v>0</v>
      </c>
      <c r="J524" s="80">
        <v>100</v>
      </c>
      <c r="K524" s="80">
        <v>300</v>
      </c>
      <c r="L524" s="78">
        <f t="shared" si="74"/>
        <v>1274</v>
      </c>
      <c r="M524" s="88">
        <v>600</v>
      </c>
      <c r="N524" s="78">
        <f>30</f>
        <v>30</v>
      </c>
      <c r="O524" s="80">
        <v>240</v>
      </c>
      <c r="P524" s="80">
        <v>160</v>
      </c>
      <c r="Q524" s="80">
        <f t="shared" si="75"/>
        <v>195</v>
      </c>
      <c r="R524" s="80">
        <f t="shared" si="76"/>
        <v>100</v>
      </c>
      <c r="S524" s="78">
        <f t="shared" si="77"/>
        <v>695</v>
      </c>
      <c r="T524" s="78">
        <f>0</f>
        <v>0</v>
      </c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</row>
    <row r="525" spans="1:30" ht="15.75" x14ac:dyDescent="0.25">
      <c r="A525" s="13">
        <v>56918</v>
      </c>
      <c r="B525" s="89">
        <v>31</v>
      </c>
      <c r="C525" s="78">
        <f>131.881</f>
        <v>131.881</v>
      </c>
      <c r="D525" s="78">
        <f>277.167</f>
        <v>277.16699999999997</v>
      </c>
      <c r="E525" s="86">
        <f>79.08</f>
        <v>79.08</v>
      </c>
      <c r="F525" s="78">
        <f>350.872-40-25-60</f>
        <v>225.87200000000001</v>
      </c>
      <c r="G525" s="80">
        <v>40</v>
      </c>
      <c r="H525" s="78">
        <f t="shared" si="83"/>
        <v>85</v>
      </c>
      <c r="I525" s="78">
        <f t="shared" si="81"/>
        <v>0</v>
      </c>
      <c r="J525" s="80">
        <v>100</v>
      </c>
      <c r="K525" s="80">
        <v>300</v>
      </c>
      <c r="L525" s="78">
        <f t="shared" si="74"/>
        <v>1239</v>
      </c>
      <c r="M525" s="88">
        <v>600</v>
      </c>
      <c r="N525" s="78">
        <f>75</f>
        <v>75</v>
      </c>
      <c r="O525" s="80">
        <v>240</v>
      </c>
      <c r="P525" s="80">
        <v>160</v>
      </c>
      <c r="Q525" s="80">
        <f t="shared" si="75"/>
        <v>195</v>
      </c>
      <c r="R525" s="80">
        <f t="shared" si="76"/>
        <v>100</v>
      </c>
      <c r="S525" s="78">
        <f t="shared" si="77"/>
        <v>695</v>
      </c>
      <c r="T525" s="78">
        <f>0</f>
        <v>0</v>
      </c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</row>
    <row r="526" spans="1:30" ht="15.75" x14ac:dyDescent="0.25">
      <c r="A526" s="13">
        <v>56948</v>
      </c>
      <c r="B526" s="89">
        <v>30</v>
      </c>
      <c r="C526" s="78">
        <f>122.58</f>
        <v>122.58</v>
      </c>
      <c r="D526" s="78">
        <f>297.941</f>
        <v>297.94099999999997</v>
      </c>
      <c r="E526" s="86">
        <f>89.177</f>
        <v>89.177000000000007</v>
      </c>
      <c r="F526" s="78">
        <f>240.302-40-60</f>
        <v>140.30199999999999</v>
      </c>
      <c r="G526" s="80">
        <v>40</v>
      </c>
      <c r="H526" s="78">
        <v>60</v>
      </c>
      <c r="I526" s="78">
        <f t="shared" si="81"/>
        <v>0</v>
      </c>
      <c r="J526" s="80">
        <v>100</v>
      </c>
      <c r="K526" s="80">
        <v>300</v>
      </c>
      <c r="L526" s="78">
        <f t="shared" si="74"/>
        <v>1150</v>
      </c>
      <c r="M526" s="88">
        <v>600</v>
      </c>
      <c r="N526" s="78">
        <f>100</f>
        <v>100</v>
      </c>
      <c r="O526" s="80">
        <v>240</v>
      </c>
      <c r="P526" s="80">
        <v>40</v>
      </c>
      <c r="Q526" s="80">
        <f t="shared" si="75"/>
        <v>315</v>
      </c>
      <c r="R526" s="80">
        <f t="shared" si="76"/>
        <v>100</v>
      </c>
      <c r="S526" s="78">
        <f t="shared" si="77"/>
        <v>695</v>
      </c>
      <c r="T526" s="78">
        <f>50</f>
        <v>50</v>
      </c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</row>
    <row r="527" spans="1:30" ht="15.75" x14ac:dyDescent="0.25">
      <c r="A527" s="13">
        <v>56979</v>
      </c>
      <c r="B527" s="89">
        <v>31</v>
      </c>
      <c r="C527" s="78">
        <f>122.58</f>
        <v>122.58</v>
      </c>
      <c r="D527" s="78">
        <f>297.941</f>
        <v>297.94099999999997</v>
      </c>
      <c r="E527" s="86">
        <f>89.177</f>
        <v>89.177000000000007</v>
      </c>
      <c r="F527" s="78">
        <f>240.302-40-60</f>
        <v>140.30199999999999</v>
      </c>
      <c r="G527" s="80">
        <v>40</v>
      </c>
      <c r="H527" s="78">
        <v>60</v>
      </c>
      <c r="I527" s="78">
        <f t="shared" si="81"/>
        <v>0</v>
      </c>
      <c r="J527" s="80">
        <v>100</v>
      </c>
      <c r="K527" s="80">
        <v>300</v>
      </c>
      <c r="L527" s="78">
        <f t="shared" ref="L527:L590" si="84">SUM(C527:K527)</f>
        <v>1150</v>
      </c>
      <c r="M527" s="88">
        <v>600</v>
      </c>
      <c r="N527" s="78">
        <f>100</f>
        <v>100</v>
      </c>
      <c r="O527" s="80">
        <v>240</v>
      </c>
      <c r="P527" s="80">
        <v>40</v>
      </c>
      <c r="Q527" s="80">
        <f t="shared" ref="Q527:Q590" si="85">695-R527-O527-P527</f>
        <v>315</v>
      </c>
      <c r="R527" s="80">
        <f t="shared" ref="R527:R590" si="86">200-J527</f>
        <v>100</v>
      </c>
      <c r="S527" s="78">
        <f t="shared" ref="S527:S590" si="87">SUM(O527:R527)</f>
        <v>695</v>
      </c>
      <c r="T527" s="78">
        <f>50</f>
        <v>50</v>
      </c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</row>
    <row r="528" spans="1:30" ht="15.75" x14ac:dyDescent="0.25">
      <c r="A528" s="13">
        <v>57010</v>
      </c>
      <c r="B528" s="89">
        <v>31</v>
      </c>
      <c r="C528" s="78">
        <f>122.58</f>
        <v>122.58</v>
      </c>
      <c r="D528" s="78">
        <f>297.941</f>
        <v>297.94099999999997</v>
      </c>
      <c r="E528" s="86">
        <f>89.177</f>
        <v>89.177000000000007</v>
      </c>
      <c r="F528" s="78">
        <f>240.302-40-60</f>
        <v>140.30199999999999</v>
      </c>
      <c r="G528" s="80">
        <v>40</v>
      </c>
      <c r="H528" s="78">
        <v>60</v>
      </c>
      <c r="I528" s="78">
        <f t="shared" si="81"/>
        <v>0</v>
      </c>
      <c r="J528" s="80">
        <v>100</v>
      </c>
      <c r="K528" s="80">
        <v>300</v>
      </c>
      <c r="L528" s="78">
        <f t="shared" si="84"/>
        <v>1150</v>
      </c>
      <c r="M528" s="88">
        <v>600</v>
      </c>
      <c r="N528" s="78">
        <f>100</f>
        <v>100</v>
      </c>
      <c r="O528" s="80">
        <v>240</v>
      </c>
      <c r="P528" s="80">
        <v>40</v>
      </c>
      <c r="Q528" s="80">
        <f t="shared" si="85"/>
        <v>315</v>
      </c>
      <c r="R528" s="80">
        <f t="shared" si="86"/>
        <v>100</v>
      </c>
      <c r="S528" s="78">
        <f t="shared" si="87"/>
        <v>695</v>
      </c>
      <c r="T528" s="78">
        <f>50</f>
        <v>50</v>
      </c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</row>
    <row r="529" spans="1:30" ht="15.75" x14ac:dyDescent="0.25">
      <c r="A529" s="13">
        <v>57038</v>
      </c>
      <c r="B529" s="89">
        <v>29</v>
      </c>
      <c r="C529" s="78">
        <f>122.58</f>
        <v>122.58</v>
      </c>
      <c r="D529" s="78">
        <f>297.941</f>
        <v>297.94099999999997</v>
      </c>
      <c r="E529" s="86">
        <f>89.177</f>
        <v>89.177000000000007</v>
      </c>
      <c r="F529" s="78">
        <f>240.302-40-60</f>
        <v>140.30199999999999</v>
      </c>
      <c r="G529" s="80">
        <v>40</v>
      </c>
      <c r="H529" s="78">
        <v>60</v>
      </c>
      <c r="I529" s="78">
        <f t="shared" si="81"/>
        <v>0</v>
      </c>
      <c r="J529" s="80">
        <v>100</v>
      </c>
      <c r="K529" s="80">
        <v>300</v>
      </c>
      <c r="L529" s="78">
        <f t="shared" si="84"/>
        <v>1150</v>
      </c>
      <c r="M529" s="88">
        <v>600</v>
      </c>
      <c r="N529" s="78">
        <f>100</f>
        <v>100</v>
      </c>
      <c r="O529" s="80">
        <v>240</v>
      </c>
      <c r="P529" s="80">
        <v>40</v>
      </c>
      <c r="Q529" s="80">
        <f t="shared" si="85"/>
        <v>315</v>
      </c>
      <c r="R529" s="80">
        <f t="shared" si="86"/>
        <v>100</v>
      </c>
      <c r="S529" s="78">
        <f t="shared" si="87"/>
        <v>695</v>
      </c>
      <c r="T529" s="78">
        <f>50</f>
        <v>50</v>
      </c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</row>
    <row r="530" spans="1:30" ht="15.75" x14ac:dyDescent="0.25">
      <c r="A530" s="13">
        <v>57070</v>
      </c>
      <c r="B530" s="89">
        <v>31</v>
      </c>
      <c r="C530" s="78">
        <f>122.58</f>
        <v>122.58</v>
      </c>
      <c r="D530" s="78">
        <f>297.941</f>
        <v>297.94099999999997</v>
      </c>
      <c r="E530" s="86">
        <f>89.177</f>
        <v>89.177000000000007</v>
      </c>
      <c r="F530" s="78">
        <f>240.302-40-60</f>
        <v>140.30199999999999</v>
      </c>
      <c r="G530" s="80">
        <v>40</v>
      </c>
      <c r="H530" s="78">
        <v>60</v>
      </c>
      <c r="I530" s="78">
        <f t="shared" si="81"/>
        <v>0</v>
      </c>
      <c r="J530" s="80">
        <v>100</v>
      </c>
      <c r="K530" s="80">
        <v>300</v>
      </c>
      <c r="L530" s="78">
        <f t="shared" si="84"/>
        <v>1150</v>
      </c>
      <c r="M530" s="88">
        <v>600</v>
      </c>
      <c r="N530" s="78">
        <f>100</f>
        <v>100</v>
      </c>
      <c r="O530" s="80">
        <v>240</v>
      </c>
      <c r="P530" s="80">
        <v>40</v>
      </c>
      <c r="Q530" s="80">
        <f t="shared" si="85"/>
        <v>315</v>
      </c>
      <c r="R530" s="80">
        <f t="shared" si="86"/>
        <v>100</v>
      </c>
      <c r="S530" s="78">
        <f t="shared" si="87"/>
        <v>695</v>
      </c>
      <c r="T530" s="78">
        <f>50</f>
        <v>50</v>
      </c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</row>
    <row r="531" spans="1:30" ht="15.75" x14ac:dyDescent="0.25">
      <c r="A531" s="13">
        <v>57100</v>
      </c>
      <c r="B531" s="89">
        <v>30</v>
      </c>
      <c r="C531" s="78">
        <f>141.293</f>
        <v>141.29300000000001</v>
      </c>
      <c r="D531" s="78">
        <f>267.993</f>
        <v>267.99299999999999</v>
      </c>
      <c r="E531" s="86">
        <f>115.016</f>
        <v>115.01600000000001</v>
      </c>
      <c r="F531" s="78">
        <f>314.698-40-25-60</f>
        <v>189.69799999999998</v>
      </c>
      <c r="G531" s="80">
        <v>40</v>
      </c>
      <c r="H531" s="78">
        <f t="shared" ref="H531:H537" si="88">25+60</f>
        <v>85</v>
      </c>
      <c r="I531" s="78">
        <f t="shared" si="81"/>
        <v>0</v>
      </c>
      <c r="J531" s="80">
        <v>100</v>
      </c>
      <c r="K531" s="80">
        <v>300</v>
      </c>
      <c r="L531" s="78">
        <f t="shared" si="84"/>
        <v>1239</v>
      </c>
      <c r="M531" s="88">
        <v>600</v>
      </c>
      <c r="N531" s="78">
        <f>100</f>
        <v>100</v>
      </c>
      <c r="O531" s="80">
        <v>240</v>
      </c>
      <c r="P531" s="80">
        <v>160</v>
      </c>
      <c r="Q531" s="80">
        <f t="shared" si="85"/>
        <v>195</v>
      </c>
      <c r="R531" s="80">
        <f t="shared" si="86"/>
        <v>100</v>
      </c>
      <c r="S531" s="78">
        <f t="shared" si="87"/>
        <v>695</v>
      </c>
      <c r="T531" s="78">
        <f>50</f>
        <v>50</v>
      </c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</row>
    <row r="532" spans="1:30" ht="15.75" x14ac:dyDescent="0.25">
      <c r="A532" s="13">
        <v>57131</v>
      </c>
      <c r="B532" s="89">
        <v>31</v>
      </c>
      <c r="C532" s="78">
        <f>194.205</f>
        <v>194.20500000000001</v>
      </c>
      <c r="D532" s="78">
        <f>267.466</f>
        <v>267.46600000000001</v>
      </c>
      <c r="E532" s="86">
        <f>133.845</f>
        <v>133.845</v>
      </c>
      <c r="F532" s="78">
        <f>278.484-40-25-60</f>
        <v>153.48399999999998</v>
      </c>
      <c r="G532" s="80">
        <v>40</v>
      </c>
      <c r="H532" s="78">
        <f t="shared" si="88"/>
        <v>85</v>
      </c>
      <c r="I532" s="78">
        <f t="shared" si="81"/>
        <v>0</v>
      </c>
      <c r="J532" s="80">
        <v>100</v>
      </c>
      <c r="K532" s="80">
        <v>300</v>
      </c>
      <c r="L532" s="78">
        <f t="shared" si="84"/>
        <v>1274</v>
      </c>
      <c r="M532" s="88">
        <v>600</v>
      </c>
      <c r="N532" s="78">
        <f>75</f>
        <v>75</v>
      </c>
      <c r="O532" s="80">
        <v>240</v>
      </c>
      <c r="P532" s="80">
        <v>160</v>
      </c>
      <c r="Q532" s="80">
        <f t="shared" si="85"/>
        <v>195</v>
      </c>
      <c r="R532" s="80">
        <f t="shared" si="86"/>
        <v>100</v>
      </c>
      <c r="S532" s="78">
        <f t="shared" si="87"/>
        <v>695</v>
      </c>
      <c r="T532" s="78">
        <f>50</f>
        <v>50</v>
      </c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</row>
    <row r="533" spans="1:30" ht="15.75" x14ac:dyDescent="0.25">
      <c r="A533" s="13">
        <v>57161</v>
      </c>
      <c r="B533" s="89">
        <v>30</v>
      </c>
      <c r="C533" s="78">
        <f>194.205</f>
        <v>194.20500000000001</v>
      </c>
      <c r="D533" s="78">
        <f>267.466</f>
        <v>267.46600000000001</v>
      </c>
      <c r="E533" s="86">
        <f>133.845</f>
        <v>133.845</v>
      </c>
      <c r="F533" s="78">
        <f>278.484-40-25-60</f>
        <v>153.48399999999998</v>
      </c>
      <c r="G533" s="80">
        <v>40</v>
      </c>
      <c r="H533" s="78">
        <f t="shared" si="88"/>
        <v>85</v>
      </c>
      <c r="I533" s="78">
        <f t="shared" si="81"/>
        <v>0</v>
      </c>
      <c r="J533" s="80">
        <v>100</v>
      </c>
      <c r="K533" s="80">
        <v>300</v>
      </c>
      <c r="L533" s="78">
        <f t="shared" si="84"/>
        <v>1274</v>
      </c>
      <c r="M533" s="88">
        <v>600</v>
      </c>
      <c r="N533" s="78">
        <f>30</f>
        <v>30</v>
      </c>
      <c r="O533" s="80">
        <v>240</v>
      </c>
      <c r="P533" s="80">
        <v>160</v>
      </c>
      <c r="Q533" s="80">
        <f t="shared" si="85"/>
        <v>195</v>
      </c>
      <c r="R533" s="80">
        <f t="shared" si="86"/>
        <v>100</v>
      </c>
      <c r="S533" s="78">
        <f t="shared" si="87"/>
        <v>695</v>
      </c>
      <c r="T533" s="78">
        <f>50</f>
        <v>50</v>
      </c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</row>
    <row r="534" spans="1:30" ht="15.75" x14ac:dyDescent="0.25">
      <c r="A534" s="13">
        <v>57192</v>
      </c>
      <c r="B534" s="89">
        <v>31</v>
      </c>
      <c r="C534" s="78">
        <f>194.205</f>
        <v>194.20500000000001</v>
      </c>
      <c r="D534" s="78">
        <f>267.466</f>
        <v>267.46600000000001</v>
      </c>
      <c r="E534" s="86">
        <f>133.845</f>
        <v>133.845</v>
      </c>
      <c r="F534" s="78">
        <f>278.484-40-25-60</f>
        <v>153.48399999999998</v>
      </c>
      <c r="G534" s="80">
        <v>40</v>
      </c>
      <c r="H534" s="78">
        <f t="shared" si="88"/>
        <v>85</v>
      </c>
      <c r="I534" s="78">
        <f t="shared" si="81"/>
        <v>0</v>
      </c>
      <c r="J534" s="80">
        <v>100</v>
      </c>
      <c r="K534" s="80">
        <v>300</v>
      </c>
      <c r="L534" s="78">
        <f t="shared" si="84"/>
        <v>1274</v>
      </c>
      <c r="M534" s="88">
        <v>600</v>
      </c>
      <c r="N534" s="78">
        <f>30</f>
        <v>30</v>
      </c>
      <c r="O534" s="80">
        <v>240</v>
      </c>
      <c r="P534" s="80">
        <v>160</v>
      </c>
      <c r="Q534" s="80">
        <f t="shared" si="85"/>
        <v>195</v>
      </c>
      <c r="R534" s="80">
        <f t="shared" si="86"/>
        <v>100</v>
      </c>
      <c r="S534" s="78">
        <f t="shared" si="87"/>
        <v>695</v>
      </c>
      <c r="T534" s="78">
        <f>0</f>
        <v>0</v>
      </c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</row>
    <row r="535" spans="1:30" ht="15.75" x14ac:dyDescent="0.25">
      <c r="A535" s="13">
        <v>57223</v>
      </c>
      <c r="B535" s="89">
        <v>31</v>
      </c>
      <c r="C535" s="78">
        <f>194.205</f>
        <v>194.20500000000001</v>
      </c>
      <c r="D535" s="78">
        <f>267.466</f>
        <v>267.46600000000001</v>
      </c>
      <c r="E535" s="86">
        <f>133.845</f>
        <v>133.845</v>
      </c>
      <c r="F535" s="78">
        <f>278.484-40-25-60</f>
        <v>153.48399999999998</v>
      </c>
      <c r="G535" s="80">
        <v>40</v>
      </c>
      <c r="H535" s="78">
        <f t="shared" si="88"/>
        <v>85</v>
      </c>
      <c r="I535" s="78">
        <f t="shared" si="81"/>
        <v>0</v>
      </c>
      <c r="J535" s="80">
        <v>100</v>
      </c>
      <c r="K535" s="80">
        <v>300</v>
      </c>
      <c r="L535" s="78">
        <f t="shared" si="84"/>
        <v>1274</v>
      </c>
      <c r="M535" s="88">
        <v>600</v>
      </c>
      <c r="N535" s="78">
        <f>30</f>
        <v>30</v>
      </c>
      <c r="O535" s="80">
        <v>240</v>
      </c>
      <c r="P535" s="80">
        <v>160</v>
      </c>
      <c r="Q535" s="80">
        <f t="shared" si="85"/>
        <v>195</v>
      </c>
      <c r="R535" s="80">
        <f t="shared" si="86"/>
        <v>100</v>
      </c>
      <c r="S535" s="78">
        <f t="shared" si="87"/>
        <v>695</v>
      </c>
      <c r="T535" s="78">
        <f>0</f>
        <v>0</v>
      </c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</row>
    <row r="536" spans="1:30" ht="15.75" x14ac:dyDescent="0.25">
      <c r="A536" s="13">
        <v>57253</v>
      </c>
      <c r="B536" s="89">
        <v>30</v>
      </c>
      <c r="C536" s="78">
        <f>194.205</f>
        <v>194.20500000000001</v>
      </c>
      <c r="D536" s="78">
        <f>267.466</f>
        <v>267.46600000000001</v>
      </c>
      <c r="E536" s="86">
        <f>133.845</f>
        <v>133.845</v>
      </c>
      <c r="F536" s="78">
        <f>278.484-40-25-60</f>
        <v>153.48399999999998</v>
      </c>
      <c r="G536" s="80">
        <v>40</v>
      </c>
      <c r="H536" s="78">
        <f t="shared" si="88"/>
        <v>85</v>
      </c>
      <c r="I536" s="78">
        <f t="shared" si="81"/>
        <v>0</v>
      </c>
      <c r="J536" s="80">
        <v>100</v>
      </c>
      <c r="K536" s="80">
        <v>300</v>
      </c>
      <c r="L536" s="78">
        <f t="shared" si="84"/>
        <v>1274</v>
      </c>
      <c r="M536" s="88">
        <v>600</v>
      </c>
      <c r="N536" s="78">
        <f>30</f>
        <v>30</v>
      </c>
      <c r="O536" s="80">
        <v>240</v>
      </c>
      <c r="P536" s="80">
        <v>160</v>
      </c>
      <c r="Q536" s="80">
        <f t="shared" si="85"/>
        <v>195</v>
      </c>
      <c r="R536" s="80">
        <f t="shared" si="86"/>
        <v>100</v>
      </c>
      <c r="S536" s="78">
        <f t="shared" si="87"/>
        <v>695</v>
      </c>
      <c r="T536" s="78">
        <f>0</f>
        <v>0</v>
      </c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</row>
    <row r="537" spans="1:30" ht="15.75" x14ac:dyDescent="0.25">
      <c r="A537" s="13">
        <v>57284</v>
      </c>
      <c r="B537" s="89">
        <v>31</v>
      </c>
      <c r="C537" s="78">
        <f>131.881</f>
        <v>131.881</v>
      </c>
      <c r="D537" s="78">
        <f>277.167</f>
        <v>277.16699999999997</v>
      </c>
      <c r="E537" s="86">
        <f>79.08</f>
        <v>79.08</v>
      </c>
      <c r="F537" s="78">
        <f>350.872-40-25-60</f>
        <v>225.87200000000001</v>
      </c>
      <c r="G537" s="80">
        <v>40</v>
      </c>
      <c r="H537" s="78">
        <f t="shared" si="88"/>
        <v>85</v>
      </c>
      <c r="I537" s="78">
        <f t="shared" si="81"/>
        <v>0</v>
      </c>
      <c r="J537" s="80">
        <v>100</v>
      </c>
      <c r="K537" s="80">
        <v>300</v>
      </c>
      <c r="L537" s="78">
        <f t="shared" si="84"/>
        <v>1239</v>
      </c>
      <c r="M537" s="88">
        <v>600</v>
      </c>
      <c r="N537" s="78">
        <f>75</f>
        <v>75</v>
      </c>
      <c r="O537" s="80">
        <v>240</v>
      </c>
      <c r="P537" s="80">
        <v>160</v>
      </c>
      <c r="Q537" s="80">
        <f t="shared" si="85"/>
        <v>195</v>
      </c>
      <c r="R537" s="80">
        <f t="shared" si="86"/>
        <v>100</v>
      </c>
      <c r="S537" s="78">
        <f t="shared" si="87"/>
        <v>695</v>
      </c>
      <c r="T537" s="78">
        <f>0</f>
        <v>0</v>
      </c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</row>
    <row r="538" spans="1:30" ht="15.75" x14ac:dyDescent="0.25">
      <c r="A538" s="13">
        <v>57314</v>
      </c>
      <c r="B538" s="89">
        <v>30</v>
      </c>
      <c r="C538" s="78">
        <f>122.58</f>
        <v>122.58</v>
      </c>
      <c r="D538" s="78">
        <f>297.941</f>
        <v>297.94099999999997</v>
      </c>
      <c r="E538" s="86">
        <f>89.177</f>
        <v>89.177000000000007</v>
      </c>
      <c r="F538" s="78">
        <f>240.302-40-60</f>
        <v>140.30199999999999</v>
      </c>
      <c r="G538" s="80">
        <v>40</v>
      </c>
      <c r="H538" s="78">
        <v>60</v>
      </c>
      <c r="I538" s="78">
        <f t="shared" si="81"/>
        <v>0</v>
      </c>
      <c r="J538" s="80">
        <v>100</v>
      </c>
      <c r="K538" s="80">
        <v>300</v>
      </c>
      <c r="L538" s="78">
        <f t="shared" si="84"/>
        <v>1150</v>
      </c>
      <c r="M538" s="88">
        <v>600</v>
      </c>
      <c r="N538" s="78">
        <f>100</f>
        <v>100</v>
      </c>
      <c r="O538" s="80">
        <v>240</v>
      </c>
      <c r="P538" s="80">
        <v>40</v>
      </c>
      <c r="Q538" s="80">
        <f t="shared" si="85"/>
        <v>315</v>
      </c>
      <c r="R538" s="80">
        <f t="shared" si="86"/>
        <v>100</v>
      </c>
      <c r="S538" s="78">
        <f t="shared" si="87"/>
        <v>695</v>
      </c>
      <c r="T538" s="78">
        <f>50</f>
        <v>50</v>
      </c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</row>
    <row r="539" spans="1:30" ht="15.75" x14ac:dyDescent="0.25">
      <c r="A539" s="13">
        <v>57345</v>
      </c>
      <c r="B539" s="89">
        <v>31</v>
      </c>
      <c r="C539" s="78">
        <f>122.58</f>
        <v>122.58</v>
      </c>
      <c r="D539" s="78">
        <f>297.941</f>
        <v>297.94099999999997</v>
      </c>
      <c r="E539" s="86">
        <f>89.177</f>
        <v>89.177000000000007</v>
      </c>
      <c r="F539" s="78">
        <f>240.302-40-60</f>
        <v>140.30199999999999</v>
      </c>
      <c r="G539" s="80">
        <v>40</v>
      </c>
      <c r="H539" s="78">
        <v>60</v>
      </c>
      <c r="I539" s="78">
        <f t="shared" si="81"/>
        <v>0</v>
      </c>
      <c r="J539" s="80">
        <v>100</v>
      </c>
      <c r="K539" s="80">
        <v>300</v>
      </c>
      <c r="L539" s="78">
        <f t="shared" si="84"/>
        <v>1150</v>
      </c>
      <c r="M539" s="88">
        <v>600</v>
      </c>
      <c r="N539" s="78">
        <f>100</f>
        <v>100</v>
      </c>
      <c r="O539" s="80">
        <v>240</v>
      </c>
      <c r="P539" s="80">
        <v>40</v>
      </c>
      <c r="Q539" s="80">
        <f t="shared" si="85"/>
        <v>315</v>
      </c>
      <c r="R539" s="80">
        <f t="shared" si="86"/>
        <v>100</v>
      </c>
      <c r="S539" s="78">
        <f t="shared" si="87"/>
        <v>695</v>
      </c>
      <c r="T539" s="78">
        <f>50</f>
        <v>50</v>
      </c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</row>
    <row r="540" spans="1:30" ht="15.75" x14ac:dyDescent="0.25">
      <c r="A540" s="13">
        <v>57376</v>
      </c>
      <c r="B540" s="89">
        <v>31</v>
      </c>
      <c r="C540" s="78">
        <f>122.58</f>
        <v>122.58</v>
      </c>
      <c r="D540" s="78">
        <f>297.941</f>
        <v>297.94099999999997</v>
      </c>
      <c r="E540" s="86">
        <f>89.177</f>
        <v>89.177000000000007</v>
      </c>
      <c r="F540" s="78">
        <f>240.302-40-60</f>
        <v>140.30199999999999</v>
      </c>
      <c r="G540" s="80">
        <v>40</v>
      </c>
      <c r="H540" s="78">
        <v>60</v>
      </c>
      <c r="I540" s="78">
        <f t="shared" si="81"/>
        <v>0</v>
      </c>
      <c r="J540" s="80">
        <v>100</v>
      </c>
      <c r="K540" s="80">
        <v>300</v>
      </c>
      <c r="L540" s="78">
        <f t="shared" si="84"/>
        <v>1150</v>
      </c>
      <c r="M540" s="88">
        <v>600</v>
      </c>
      <c r="N540" s="78">
        <f>100</f>
        <v>100</v>
      </c>
      <c r="O540" s="80">
        <v>240</v>
      </c>
      <c r="P540" s="80">
        <v>40</v>
      </c>
      <c r="Q540" s="80">
        <f t="shared" si="85"/>
        <v>315</v>
      </c>
      <c r="R540" s="80">
        <f t="shared" si="86"/>
        <v>100</v>
      </c>
      <c r="S540" s="78">
        <f t="shared" si="87"/>
        <v>695</v>
      </c>
      <c r="T540" s="78">
        <f>50</f>
        <v>50</v>
      </c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</row>
    <row r="541" spans="1:30" ht="15.75" x14ac:dyDescent="0.25">
      <c r="A541" s="13">
        <v>57404</v>
      </c>
      <c r="B541" s="89">
        <v>28</v>
      </c>
      <c r="C541" s="78">
        <f>122.58</f>
        <v>122.58</v>
      </c>
      <c r="D541" s="78">
        <f>297.941</f>
        <v>297.94099999999997</v>
      </c>
      <c r="E541" s="86">
        <f>89.177</f>
        <v>89.177000000000007</v>
      </c>
      <c r="F541" s="78">
        <f>240.302-40-60</f>
        <v>140.30199999999999</v>
      </c>
      <c r="G541" s="80">
        <v>40</v>
      </c>
      <c r="H541" s="78">
        <v>60</v>
      </c>
      <c r="I541" s="78">
        <f t="shared" si="81"/>
        <v>0</v>
      </c>
      <c r="J541" s="80">
        <v>100</v>
      </c>
      <c r="K541" s="80">
        <v>300</v>
      </c>
      <c r="L541" s="78">
        <f t="shared" si="84"/>
        <v>1150</v>
      </c>
      <c r="M541" s="88">
        <v>600</v>
      </c>
      <c r="N541" s="78">
        <f>100</f>
        <v>100</v>
      </c>
      <c r="O541" s="80">
        <v>240</v>
      </c>
      <c r="P541" s="80">
        <v>40</v>
      </c>
      <c r="Q541" s="80">
        <f t="shared" si="85"/>
        <v>315</v>
      </c>
      <c r="R541" s="80">
        <f t="shared" si="86"/>
        <v>100</v>
      </c>
      <c r="S541" s="78">
        <f t="shared" si="87"/>
        <v>695</v>
      </c>
      <c r="T541" s="78">
        <f>50</f>
        <v>50</v>
      </c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</row>
    <row r="542" spans="1:30" ht="15.75" x14ac:dyDescent="0.25">
      <c r="A542" s="13">
        <v>57435</v>
      </c>
      <c r="B542" s="89">
        <v>31</v>
      </c>
      <c r="C542" s="78">
        <f>122.58</f>
        <v>122.58</v>
      </c>
      <c r="D542" s="78">
        <f>297.941</f>
        <v>297.94099999999997</v>
      </c>
      <c r="E542" s="86">
        <f>89.177</f>
        <v>89.177000000000007</v>
      </c>
      <c r="F542" s="78">
        <f>240.302-40-60</f>
        <v>140.30199999999999</v>
      </c>
      <c r="G542" s="80">
        <v>40</v>
      </c>
      <c r="H542" s="78">
        <v>60</v>
      </c>
      <c r="I542" s="78">
        <f t="shared" si="81"/>
        <v>0</v>
      </c>
      <c r="J542" s="80">
        <v>100</v>
      </c>
      <c r="K542" s="80">
        <v>300</v>
      </c>
      <c r="L542" s="78">
        <f t="shared" si="84"/>
        <v>1150</v>
      </c>
      <c r="M542" s="88">
        <v>600</v>
      </c>
      <c r="N542" s="78">
        <f>100</f>
        <v>100</v>
      </c>
      <c r="O542" s="80">
        <v>240</v>
      </c>
      <c r="P542" s="80">
        <v>40</v>
      </c>
      <c r="Q542" s="80">
        <f t="shared" si="85"/>
        <v>315</v>
      </c>
      <c r="R542" s="80">
        <f t="shared" si="86"/>
        <v>100</v>
      </c>
      <c r="S542" s="78">
        <f t="shared" si="87"/>
        <v>695</v>
      </c>
      <c r="T542" s="78">
        <f>50</f>
        <v>50</v>
      </c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</row>
    <row r="543" spans="1:30" ht="15.75" x14ac:dyDescent="0.25">
      <c r="A543" s="13">
        <v>57465</v>
      </c>
      <c r="B543" s="89">
        <v>30</v>
      </c>
      <c r="C543" s="78">
        <f>141.293</f>
        <v>141.29300000000001</v>
      </c>
      <c r="D543" s="78">
        <f>267.993</f>
        <v>267.99299999999999</v>
      </c>
      <c r="E543" s="86">
        <f>115.016</f>
        <v>115.01600000000001</v>
      </c>
      <c r="F543" s="78">
        <f>314.698-40-25-60</f>
        <v>189.69799999999998</v>
      </c>
      <c r="G543" s="80">
        <v>40</v>
      </c>
      <c r="H543" s="78">
        <f t="shared" ref="H543:H549" si="89">25+60</f>
        <v>85</v>
      </c>
      <c r="I543" s="78">
        <f t="shared" si="81"/>
        <v>0</v>
      </c>
      <c r="J543" s="80">
        <v>100</v>
      </c>
      <c r="K543" s="80">
        <v>300</v>
      </c>
      <c r="L543" s="78">
        <f t="shared" si="84"/>
        <v>1239</v>
      </c>
      <c r="M543" s="88">
        <v>600</v>
      </c>
      <c r="N543" s="78">
        <f>100</f>
        <v>100</v>
      </c>
      <c r="O543" s="80">
        <v>240</v>
      </c>
      <c r="P543" s="80">
        <v>160</v>
      </c>
      <c r="Q543" s="80">
        <f t="shared" si="85"/>
        <v>195</v>
      </c>
      <c r="R543" s="80">
        <f t="shared" si="86"/>
        <v>100</v>
      </c>
      <c r="S543" s="78">
        <f t="shared" si="87"/>
        <v>695</v>
      </c>
      <c r="T543" s="78">
        <f>50</f>
        <v>50</v>
      </c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</row>
    <row r="544" spans="1:30" ht="15.75" x14ac:dyDescent="0.25">
      <c r="A544" s="13">
        <v>57496</v>
      </c>
      <c r="B544" s="89">
        <v>31</v>
      </c>
      <c r="C544" s="78">
        <f>194.205</f>
        <v>194.20500000000001</v>
      </c>
      <c r="D544" s="78">
        <f>267.466</f>
        <v>267.46600000000001</v>
      </c>
      <c r="E544" s="86">
        <f>133.845</f>
        <v>133.845</v>
      </c>
      <c r="F544" s="78">
        <f>278.484-40-25-60</f>
        <v>153.48399999999998</v>
      </c>
      <c r="G544" s="80">
        <v>40</v>
      </c>
      <c r="H544" s="78">
        <f t="shared" si="89"/>
        <v>85</v>
      </c>
      <c r="I544" s="78">
        <f t="shared" si="81"/>
        <v>0</v>
      </c>
      <c r="J544" s="80">
        <v>100</v>
      </c>
      <c r="K544" s="80">
        <v>300</v>
      </c>
      <c r="L544" s="78">
        <f t="shared" si="84"/>
        <v>1274</v>
      </c>
      <c r="M544" s="88">
        <v>600</v>
      </c>
      <c r="N544" s="78">
        <f>75</f>
        <v>75</v>
      </c>
      <c r="O544" s="80">
        <v>240</v>
      </c>
      <c r="P544" s="80">
        <v>160</v>
      </c>
      <c r="Q544" s="80">
        <f t="shared" si="85"/>
        <v>195</v>
      </c>
      <c r="R544" s="80">
        <f t="shared" si="86"/>
        <v>100</v>
      </c>
      <c r="S544" s="78">
        <f t="shared" si="87"/>
        <v>695</v>
      </c>
      <c r="T544" s="78">
        <f>50</f>
        <v>50</v>
      </c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</row>
    <row r="545" spans="1:30" ht="15.75" x14ac:dyDescent="0.25">
      <c r="A545" s="13">
        <v>57526</v>
      </c>
      <c r="B545" s="89">
        <v>30</v>
      </c>
      <c r="C545" s="78">
        <f>194.205</f>
        <v>194.20500000000001</v>
      </c>
      <c r="D545" s="78">
        <f>267.466</f>
        <v>267.46600000000001</v>
      </c>
      <c r="E545" s="86">
        <f>133.845</f>
        <v>133.845</v>
      </c>
      <c r="F545" s="78">
        <f>278.484-40-25-60</f>
        <v>153.48399999999998</v>
      </c>
      <c r="G545" s="80">
        <v>40</v>
      </c>
      <c r="H545" s="78">
        <f t="shared" si="89"/>
        <v>85</v>
      </c>
      <c r="I545" s="78">
        <f t="shared" si="81"/>
        <v>0</v>
      </c>
      <c r="J545" s="80">
        <v>100</v>
      </c>
      <c r="K545" s="80">
        <v>300</v>
      </c>
      <c r="L545" s="78">
        <f t="shared" si="84"/>
        <v>1274</v>
      </c>
      <c r="M545" s="88">
        <v>600</v>
      </c>
      <c r="N545" s="78">
        <f>30</f>
        <v>30</v>
      </c>
      <c r="O545" s="80">
        <v>240</v>
      </c>
      <c r="P545" s="80">
        <v>160</v>
      </c>
      <c r="Q545" s="80">
        <f t="shared" si="85"/>
        <v>195</v>
      </c>
      <c r="R545" s="80">
        <f t="shared" si="86"/>
        <v>100</v>
      </c>
      <c r="S545" s="78">
        <f t="shared" si="87"/>
        <v>695</v>
      </c>
      <c r="T545" s="78">
        <f>50</f>
        <v>50</v>
      </c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</row>
    <row r="546" spans="1:30" ht="15.75" x14ac:dyDescent="0.25">
      <c r="A546" s="13">
        <v>57557</v>
      </c>
      <c r="B546" s="89">
        <v>31</v>
      </c>
      <c r="C546" s="78">
        <f>194.205</f>
        <v>194.20500000000001</v>
      </c>
      <c r="D546" s="78">
        <f>267.466</f>
        <v>267.46600000000001</v>
      </c>
      <c r="E546" s="86">
        <f>133.845</f>
        <v>133.845</v>
      </c>
      <c r="F546" s="78">
        <f>278.484-40-25-60</f>
        <v>153.48399999999998</v>
      </c>
      <c r="G546" s="80">
        <v>40</v>
      </c>
      <c r="H546" s="78">
        <f t="shared" si="89"/>
        <v>85</v>
      </c>
      <c r="I546" s="78">
        <f t="shared" si="81"/>
        <v>0</v>
      </c>
      <c r="J546" s="80">
        <v>100</v>
      </c>
      <c r="K546" s="80">
        <v>300</v>
      </c>
      <c r="L546" s="78">
        <f t="shared" si="84"/>
        <v>1274</v>
      </c>
      <c r="M546" s="88">
        <v>600</v>
      </c>
      <c r="N546" s="78">
        <f>30</f>
        <v>30</v>
      </c>
      <c r="O546" s="80">
        <v>240</v>
      </c>
      <c r="P546" s="80">
        <v>160</v>
      </c>
      <c r="Q546" s="80">
        <f t="shared" si="85"/>
        <v>195</v>
      </c>
      <c r="R546" s="80">
        <f t="shared" si="86"/>
        <v>100</v>
      </c>
      <c r="S546" s="78">
        <f t="shared" si="87"/>
        <v>695</v>
      </c>
      <c r="T546" s="78">
        <f>0</f>
        <v>0</v>
      </c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</row>
    <row r="547" spans="1:30" ht="15.75" x14ac:dyDescent="0.25">
      <c r="A547" s="13">
        <v>57588</v>
      </c>
      <c r="B547" s="89">
        <v>31</v>
      </c>
      <c r="C547" s="78">
        <f>194.205</f>
        <v>194.20500000000001</v>
      </c>
      <c r="D547" s="78">
        <f>267.466</f>
        <v>267.46600000000001</v>
      </c>
      <c r="E547" s="86">
        <f>133.845</f>
        <v>133.845</v>
      </c>
      <c r="F547" s="78">
        <f>278.484-40-25-60</f>
        <v>153.48399999999998</v>
      </c>
      <c r="G547" s="80">
        <v>40</v>
      </c>
      <c r="H547" s="78">
        <f t="shared" si="89"/>
        <v>85</v>
      </c>
      <c r="I547" s="78">
        <f t="shared" si="81"/>
        <v>0</v>
      </c>
      <c r="J547" s="80">
        <v>100</v>
      </c>
      <c r="K547" s="80">
        <v>300</v>
      </c>
      <c r="L547" s="78">
        <f t="shared" si="84"/>
        <v>1274</v>
      </c>
      <c r="M547" s="88">
        <v>600</v>
      </c>
      <c r="N547" s="78">
        <f>30</f>
        <v>30</v>
      </c>
      <c r="O547" s="80">
        <v>240</v>
      </c>
      <c r="P547" s="80">
        <v>160</v>
      </c>
      <c r="Q547" s="80">
        <f t="shared" si="85"/>
        <v>195</v>
      </c>
      <c r="R547" s="80">
        <f t="shared" si="86"/>
        <v>100</v>
      </c>
      <c r="S547" s="78">
        <f t="shared" si="87"/>
        <v>695</v>
      </c>
      <c r="T547" s="78">
        <f>0</f>
        <v>0</v>
      </c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</row>
    <row r="548" spans="1:30" ht="15.75" x14ac:dyDescent="0.25">
      <c r="A548" s="13">
        <v>57618</v>
      </c>
      <c r="B548" s="89">
        <v>30</v>
      </c>
      <c r="C548" s="78">
        <f>194.205</f>
        <v>194.20500000000001</v>
      </c>
      <c r="D548" s="78">
        <f>267.466</f>
        <v>267.46600000000001</v>
      </c>
      <c r="E548" s="86">
        <f>133.845</f>
        <v>133.845</v>
      </c>
      <c r="F548" s="78">
        <f>278.484-40-25-60</f>
        <v>153.48399999999998</v>
      </c>
      <c r="G548" s="80">
        <v>40</v>
      </c>
      <c r="H548" s="78">
        <f t="shared" si="89"/>
        <v>85</v>
      </c>
      <c r="I548" s="78">
        <f t="shared" si="81"/>
        <v>0</v>
      </c>
      <c r="J548" s="80">
        <v>100</v>
      </c>
      <c r="K548" s="80">
        <v>300</v>
      </c>
      <c r="L548" s="78">
        <f t="shared" si="84"/>
        <v>1274</v>
      </c>
      <c r="M548" s="88">
        <v>600</v>
      </c>
      <c r="N548" s="78">
        <f>30</f>
        <v>30</v>
      </c>
      <c r="O548" s="80">
        <v>240</v>
      </c>
      <c r="P548" s="80">
        <v>160</v>
      </c>
      <c r="Q548" s="80">
        <f t="shared" si="85"/>
        <v>195</v>
      </c>
      <c r="R548" s="80">
        <f t="shared" si="86"/>
        <v>100</v>
      </c>
      <c r="S548" s="78">
        <f t="shared" si="87"/>
        <v>695</v>
      </c>
      <c r="T548" s="78">
        <f>0</f>
        <v>0</v>
      </c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</row>
    <row r="549" spans="1:30" ht="15.75" x14ac:dyDescent="0.25">
      <c r="A549" s="13">
        <v>57649</v>
      </c>
      <c r="B549" s="89">
        <v>31</v>
      </c>
      <c r="C549" s="78">
        <f>131.881</f>
        <v>131.881</v>
      </c>
      <c r="D549" s="78">
        <f>277.167</f>
        <v>277.16699999999997</v>
      </c>
      <c r="E549" s="86">
        <f>79.08</f>
        <v>79.08</v>
      </c>
      <c r="F549" s="78">
        <f>350.872-40-25-60</f>
        <v>225.87200000000001</v>
      </c>
      <c r="G549" s="80">
        <v>40</v>
      </c>
      <c r="H549" s="78">
        <f t="shared" si="89"/>
        <v>85</v>
      </c>
      <c r="I549" s="78">
        <f t="shared" si="81"/>
        <v>0</v>
      </c>
      <c r="J549" s="80">
        <v>100</v>
      </c>
      <c r="K549" s="80">
        <v>300</v>
      </c>
      <c r="L549" s="78">
        <f t="shared" si="84"/>
        <v>1239</v>
      </c>
      <c r="M549" s="88">
        <v>600</v>
      </c>
      <c r="N549" s="78">
        <f>75</f>
        <v>75</v>
      </c>
      <c r="O549" s="80">
        <v>240</v>
      </c>
      <c r="P549" s="80">
        <v>160</v>
      </c>
      <c r="Q549" s="80">
        <f t="shared" si="85"/>
        <v>195</v>
      </c>
      <c r="R549" s="80">
        <f t="shared" si="86"/>
        <v>100</v>
      </c>
      <c r="S549" s="78">
        <f t="shared" si="87"/>
        <v>695</v>
      </c>
      <c r="T549" s="78">
        <f>0</f>
        <v>0</v>
      </c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</row>
    <row r="550" spans="1:30" ht="15.75" x14ac:dyDescent="0.25">
      <c r="A550" s="13">
        <v>57679</v>
      </c>
      <c r="B550" s="89">
        <v>30</v>
      </c>
      <c r="C550" s="78">
        <f>122.58</f>
        <v>122.58</v>
      </c>
      <c r="D550" s="78">
        <f>297.941</f>
        <v>297.94099999999997</v>
      </c>
      <c r="E550" s="86">
        <f>89.177</f>
        <v>89.177000000000007</v>
      </c>
      <c r="F550" s="78">
        <f>240.302-40-60</f>
        <v>140.30199999999999</v>
      </c>
      <c r="G550" s="80">
        <v>40</v>
      </c>
      <c r="H550" s="78">
        <v>60</v>
      </c>
      <c r="I550" s="78">
        <f t="shared" si="81"/>
        <v>0</v>
      </c>
      <c r="J550" s="80">
        <v>100</v>
      </c>
      <c r="K550" s="80">
        <v>300</v>
      </c>
      <c r="L550" s="78">
        <f t="shared" si="84"/>
        <v>1150</v>
      </c>
      <c r="M550" s="88">
        <v>600</v>
      </c>
      <c r="N550" s="78">
        <f>100</f>
        <v>100</v>
      </c>
      <c r="O550" s="80">
        <v>240</v>
      </c>
      <c r="P550" s="80">
        <v>40</v>
      </c>
      <c r="Q550" s="80">
        <f t="shared" si="85"/>
        <v>315</v>
      </c>
      <c r="R550" s="80">
        <f t="shared" si="86"/>
        <v>100</v>
      </c>
      <c r="S550" s="78">
        <f t="shared" si="87"/>
        <v>695</v>
      </c>
      <c r="T550" s="78">
        <f>50</f>
        <v>50</v>
      </c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</row>
    <row r="551" spans="1:30" ht="15.75" x14ac:dyDescent="0.25">
      <c r="A551" s="13">
        <v>57710</v>
      </c>
      <c r="B551" s="89">
        <v>31</v>
      </c>
      <c r="C551" s="78">
        <f>122.58</f>
        <v>122.58</v>
      </c>
      <c r="D551" s="78">
        <f>297.941</f>
        <v>297.94099999999997</v>
      </c>
      <c r="E551" s="86">
        <f>89.177</f>
        <v>89.177000000000007</v>
      </c>
      <c r="F551" s="78">
        <f>240.302-40-60</f>
        <v>140.30199999999999</v>
      </c>
      <c r="G551" s="80">
        <v>40</v>
      </c>
      <c r="H551" s="78">
        <v>60</v>
      </c>
      <c r="I551" s="78">
        <f t="shared" si="81"/>
        <v>0</v>
      </c>
      <c r="J551" s="80">
        <v>100</v>
      </c>
      <c r="K551" s="80">
        <v>300</v>
      </c>
      <c r="L551" s="78">
        <f t="shared" si="84"/>
        <v>1150</v>
      </c>
      <c r="M551" s="88">
        <v>600</v>
      </c>
      <c r="N551" s="78">
        <f>100</f>
        <v>100</v>
      </c>
      <c r="O551" s="80">
        <v>240</v>
      </c>
      <c r="P551" s="80">
        <v>40</v>
      </c>
      <c r="Q551" s="80">
        <f t="shared" si="85"/>
        <v>315</v>
      </c>
      <c r="R551" s="80">
        <f t="shared" si="86"/>
        <v>100</v>
      </c>
      <c r="S551" s="78">
        <f t="shared" si="87"/>
        <v>695</v>
      </c>
      <c r="T551" s="78">
        <f>50</f>
        <v>50</v>
      </c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</row>
    <row r="552" spans="1:30" ht="15.75" x14ac:dyDescent="0.25">
      <c r="A552" s="13">
        <v>57741</v>
      </c>
      <c r="B552" s="89">
        <v>31</v>
      </c>
      <c r="C552" s="78">
        <f>122.58</f>
        <v>122.58</v>
      </c>
      <c r="D552" s="78">
        <f>297.941</f>
        <v>297.94099999999997</v>
      </c>
      <c r="E552" s="86">
        <f>89.177</f>
        <v>89.177000000000007</v>
      </c>
      <c r="F552" s="78">
        <f>240.302-40-60</f>
        <v>140.30199999999999</v>
      </c>
      <c r="G552" s="80">
        <v>40</v>
      </c>
      <c r="H552" s="78">
        <v>60</v>
      </c>
      <c r="I552" s="78">
        <f t="shared" si="81"/>
        <v>0</v>
      </c>
      <c r="J552" s="80">
        <v>100</v>
      </c>
      <c r="K552" s="80">
        <v>300</v>
      </c>
      <c r="L552" s="78">
        <f t="shared" si="84"/>
        <v>1150</v>
      </c>
      <c r="M552" s="88">
        <v>600</v>
      </c>
      <c r="N552" s="78">
        <f>100</f>
        <v>100</v>
      </c>
      <c r="O552" s="80">
        <v>240</v>
      </c>
      <c r="P552" s="80">
        <v>40</v>
      </c>
      <c r="Q552" s="80">
        <f t="shared" si="85"/>
        <v>315</v>
      </c>
      <c r="R552" s="80">
        <f t="shared" si="86"/>
        <v>100</v>
      </c>
      <c r="S552" s="78">
        <f t="shared" si="87"/>
        <v>695</v>
      </c>
      <c r="T552" s="78">
        <f>50</f>
        <v>50</v>
      </c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</row>
    <row r="553" spans="1:30" ht="15.75" x14ac:dyDescent="0.25">
      <c r="A553" s="13">
        <v>57769</v>
      </c>
      <c r="B553" s="89">
        <v>28</v>
      </c>
      <c r="C553" s="78">
        <f>122.58</f>
        <v>122.58</v>
      </c>
      <c r="D553" s="78">
        <f>297.941</f>
        <v>297.94099999999997</v>
      </c>
      <c r="E553" s="86">
        <f>89.177</f>
        <v>89.177000000000007</v>
      </c>
      <c r="F553" s="78">
        <f>240.302-40-60</f>
        <v>140.30199999999999</v>
      </c>
      <c r="G553" s="80">
        <v>40</v>
      </c>
      <c r="H553" s="78">
        <v>60</v>
      </c>
      <c r="I553" s="78">
        <f t="shared" si="81"/>
        <v>0</v>
      </c>
      <c r="J553" s="80">
        <v>100</v>
      </c>
      <c r="K553" s="80">
        <v>300</v>
      </c>
      <c r="L553" s="78">
        <f t="shared" si="84"/>
        <v>1150</v>
      </c>
      <c r="M553" s="88">
        <v>600</v>
      </c>
      <c r="N553" s="78">
        <f>100</f>
        <v>100</v>
      </c>
      <c r="O553" s="80">
        <v>240</v>
      </c>
      <c r="P553" s="80">
        <v>40</v>
      </c>
      <c r="Q553" s="80">
        <f t="shared" si="85"/>
        <v>315</v>
      </c>
      <c r="R553" s="80">
        <f t="shared" si="86"/>
        <v>100</v>
      </c>
      <c r="S553" s="78">
        <f t="shared" si="87"/>
        <v>695</v>
      </c>
      <c r="T553" s="78">
        <f>50</f>
        <v>50</v>
      </c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</row>
    <row r="554" spans="1:30" ht="15.75" x14ac:dyDescent="0.25">
      <c r="A554" s="13">
        <v>57800</v>
      </c>
      <c r="B554" s="89">
        <v>31</v>
      </c>
      <c r="C554" s="78">
        <f>122.58</f>
        <v>122.58</v>
      </c>
      <c r="D554" s="78">
        <f>297.941</f>
        <v>297.94099999999997</v>
      </c>
      <c r="E554" s="86">
        <f>89.177</f>
        <v>89.177000000000007</v>
      </c>
      <c r="F554" s="78">
        <f>240.302-40-60</f>
        <v>140.30199999999999</v>
      </c>
      <c r="G554" s="80">
        <v>40</v>
      </c>
      <c r="H554" s="78">
        <v>60</v>
      </c>
      <c r="I554" s="78">
        <f t="shared" si="81"/>
        <v>0</v>
      </c>
      <c r="J554" s="80">
        <v>100</v>
      </c>
      <c r="K554" s="80">
        <v>300</v>
      </c>
      <c r="L554" s="78">
        <f t="shared" si="84"/>
        <v>1150</v>
      </c>
      <c r="M554" s="88">
        <v>600</v>
      </c>
      <c r="N554" s="78">
        <f>100</f>
        <v>100</v>
      </c>
      <c r="O554" s="80">
        <v>240</v>
      </c>
      <c r="P554" s="80">
        <v>40</v>
      </c>
      <c r="Q554" s="80">
        <f t="shared" si="85"/>
        <v>315</v>
      </c>
      <c r="R554" s="80">
        <f t="shared" si="86"/>
        <v>100</v>
      </c>
      <c r="S554" s="78">
        <f t="shared" si="87"/>
        <v>695</v>
      </c>
      <c r="T554" s="78">
        <f>50</f>
        <v>50</v>
      </c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</row>
    <row r="555" spans="1:30" ht="15.75" x14ac:dyDescent="0.25">
      <c r="A555" s="13">
        <v>57830</v>
      </c>
      <c r="B555" s="89">
        <v>30</v>
      </c>
      <c r="C555" s="78">
        <f>141.293</f>
        <v>141.29300000000001</v>
      </c>
      <c r="D555" s="78">
        <f>267.993</f>
        <v>267.99299999999999</v>
      </c>
      <c r="E555" s="86">
        <f>115.016</f>
        <v>115.01600000000001</v>
      </c>
      <c r="F555" s="78">
        <f>314.698-40-25-60</f>
        <v>189.69799999999998</v>
      </c>
      <c r="G555" s="80">
        <v>40</v>
      </c>
      <c r="H555" s="78">
        <f t="shared" ref="H555:H561" si="90">25+60</f>
        <v>85</v>
      </c>
      <c r="I555" s="78">
        <f t="shared" si="81"/>
        <v>0</v>
      </c>
      <c r="J555" s="80">
        <v>100</v>
      </c>
      <c r="K555" s="80">
        <v>300</v>
      </c>
      <c r="L555" s="78">
        <f t="shared" si="84"/>
        <v>1239</v>
      </c>
      <c r="M555" s="88">
        <v>600</v>
      </c>
      <c r="N555" s="78">
        <f>100</f>
        <v>100</v>
      </c>
      <c r="O555" s="80">
        <v>240</v>
      </c>
      <c r="P555" s="80">
        <v>160</v>
      </c>
      <c r="Q555" s="80">
        <f t="shared" si="85"/>
        <v>195</v>
      </c>
      <c r="R555" s="80">
        <f t="shared" si="86"/>
        <v>100</v>
      </c>
      <c r="S555" s="78">
        <f t="shared" si="87"/>
        <v>695</v>
      </c>
      <c r="T555" s="78">
        <f>50</f>
        <v>50</v>
      </c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</row>
    <row r="556" spans="1:30" ht="15.75" x14ac:dyDescent="0.25">
      <c r="A556" s="13">
        <v>57861</v>
      </c>
      <c r="B556" s="89">
        <v>31</v>
      </c>
      <c r="C556" s="78">
        <f>194.205</f>
        <v>194.20500000000001</v>
      </c>
      <c r="D556" s="78">
        <f>267.466</f>
        <v>267.46600000000001</v>
      </c>
      <c r="E556" s="86">
        <f>133.845</f>
        <v>133.845</v>
      </c>
      <c r="F556" s="78">
        <f>278.484-40-25-60</f>
        <v>153.48399999999998</v>
      </c>
      <c r="G556" s="80">
        <v>40</v>
      </c>
      <c r="H556" s="78">
        <f t="shared" si="90"/>
        <v>85</v>
      </c>
      <c r="I556" s="78">
        <f t="shared" si="81"/>
        <v>0</v>
      </c>
      <c r="J556" s="80">
        <v>100</v>
      </c>
      <c r="K556" s="80">
        <v>300</v>
      </c>
      <c r="L556" s="78">
        <f t="shared" si="84"/>
        <v>1274</v>
      </c>
      <c r="M556" s="88">
        <v>600</v>
      </c>
      <c r="N556" s="78">
        <f>75</f>
        <v>75</v>
      </c>
      <c r="O556" s="80">
        <v>240</v>
      </c>
      <c r="P556" s="80">
        <v>160</v>
      </c>
      <c r="Q556" s="80">
        <f t="shared" si="85"/>
        <v>195</v>
      </c>
      <c r="R556" s="80">
        <f t="shared" si="86"/>
        <v>100</v>
      </c>
      <c r="S556" s="78">
        <f t="shared" si="87"/>
        <v>695</v>
      </c>
      <c r="T556" s="78">
        <f>50</f>
        <v>50</v>
      </c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</row>
    <row r="557" spans="1:30" ht="15.75" x14ac:dyDescent="0.25">
      <c r="A557" s="13">
        <v>57891</v>
      </c>
      <c r="B557" s="89">
        <v>30</v>
      </c>
      <c r="C557" s="78">
        <f>194.205</f>
        <v>194.20500000000001</v>
      </c>
      <c r="D557" s="78">
        <f>267.466</f>
        <v>267.46600000000001</v>
      </c>
      <c r="E557" s="86">
        <f>133.845</f>
        <v>133.845</v>
      </c>
      <c r="F557" s="78">
        <f>278.484-40-25-60</f>
        <v>153.48399999999998</v>
      </c>
      <c r="G557" s="80">
        <v>40</v>
      </c>
      <c r="H557" s="78">
        <f t="shared" si="90"/>
        <v>85</v>
      </c>
      <c r="I557" s="78">
        <f t="shared" si="81"/>
        <v>0</v>
      </c>
      <c r="J557" s="80">
        <v>100</v>
      </c>
      <c r="K557" s="80">
        <v>300</v>
      </c>
      <c r="L557" s="78">
        <f t="shared" si="84"/>
        <v>1274</v>
      </c>
      <c r="M557" s="88">
        <v>600</v>
      </c>
      <c r="N557" s="78">
        <f>30</f>
        <v>30</v>
      </c>
      <c r="O557" s="80">
        <v>240</v>
      </c>
      <c r="P557" s="80">
        <v>160</v>
      </c>
      <c r="Q557" s="80">
        <f t="shared" si="85"/>
        <v>195</v>
      </c>
      <c r="R557" s="80">
        <f t="shared" si="86"/>
        <v>100</v>
      </c>
      <c r="S557" s="78">
        <f t="shared" si="87"/>
        <v>695</v>
      </c>
      <c r="T557" s="78">
        <f>50</f>
        <v>50</v>
      </c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</row>
    <row r="558" spans="1:30" ht="15.75" x14ac:dyDescent="0.25">
      <c r="A558" s="13">
        <v>57922</v>
      </c>
      <c r="B558" s="89">
        <v>31</v>
      </c>
      <c r="C558" s="78">
        <f>194.205</f>
        <v>194.20500000000001</v>
      </c>
      <c r="D558" s="78">
        <f>267.466</f>
        <v>267.46600000000001</v>
      </c>
      <c r="E558" s="86">
        <f>133.845</f>
        <v>133.845</v>
      </c>
      <c r="F558" s="78">
        <f>278.484-40-25-60</f>
        <v>153.48399999999998</v>
      </c>
      <c r="G558" s="80">
        <v>40</v>
      </c>
      <c r="H558" s="78">
        <f t="shared" si="90"/>
        <v>85</v>
      </c>
      <c r="I558" s="78">
        <f t="shared" si="81"/>
        <v>0</v>
      </c>
      <c r="J558" s="80">
        <v>100</v>
      </c>
      <c r="K558" s="80">
        <v>300</v>
      </c>
      <c r="L558" s="78">
        <f t="shared" si="84"/>
        <v>1274</v>
      </c>
      <c r="M558" s="88">
        <v>600</v>
      </c>
      <c r="N558" s="78">
        <f>30</f>
        <v>30</v>
      </c>
      <c r="O558" s="80">
        <v>240</v>
      </c>
      <c r="P558" s="80">
        <v>160</v>
      </c>
      <c r="Q558" s="80">
        <f t="shared" si="85"/>
        <v>195</v>
      </c>
      <c r="R558" s="80">
        <f t="shared" si="86"/>
        <v>100</v>
      </c>
      <c r="S558" s="78">
        <f t="shared" si="87"/>
        <v>695</v>
      </c>
      <c r="T558" s="78">
        <f>0</f>
        <v>0</v>
      </c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</row>
    <row r="559" spans="1:30" ht="15.75" x14ac:dyDescent="0.25">
      <c r="A559" s="13">
        <v>57953</v>
      </c>
      <c r="B559" s="89">
        <v>31</v>
      </c>
      <c r="C559" s="78">
        <f>194.205</f>
        <v>194.20500000000001</v>
      </c>
      <c r="D559" s="78">
        <f>267.466</f>
        <v>267.46600000000001</v>
      </c>
      <c r="E559" s="86">
        <f>133.845</f>
        <v>133.845</v>
      </c>
      <c r="F559" s="78">
        <f>278.484-40-25-60</f>
        <v>153.48399999999998</v>
      </c>
      <c r="G559" s="80">
        <v>40</v>
      </c>
      <c r="H559" s="78">
        <f t="shared" si="90"/>
        <v>85</v>
      </c>
      <c r="I559" s="78">
        <f t="shared" si="81"/>
        <v>0</v>
      </c>
      <c r="J559" s="80">
        <v>100</v>
      </c>
      <c r="K559" s="80">
        <v>300</v>
      </c>
      <c r="L559" s="78">
        <f t="shared" si="84"/>
        <v>1274</v>
      </c>
      <c r="M559" s="88">
        <v>600</v>
      </c>
      <c r="N559" s="78">
        <f>30</f>
        <v>30</v>
      </c>
      <c r="O559" s="80">
        <v>240</v>
      </c>
      <c r="P559" s="80">
        <v>160</v>
      </c>
      <c r="Q559" s="80">
        <f t="shared" si="85"/>
        <v>195</v>
      </c>
      <c r="R559" s="80">
        <f t="shared" si="86"/>
        <v>100</v>
      </c>
      <c r="S559" s="78">
        <f t="shared" si="87"/>
        <v>695</v>
      </c>
      <c r="T559" s="78">
        <f>0</f>
        <v>0</v>
      </c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</row>
    <row r="560" spans="1:30" ht="15.75" x14ac:dyDescent="0.25">
      <c r="A560" s="13">
        <v>57983</v>
      </c>
      <c r="B560" s="89">
        <v>30</v>
      </c>
      <c r="C560" s="78">
        <f>194.205</f>
        <v>194.20500000000001</v>
      </c>
      <c r="D560" s="78">
        <f>267.466</f>
        <v>267.46600000000001</v>
      </c>
      <c r="E560" s="86">
        <f>133.845</f>
        <v>133.845</v>
      </c>
      <c r="F560" s="78">
        <f>278.484-40-25-60</f>
        <v>153.48399999999998</v>
      </c>
      <c r="G560" s="80">
        <v>40</v>
      </c>
      <c r="H560" s="78">
        <f t="shared" si="90"/>
        <v>85</v>
      </c>
      <c r="I560" s="78">
        <f t="shared" si="81"/>
        <v>0</v>
      </c>
      <c r="J560" s="80">
        <v>100</v>
      </c>
      <c r="K560" s="80">
        <v>300</v>
      </c>
      <c r="L560" s="78">
        <f t="shared" si="84"/>
        <v>1274</v>
      </c>
      <c r="M560" s="88">
        <v>600</v>
      </c>
      <c r="N560" s="78">
        <f>30</f>
        <v>30</v>
      </c>
      <c r="O560" s="80">
        <v>240</v>
      </c>
      <c r="P560" s="80">
        <v>160</v>
      </c>
      <c r="Q560" s="80">
        <f t="shared" si="85"/>
        <v>195</v>
      </c>
      <c r="R560" s="80">
        <f t="shared" si="86"/>
        <v>100</v>
      </c>
      <c r="S560" s="78">
        <f t="shared" si="87"/>
        <v>695</v>
      </c>
      <c r="T560" s="78">
        <f>0</f>
        <v>0</v>
      </c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</row>
    <row r="561" spans="1:30" ht="15.75" x14ac:dyDescent="0.25">
      <c r="A561" s="13">
        <v>58014</v>
      </c>
      <c r="B561" s="89">
        <v>31</v>
      </c>
      <c r="C561" s="78">
        <f>131.881</f>
        <v>131.881</v>
      </c>
      <c r="D561" s="78">
        <f>277.167</f>
        <v>277.16699999999997</v>
      </c>
      <c r="E561" s="86">
        <f>79.08</f>
        <v>79.08</v>
      </c>
      <c r="F561" s="78">
        <f>350.872-40-25-60</f>
        <v>225.87200000000001</v>
      </c>
      <c r="G561" s="80">
        <v>40</v>
      </c>
      <c r="H561" s="78">
        <f t="shared" si="90"/>
        <v>85</v>
      </c>
      <c r="I561" s="78">
        <f t="shared" si="81"/>
        <v>0</v>
      </c>
      <c r="J561" s="80">
        <v>100</v>
      </c>
      <c r="K561" s="80">
        <v>300</v>
      </c>
      <c r="L561" s="78">
        <f t="shared" si="84"/>
        <v>1239</v>
      </c>
      <c r="M561" s="88">
        <v>600</v>
      </c>
      <c r="N561" s="78">
        <f>75</f>
        <v>75</v>
      </c>
      <c r="O561" s="80">
        <v>240</v>
      </c>
      <c r="P561" s="80">
        <v>160</v>
      </c>
      <c r="Q561" s="80">
        <f t="shared" si="85"/>
        <v>195</v>
      </c>
      <c r="R561" s="80">
        <f t="shared" si="86"/>
        <v>100</v>
      </c>
      <c r="S561" s="78">
        <f t="shared" si="87"/>
        <v>695</v>
      </c>
      <c r="T561" s="78">
        <f>0</f>
        <v>0</v>
      </c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</row>
    <row r="562" spans="1:30" ht="15.75" x14ac:dyDescent="0.25">
      <c r="A562" s="13">
        <v>58044</v>
      </c>
      <c r="B562" s="89">
        <v>30</v>
      </c>
      <c r="C562" s="78">
        <f>122.58</f>
        <v>122.58</v>
      </c>
      <c r="D562" s="78">
        <f>297.941</f>
        <v>297.94099999999997</v>
      </c>
      <c r="E562" s="86">
        <f>89.177</f>
        <v>89.177000000000007</v>
      </c>
      <c r="F562" s="78">
        <f>240.302-40-60</f>
        <v>140.30199999999999</v>
      </c>
      <c r="G562" s="80">
        <v>40</v>
      </c>
      <c r="H562" s="78">
        <v>60</v>
      </c>
      <c r="I562" s="78">
        <f t="shared" si="81"/>
        <v>0</v>
      </c>
      <c r="J562" s="80">
        <v>100</v>
      </c>
      <c r="K562" s="80">
        <v>300</v>
      </c>
      <c r="L562" s="78">
        <f t="shared" si="84"/>
        <v>1150</v>
      </c>
      <c r="M562" s="88">
        <v>600</v>
      </c>
      <c r="N562" s="78">
        <f>100</f>
        <v>100</v>
      </c>
      <c r="O562" s="80">
        <v>240</v>
      </c>
      <c r="P562" s="80">
        <v>40</v>
      </c>
      <c r="Q562" s="80">
        <f t="shared" si="85"/>
        <v>315</v>
      </c>
      <c r="R562" s="80">
        <f t="shared" si="86"/>
        <v>100</v>
      </c>
      <c r="S562" s="78">
        <f t="shared" si="87"/>
        <v>695</v>
      </c>
      <c r="T562" s="78">
        <f>50</f>
        <v>50</v>
      </c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</row>
    <row r="563" spans="1:30" ht="15.75" x14ac:dyDescent="0.25">
      <c r="A563" s="13">
        <v>58075</v>
      </c>
      <c r="B563" s="89">
        <v>31</v>
      </c>
      <c r="C563" s="78">
        <f>122.58</f>
        <v>122.58</v>
      </c>
      <c r="D563" s="78">
        <f>297.941</f>
        <v>297.94099999999997</v>
      </c>
      <c r="E563" s="86">
        <f>89.177</f>
        <v>89.177000000000007</v>
      </c>
      <c r="F563" s="78">
        <f>240.302-40-60</f>
        <v>140.30199999999999</v>
      </c>
      <c r="G563" s="80">
        <v>40</v>
      </c>
      <c r="H563" s="78">
        <v>60</v>
      </c>
      <c r="I563" s="78">
        <f t="shared" si="81"/>
        <v>0</v>
      </c>
      <c r="J563" s="80">
        <v>100</v>
      </c>
      <c r="K563" s="80">
        <v>300</v>
      </c>
      <c r="L563" s="78">
        <f t="shared" si="84"/>
        <v>1150</v>
      </c>
      <c r="M563" s="88">
        <v>600</v>
      </c>
      <c r="N563" s="78">
        <f>100</f>
        <v>100</v>
      </c>
      <c r="O563" s="80">
        <v>240</v>
      </c>
      <c r="P563" s="80">
        <v>40</v>
      </c>
      <c r="Q563" s="80">
        <f t="shared" si="85"/>
        <v>315</v>
      </c>
      <c r="R563" s="80">
        <f t="shared" si="86"/>
        <v>100</v>
      </c>
      <c r="S563" s="78">
        <f t="shared" si="87"/>
        <v>695</v>
      </c>
      <c r="T563" s="78">
        <f>50</f>
        <v>50</v>
      </c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</row>
    <row r="564" spans="1:30" ht="15.75" x14ac:dyDescent="0.25">
      <c r="A564" s="13">
        <v>58106</v>
      </c>
      <c r="B564" s="89">
        <v>31</v>
      </c>
      <c r="C564" s="78">
        <f>122.58</f>
        <v>122.58</v>
      </c>
      <c r="D564" s="78">
        <f>297.941</f>
        <v>297.94099999999997</v>
      </c>
      <c r="E564" s="86">
        <f>89.177</f>
        <v>89.177000000000007</v>
      </c>
      <c r="F564" s="78">
        <f>240.302-40-60</f>
        <v>140.30199999999999</v>
      </c>
      <c r="G564" s="80">
        <v>40</v>
      </c>
      <c r="H564" s="78">
        <v>60</v>
      </c>
      <c r="I564" s="78">
        <f t="shared" ref="I564:I599" si="91">400-J564-K564</f>
        <v>0</v>
      </c>
      <c r="J564" s="80">
        <v>100</v>
      </c>
      <c r="K564" s="80">
        <v>300</v>
      </c>
      <c r="L564" s="78">
        <f t="shared" si="84"/>
        <v>1150</v>
      </c>
      <c r="M564" s="88">
        <v>600</v>
      </c>
      <c r="N564" s="78">
        <f>100</f>
        <v>100</v>
      </c>
      <c r="O564" s="80">
        <v>240</v>
      </c>
      <c r="P564" s="80">
        <v>40</v>
      </c>
      <c r="Q564" s="80">
        <f t="shared" si="85"/>
        <v>315</v>
      </c>
      <c r="R564" s="80">
        <f t="shared" si="86"/>
        <v>100</v>
      </c>
      <c r="S564" s="78">
        <f t="shared" si="87"/>
        <v>695</v>
      </c>
      <c r="T564" s="78">
        <f>50</f>
        <v>50</v>
      </c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</row>
    <row r="565" spans="1:30" ht="15.75" x14ac:dyDescent="0.25">
      <c r="A565" s="13">
        <v>58134</v>
      </c>
      <c r="B565" s="89">
        <v>28</v>
      </c>
      <c r="C565" s="78">
        <f>122.58</f>
        <v>122.58</v>
      </c>
      <c r="D565" s="78">
        <f>297.941</f>
        <v>297.94099999999997</v>
      </c>
      <c r="E565" s="86">
        <f>89.177</f>
        <v>89.177000000000007</v>
      </c>
      <c r="F565" s="78">
        <f>240.302-40-60</f>
        <v>140.30199999999999</v>
      </c>
      <c r="G565" s="80">
        <v>40</v>
      </c>
      <c r="H565" s="78">
        <v>60</v>
      </c>
      <c r="I565" s="78">
        <f t="shared" si="91"/>
        <v>0</v>
      </c>
      <c r="J565" s="80">
        <v>100</v>
      </c>
      <c r="K565" s="80">
        <v>300</v>
      </c>
      <c r="L565" s="78">
        <f t="shared" si="84"/>
        <v>1150</v>
      </c>
      <c r="M565" s="88">
        <v>600</v>
      </c>
      <c r="N565" s="78">
        <f>100</f>
        <v>100</v>
      </c>
      <c r="O565" s="80">
        <v>240</v>
      </c>
      <c r="P565" s="80">
        <v>40</v>
      </c>
      <c r="Q565" s="80">
        <f t="shared" si="85"/>
        <v>315</v>
      </c>
      <c r="R565" s="80">
        <f t="shared" si="86"/>
        <v>100</v>
      </c>
      <c r="S565" s="78">
        <f t="shared" si="87"/>
        <v>695</v>
      </c>
      <c r="T565" s="78">
        <f>50</f>
        <v>50</v>
      </c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</row>
    <row r="566" spans="1:30" ht="15.75" x14ac:dyDescent="0.25">
      <c r="A566" s="13">
        <v>58165</v>
      </c>
      <c r="B566" s="89">
        <v>31</v>
      </c>
      <c r="C566" s="78">
        <f>122.58</f>
        <v>122.58</v>
      </c>
      <c r="D566" s="78">
        <f>297.941</f>
        <v>297.94099999999997</v>
      </c>
      <c r="E566" s="86">
        <f>89.177</f>
        <v>89.177000000000007</v>
      </c>
      <c r="F566" s="78">
        <f>240.302-40-60</f>
        <v>140.30199999999999</v>
      </c>
      <c r="G566" s="80">
        <v>40</v>
      </c>
      <c r="H566" s="78">
        <v>60</v>
      </c>
      <c r="I566" s="78">
        <f t="shared" si="91"/>
        <v>0</v>
      </c>
      <c r="J566" s="80">
        <v>100</v>
      </c>
      <c r="K566" s="80">
        <v>300</v>
      </c>
      <c r="L566" s="78">
        <f t="shared" si="84"/>
        <v>1150</v>
      </c>
      <c r="M566" s="88">
        <v>600</v>
      </c>
      <c r="N566" s="78">
        <f>100</f>
        <v>100</v>
      </c>
      <c r="O566" s="80">
        <v>240</v>
      </c>
      <c r="P566" s="80">
        <v>40</v>
      </c>
      <c r="Q566" s="80">
        <f t="shared" si="85"/>
        <v>315</v>
      </c>
      <c r="R566" s="80">
        <f t="shared" si="86"/>
        <v>100</v>
      </c>
      <c r="S566" s="78">
        <f t="shared" si="87"/>
        <v>695</v>
      </c>
      <c r="T566" s="78">
        <f>50</f>
        <v>50</v>
      </c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</row>
    <row r="567" spans="1:30" ht="15.75" x14ac:dyDescent="0.25">
      <c r="A567" s="13">
        <v>58195</v>
      </c>
      <c r="B567" s="89">
        <v>30</v>
      </c>
      <c r="C567" s="78">
        <f>141.293</f>
        <v>141.29300000000001</v>
      </c>
      <c r="D567" s="78">
        <f>267.993</f>
        <v>267.99299999999999</v>
      </c>
      <c r="E567" s="86">
        <f>115.016</f>
        <v>115.01600000000001</v>
      </c>
      <c r="F567" s="78">
        <f>314.698-40-25-60</f>
        <v>189.69799999999998</v>
      </c>
      <c r="G567" s="80">
        <v>40</v>
      </c>
      <c r="H567" s="78">
        <f t="shared" ref="H567:H573" si="92">25+60</f>
        <v>85</v>
      </c>
      <c r="I567" s="78">
        <f t="shared" si="91"/>
        <v>0</v>
      </c>
      <c r="J567" s="80">
        <v>100</v>
      </c>
      <c r="K567" s="80">
        <v>300</v>
      </c>
      <c r="L567" s="78">
        <f t="shared" si="84"/>
        <v>1239</v>
      </c>
      <c r="M567" s="88">
        <v>600</v>
      </c>
      <c r="N567" s="78">
        <f>100</f>
        <v>100</v>
      </c>
      <c r="O567" s="80">
        <v>240</v>
      </c>
      <c r="P567" s="80">
        <v>160</v>
      </c>
      <c r="Q567" s="80">
        <f t="shared" si="85"/>
        <v>195</v>
      </c>
      <c r="R567" s="80">
        <f t="shared" si="86"/>
        <v>100</v>
      </c>
      <c r="S567" s="78">
        <f t="shared" si="87"/>
        <v>695</v>
      </c>
      <c r="T567" s="78">
        <f>50</f>
        <v>50</v>
      </c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</row>
    <row r="568" spans="1:30" ht="15.75" x14ac:dyDescent="0.25">
      <c r="A568" s="13">
        <v>58226</v>
      </c>
      <c r="B568" s="89">
        <v>31</v>
      </c>
      <c r="C568" s="78">
        <f>194.205</f>
        <v>194.20500000000001</v>
      </c>
      <c r="D568" s="78">
        <f>267.466</f>
        <v>267.46600000000001</v>
      </c>
      <c r="E568" s="86">
        <f>133.845</f>
        <v>133.845</v>
      </c>
      <c r="F568" s="78">
        <f>278.484-40-25-60</f>
        <v>153.48399999999998</v>
      </c>
      <c r="G568" s="80">
        <v>40</v>
      </c>
      <c r="H568" s="78">
        <f t="shared" si="92"/>
        <v>85</v>
      </c>
      <c r="I568" s="78">
        <f t="shared" si="91"/>
        <v>0</v>
      </c>
      <c r="J568" s="80">
        <v>100</v>
      </c>
      <c r="K568" s="80">
        <v>300</v>
      </c>
      <c r="L568" s="78">
        <f t="shared" si="84"/>
        <v>1274</v>
      </c>
      <c r="M568" s="88">
        <v>600</v>
      </c>
      <c r="N568" s="78">
        <f>75</f>
        <v>75</v>
      </c>
      <c r="O568" s="80">
        <v>240</v>
      </c>
      <c r="P568" s="80">
        <v>160</v>
      </c>
      <c r="Q568" s="80">
        <f t="shared" si="85"/>
        <v>195</v>
      </c>
      <c r="R568" s="80">
        <f t="shared" si="86"/>
        <v>100</v>
      </c>
      <c r="S568" s="78">
        <f t="shared" si="87"/>
        <v>695</v>
      </c>
      <c r="T568" s="78">
        <f>50</f>
        <v>50</v>
      </c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</row>
    <row r="569" spans="1:30" ht="15.75" x14ac:dyDescent="0.25">
      <c r="A569" s="13">
        <v>58256</v>
      </c>
      <c r="B569" s="89">
        <v>30</v>
      </c>
      <c r="C569" s="78">
        <f>194.205</f>
        <v>194.20500000000001</v>
      </c>
      <c r="D569" s="78">
        <f>267.466</f>
        <v>267.46600000000001</v>
      </c>
      <c r="E569" s="86">
        <f>133.845</f>
        <v>133.845</v>
      </c>
      <c r="F569" s="78">
        <f>278.484-40-25-60</f>
        <v>153.48399999999998</v>
      </c>
      <c r="G569" s="80">
        <v>40</v>
      </c>
      <c r="H569" s="78">
        <f t="shared" si="92"/>
        <v>85</v>
      </c>
      <c r="I569" s="78">
        <f t="shared" si="91"/>
        <v>0</v>
      </c>
      <c r="J569" s="80">
        <v>100</v>
      </c>
      <c r="K569" s="80">
        <v>300</v>
      </c>
      <c r="L569" s="78">
        <f t="shared" si="84"/>
        <v>1274</v>
      </c>
      <c r="M569" s="88">
        <v>600</v>
      </c>
      <c r="N569" s="78">
        <f>30</f>
        <v>30</v>
      </c>
      <c r="O569" s="80">
        <v>240</v>
      </c>
      <c r="P569" s="80">
        <v>160</v>
      </c>
      <c r="Q569" s="80">
        <f t="shared" si="85"/>
        <v>195</v>
      </c>
      <c r="R569" s="80">
        <f t="shared" si="86"/>
        <v>100</v>
      </c>
      <c r="S569" s="78">
        <f t="shared" si="87"/>
        <v>695</v>
      </c>
      <c r="T569" s="78">
        <f>50</f>
        <v>50</v>
      </c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</row>
    <row r="570" spans="1:30" ht="15.75" x14ac:dyDescent="0.25">
      <c r="A570" s="13">
        <v>58287</v>
      </c>
      <c r="B570" s="89">
        <v>31</v>
      </c>
      <c r="C570" s="78">
        <f>194.205</f>
        <v>194.20500000000001</v>
      </c>
      <c r="D570" s="78">
        <f>267.466</f>
        <v>267.46600000000001</v>
      </c>
      <c r="E570" s="86">
        <f>133.845</f>
        <v>133.845</v>
      </c>
      <c r="F570" s="78">
        <f>278.484-40-25-60</f>
        <v>153.48399999999998</v>
      </c>
      <c r="G570" s="80">
        <v>40</v>
      </c>
      <c r="H570" s="78">
        <f t="shared" si="92"/>
        <v>85</v>
      </c>
      <c r="I570" s="78">
        <f t="shared" si="91"/>
        <v>0</v>
      </c>
      <c r="J570" s="80">
        <v>100</v>
      </c>
      <c r="K570" s="80">
        <v>300</v>
      </c>
      <c r="L570" s="78">
        <f t="shared" si="84"/>
        <v>1274</v>
      </c>
      <c r="M570" s="88">
        <v>600</v>
      </c>
      <c r="N570" s="78">
        <f>30</f>
        <v>30</v>
      </c>
      <c r="O570" s="80">
        <v>240</v>
      </c>
      <c r="P570" s="80">
        <v>160</v>
      </c>
      <c r="Q570" s="80">
        <f t="shared" si="85"/>
        <v>195</v>
      </c>
      <c r="R570" s="80">
        <f t="shared" si="86"/>
        <v>100</v>
      </c>
      <c r="S570" s="78">
        <f t="shared" si="87"/>
        <v>695</v>
      </c>
      <c r="T570" s="78">
        <f>0</f>
        <v>0</v>
      </c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</row>
    <row r="571" spans="1:30" ht="15.75" x14ac:dyDescent="0.25">
      <c r="A571" s="13">
        <v>58318</v>
      </c>
      <c r="B571" s="89">
        <v>31</v>
      </c>
      <c r="C571" s="78">
        <f>194.205</f>
        <v>194.20500000000001</v>
      </c>
      <c r="D571" s="78">
        <f>267.466</f>
        <v>267.46600000000001</v>
      </c>
      <c r="E571" s="86">
        <f>133.845</f>
        <v>133.845</v>
      </c>
      <c r="F571" s="78">
        <f>278.484-40-25-60</f>
        <v>153.48399999999998</v>
      </c>
      <c r="G571" s="80">
        <v>40</v>
      </c>
      <c r="H571" s="78">
        <f t="shared" si="92"/>
        <v>85</v>
      </c>
      <c r="I571" s="78">
        <f t="shared" si="91"/>
        <v>0</v>
      </c>
      <c r="J571" s="80">
        <v>100</v>
      </c>
      <c r="K571" s="80">
        <v>300</v>
      </c>
      <c r="L571" s="78">
        <f t="shared" si="84"/>
        <v>1274</v>
      </c>
      <c r="M571" s="88">
        <v>600</v>
      </c>
      <c r="N571" s="78">
        <f>30</f>
        <v>30</v>
      </c>
      <c r="O571" s="80">
        <v>240</v>
      </c>
      <c r="P571" s="80">
        <v>160</v>
      </c>
      <c r="Q571" s="80">
        <f t="shared" si="85"/>
        <v>195</v>
      </c>
      <c r="R571" s="80">
        <f t="shared" si="86"/>
        <v>100</v>
      </c>
      <c r="S571" s="78">
        <f t="shared" si="87"/>
        <v>695</v>
      </c>
      <c r="T571" s="78">
        <f>0</f>
        <v>0</v>
      </c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</row>
    <row r="572" spans="1:30" ht="15.75" x14ac:dyDescent="0.25">
      <c r="A572" s="13">
        <v>58348</v>
      </c>
      <c r="B572" s="89">
        <v>30</v>
      </c>
      <c r="C572" s="78">
        <f>194.205</f>
        <v>194.20500000000001</v>
      </c>
      <c r="D572" s="78">
        <f>267.466</f>
        <v>267.46600000000001</v>
      </c>
      <c r="E572" s="86">
        <f>133.845</f>
        <v>133.845</v>
      </c>
      <c r="F572" s="78">
        <f>278.484-40-25-60</f>
        <v>153.48399999999998</v>
      </c>
      <c r="G572" s="80">
        <v>40</v>
      </c>
      <c r="H572" s="78">
        <f t="shared" si="92"/>
        <v>85</v>
      </c>
      <c r="I572" s="78">
        <f t="shared" si="91"/>
        <v>0</v>
      </c>
      <c r="J572" s="80">
        <v>100</v>
      </c>
      <c r="K572" s="80">
        <v>300</v>
      </c>
      <c r="L572" s="78">
        <f t="shared" si="84"/>
        <v>1274</v>
      </c>
      <c r="M572" s="88">
        <v>600</v>
      </c>
      <c r="N572" s="78">
        <f>30</f>
        <v>30</v>
      </c>
      <c r="O572" s="80">
        <v>240</v>
      </c>
      <c r="P572" s="80">
        <v>160</v>
      </c>
      <c r="Q572" s="80">
        <f t="shared" si="85"/>
        <v>195</v>
      </c>
      <c r="R572" s="80">
        <f t="shared" si="86"/>
        <v>100</v>
      </c>
      <c r="S572" s="78">
        <f t="shared" si="87"/>
        <v>695</v>
      </c>
      <c r="T572" s="78">
        <f>0</f>
        <v>0</v>
      </c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</row>
    <row r="573" spans="1:30" ht="15.75" x14ac:dyDescent="0.25">
      <c r="A573" s="13">
        <v>58379</v>
      </c>
      <c r="B573" s="89">
        <v>31</v>
      </c>
      <c r="C573" s="78">
        <f>131.881</f>
        <v>131.881</v>
      </c>
      <c r="D573" s="78">
        <f>277.167</f>
        <v>277.16699999999997</v>
      </c>
      <c r="E573" s="86">
        <f>79.08</f>
        <v>79.08</v>
      </c>
      <c r="F573" s="78">
        <f>350.872-40-25-60</f>
        <v>225.87200000000001</v>
      </c>
      <c r="G573" s="80">
        <v>40</v>
      </c>
      <c r="H573" s="78">
        <f t="shared" si="92"/>
        <v>85</v>
      </c>
      <c r="I573" s="78">
        <f t="shared" si="91"/>
        <v>0</v>
      </c>
      <c r="J573" s="80">
        <v>100</v>
      </c>
      <c r="K573" s="80">
        <v>300</v>
      </c>
      <c r="L573" s="78">
        <f t="shared" si="84"/>
        <v>1239</v>
      </c>
      <c r="M573" s="88">
        <v>600</v>
      </c>
      <c r="N573" s="78">
        <f>75</f>
        <v>75</v>
      </c>
      <c r="O573" s="80">
        <v>240</v>
      </c>
      <c r="P573" s="80">
        <v>160</v>
      </c>
      <c r="Q573" s="80">
        <f t="shared" si="85"/>
        <v>195</v>
      </c>
      <c r="R573" s="80">
        <f t="shared" si="86"/>
        <v>100</v>
      </c>
      <c r="S573" s="78">
        <f t="shared" si="87"/>
        <v>695</v>
      </c>
      <c r="T573" s="78">
        <f>0</f>
        <v>0</v>
      </c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</row>
    <row r="574" spans="1:30" ht="15.75" x14ac:dyDescent="0.25">
      <c r="A574" s="13">
        <v>58409</v>
      </c>
      <c r="B574" s="89">
        <v>30</v>
      </c>
      <c r="C574" s="78">
        <f>122.58</f>
        <v>122.58</v>
      </c>
      <c r="D574" s="78">
        <f>297.941</f>
        <v>297.94099999999997</v>
      </c>
      <c r="E574" s="86">
        <f>89.177</f>
        <v>89.177000000000007</v>
      </c>
      <c r="F574" s="78">
        <f>240.302-40-60</f>
        <v>140.30199999999999</v>
      </c>
      <c r="G574" s="80">
        <v>40</v>
      </c>
      <c r="H574" s="78">
        <v>60</v>
      </c>
      <c r="I574" s="78">
        <f t="shared" si="91"/>
        <v>0</v>
      </c>
      <c r="J574" s="80">
        <v>100</v>
      </c>
      <c r="K574" s="80">
        <v>300</v>
      </c>
      <c r="L574" s="78">
        <f t="shared" si="84"/>
        <v>1150</v>
      </c>
      <c r="M574" s="88">
        <v>600</v>
      </c>
      <c r="N574" s="78">
        <f>100</f>
        <v>100</v>
      </c>
      <c r="O574" s="80">
        <v>240</v>
      </c>
      <c r="P574" s="80">
        <v>40</v>
      </c>
      <c r="Q574" s="80">
        <f t="shared" si="85"/>
        <v>315</v>
      </c>
      <c r="R574" s="80">
        <f t="shared" si="86"/>
        <v>100</v>
      </c>
      <c r="S574" s="78">
        <f t="shared" si="87"/>
        <v>695</v>
      </c>
      <c r="T574" s="78">
        <f>50</f>
        <v>50</v>
      </c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</row>
    <row r="575" spans="1:30" ht="15.75" x14ac:dyDescent="0.25">
      <c r="A575" s="13">
        <v>58440</v>
      </c>
      <c r="B575" s="89">
        <v>31</v>
      </c>
      <c r="C575" s="78">
        <f>122.58</f>
        <v>122.58</v>
      </c>
      <c r="D575" s="78">
        <f>297.941</f>
        <v>297.94099999999997</v>
      </c>
      <c r="E575" s="86">
        <f>89.177</f>
        <v>89.177000000000007</v>
      </c>
      <c r="F575" s="78">
        <f>240.302-40-60</f>
        <v>140.30199999999999</v>
      </c>
      <c r="G575" s="80">
        <v>40</v>
      </c>
      <c r="H575" s="78">
        <v>60</v>
      </c>
      <c r="I575" s="78">
        <f t="shared" si="91"/>
        <v>0</v>
      </c>
      <c r="J575" s="80">
        <v>100</v>
      </c>
      <c r="K575" s="80">
        <v>300</v>
      </c>
      <c r="L575" s="78">
        <f t="shared" si="84"/>
        <v>1150</v>
      </c>
      <c r="M575" s="88">
        <v>600</v>
      </c>
      <c r="N575" s="78">
        <f>100</f>
        <v>100</v>
      </c>
      <c r="O575" s="80">
        <v>240</v>
      </c>
      <c r="P575" s="80">
        <v>40</v>
      </c>
      <c r="Q575" s="80">
        <f t="shared" si="85"/>
        <v>315</v>
      </c>
      <c r="R575" s="80">
        <f t="shared" si="86"/>
        <v>100</v>
      </c>
      <c r="S575" s="78">
        <f t="shared" si="87"/>
        <v>695</v>
      </c>
      <c r="T575" s="78">
        <f>50</f>
        <v>50</v>
      </c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</row>
    <row r="576" spans="1:30" ht="15.75" x14ac:dyDescent="0.25">
      <c r="A576" s="13">
        <v>58471</v>
      </c>
      <c r="B576" s="89">
        <v>31</v>
      </c>
      <c r="C576" s="78">
        <f>122.58</f>
        <v>122.58</v>
      </c>
      <c r="D576" s="78">
        <f>297.941</f>
        <v>297.94099999999997</v>
      </c>
      <c r="E576" s="86">
        <f>89.177</f>
        <v>89.177000000000007</v>
      </c>
      <c r="F576" s="78">
        <f>240.302-40-60</f>
        <v>140.30199999999999</v>
      </c>
      <c r="G576" s="80">
        <v>40</v>
      </c>
      <c r="H576" s="78">
        <v>60</v>
      </c>
      <c r="I576" s="78">
        <f t="shared" si="91"/>
        <v>0</v>
      </c>
      <c r="J576" s="80">
        <v>100</v>
      </c>
      <c r="K576" s="80">
        <v>300</v>
      </c>
      <c r="L576" s="78">
        <f t="shared" si="84"/>
        <v>1150</v>
      </c>
      <c r="M576" s="88">
        <v>600</v>
      </c>
      <c r="N576" s="78">
        <f>100</f>
        <v>100</v>
      </c>
      <c r="O576" s="80">
        <v>240</v>
      </c>
      <c r="P576" s="80">
        <v>40</v>
      </c>
      <c r="Q576" s="80">
        <f t="shared" si="85"/>
        <v>315</v>
      </c>
      <c r="R576" s="80">
        <f t="shared" si="86"/>
        <v>100</v>
      </c>
      <c r="S576" s="78">
        <f t="shared" si="87"/>
        <v>695</v>
      </c>
      <c r="T576" s="78">
        <f>50</f>
        <v>50</v>
      </c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</row>
    <row r="577" spans="1:30" ht="15.75" x14ac:dyDescent="0.25">
      <c r="A577" s="13">
        <v>58499</v>
      </c>
      <c r="B577" s="89">
        <v>29</v>
      </c>
      <c r="C577" s="78">
        <f>122.58</f>
        <v>122.58</v>
      </c>
      <c r="D577" s="78">
        <f>297.941</f>
        <v>297.94099999999997</v>
      </c>
      <c r="E577" s="86">
        <f>89.177</f>
        <v>89.177000000000007</v>
      </c>
      <c r="F577" s="78">
        <f>240.302-40-60</f>
        <v>140.30199999999999</v>
      </c>
      <c r="G577" s="80">
        <v>40</v>
      </c>
      <c r="H577" s="78">
        <v>60</v>
      </c>
      <c r="I577" s="78">
        <f t="shared" si="91"/>
        <v>0</v>
      </c>
      <c r="J577" s="80">
        <v>100</v>
      </c>
      <c r="K577" s="80">
        <v>300</v>
      </c>
      <c r="L577" s="78">
        <f t="shared" si="84"/>
        <v>1150</v>
      </c>
      <c r="M577" s="88">
        <v>600</v>
      </c>
      <c r="N577" s="78">
        <f>100</f>
        <v>100</v>
      </c>
      <c r="O577" s="80">
        <v>240</v>
      </c>
      <c r="P577" s="80">
        <v>40</v>
      </c>
      <c r="Q577" s="80">
        <f t="shared" si="85"/>
        <v>315</v>
      </c>
      <c r="R577" s="80">
        <f t="shared" si="86"/>
        <v>100</v>
      </c>
      <c r="S577" s="78">
        <f t="shared" si="87"/>
        <v>695</v>
      </c>
      <c r="T577" s="78">
        <f>50</f>
        <v>50</v>
      </c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</row>
    <row r="578" spans="1:30" ht="15.75" x14ac:dyDescent="0.25">
      <c r="A578" s="13">
        <v>58531</v>
      </c>
      <c r="B578" s="89">
        <v>31</v>
      </c>
      <c r="C578" s="78">
        <f>122.58</f>
        <v>122.58</v>
      </c>
      <c r="D578" s="78">
        <f>297.941</f>
        <v>297.94099999999997</v>
      </c>
      <c r="E578" s="86">
        <f>89.177</f>
        <v>89.177000000000007</v>
      </c>
      <c r="F578" s="78">
        <f>240.302-40-60</f>
        <v>140.30199999999999</v>
      </c>
      <c r="G578" s="80">
        <v>40</v>
      </c>
      <c r="H578" s="78">
        <v>60</v>
      </c>
      <c r="I578" s="78">
        <f t="shared" si="91"/>
        <v>0</v>
      </c>
      <c r="J578" s="80">
        <v>100</v>
      </c>
      <c r="K578" s="80">
        <v>300</v>
      </c>
      <c r="L578" s="78">
        <f t="shared" si="84"/>
        <v>1150</v>
      </c>
      <c r="M578" s="88">
        <v>600</v>
      </c>
      <c r="N578" s="78">
        <f>100</f>
        <v>100</v>
      </c>
      <c r="O578" s="80">
        <v>240</v>
      </c>
      <c r="P578" s="80">
        <v>40</v>
      </c>
      <c r="Q578" s="80">
        <f t="shared" si="85"/>
        <v>315</v>
      </c>
      <c r="R578" s="80">
        <f t="shared" si="86"/>
        <v>100</v>
      </c>
      <c r="S578" s="78">
        <f t="shared" si="87"/>
        <v>695</v>
      </c>
      <c r="T578" s="78">
        <f>50</f>
        <v>50</v>
      </c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</row>
    <row r="579" spans="1:30" ht="15.75" x14ac:dyDescent="0.25">
      <c r="A579" s="13">
        <v>58561</v>
      </c>
      <c r="B579" s="89">
        <v>30</v>
      </c>
      <c r="C579" s="78">
        <f>141.293</f>
        <v>141.29300000000001</v>
      </c>
      <c r="D579" s="78">
        <f>267.993</f>
        <v>267.99299999999999</v>
      </c>
      <c r="E579" s="86">
        <f>115.016</f>
        <v>115.01600000000001</v>
      </c>
      <c r="F579" s="78">
        <f>314.698-40-25-60</f>
        <v>189.69799999999998</v>
      </c>
      <c r="G579" s="80">
        <v>40</v>
      </c>
      <c r="H579" s="78">
        <f t="shared" ref="H579:H585" si="93">25+60</f>
        <v>85</v>
      </c>
      <c r="I579" s="78">
        <f t="shared" si="91"/>
        <v>0</v>
      </c>
      <c r="J579" s="80">
        <v>100</v>
      </c>
      <c r="K579" s="80">
        <v>300</v>
      </c>
      <c r="L579" s="78">
        <f t="shared" si="84"/>
        <v>1239</v>
      </c>
      <c r="M579" s="88">
        <v>600</v>
      </c>
      <c r="N579" s="78">
        <f>100</f>
        <v>100</v>
      </c>
      <c r="O579" s="80">
        <v>240</v>
      </c>
      <c r="P579" s="80">
        <v>160</v>
      </c>
      <c r="Q579" s="80">
        <f t="shared" si="85"/>
        <v>195</v>
      </c>
      <c r="R579" s="80">
        <f t="shared" si="86"/>
        <v>100</v>
      </c>
      <c r="S579" s="78">
        <f t="shared" si="87"/>
        <v>695</v>
      </c>
      <c r="T579" s="78">
        <f>50</f>
        <v>50</v>
      </c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</row>
    <row r="580" spans="1:30" ht="15.75" x14ac:dyDescent="0.25">
      <c r="A580" s="13">
        <v>58592</v>
      </c>
      <c r="B580" s="89">
        <v>31</v>
      </c>
      <c r="C580" s="78">
        <f>194.205</f>
        <v>194.20500000000001</v>
      </c>
      <c r="D580" s="78">
        <f>267.466</f>
        <v>267.46600000000001</v>
      </c>
      <c r="E580" s="86">
        <f>133.845</f>
        <v>133.845</v>
      </c>
      <c r="F580" s="78">
        <f>278.484-40-25-60</f>
        <v>153.48399999999998</v>
      </c>
      <c r="G580" s="80">
        <v>40</v>
      </c>
      <c r="H580" s="78">
        <f t="shared" si="93"/>
        <v>85</v>
      </c>
      <c r="I580" s="78">
        <f t="shared" si="91"/>
        <v>0</v>
      </c>
      <c r="J580" s="80">
        <v>100</v>
      </c>
      <c r="K580" s="80">
        <v>300</v>
      </c>
      <c r="L580" s="78">
        <f t="shared" si="84"/>
        <v>1274</v>
      </c>
      <c r="M580" s="88">
        <v>600</v>
      </c>
      <c r="N580" s="78">
        <f>75</f>
        <v>75</v>
      </c>
      <c r="O580" s="80">
        <v>240</v>
      </c>
      <c r="P580" s="80">
        <v>160</v>
      </c>
      <c r="Q580" s="80">
        <f t="shared" si="85"/>
        <v>195</v>
      </c>
      <c r="R580" s="80">
        <f t="shared" si="86"/>
        <v>100</v>
      </c>
      <c r="S580" s="78">
        <f t="shared" si="87"/>
        <v>695</v>
      </c>
      <c r="T580" s="78">
        <f>50</f>
        <v>50</v>
      </c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</row>
    <row r="581" spans="1:30" ht="15.75" x14ac:dyDescent="0.25">
      <c r="A581" s="13">
        <v>58622</v>
      </c>
      <c r="B581" s="89">
        <v>30</v>
      </c>
      <c r="C581" s="78">
        <f>194.205</f>
        <v>194.20500000000001</v>
      </c>
      <c r="D581" s="78">
        <f>267.466</f>
        <v>267.46600000000001</v>
      </c>
      <c r="E581" s="86">
        <f>133.845</f>
        <v>133.845</v>
      </c>
      <c r="F581" s="78">
        <f>278.484-40-25-60</f>
        <v>153.48399999999998</v>
      </c>
      <c r="G581" s="80">
        <v>40</v>
      </c>
      <c r="H581" s="78">
        <f t="shared" si="93"/>
        <v>85</v>
      </c>
      <c r="I581" s="78">
        <f t="shared" si="91"/>
        <v>0</v>
      </c>
      <c r="J581" s="80">
        <v>100</v>
      </c>
      <c r="K581" s="80">
        <v>300</v>
      </c>
      <c r="L581" s="78">
        <f t="shared" si="84"/>
        <v>1274</v>
      </c>
      <c r="M581" s="88">
        <v>600</v>
      </c>
      <c r="N581" s="78">
        <f>30</f>
        <v>30</v>
      </c>
      <c r="O581" s="80">
        <v>240</v>
      </c>
      <c r="P581" s="80">
        <v>160</v>
      </c>
      <c r="Q581" s="80">
        <f t="shared" si="85"/>
        <v>195</v>
      </c>
      <c r="R581" s="80">
        <f t="shared" si="86"/>
        <v>100</v>
      </c>
      <c r="S581" s="78">
        <f t="shared" si="87"/>
        <v>695</v>
      </c>
      <c r="T581" s="78">
        <f>50</f>
        <v>50</v>
      </c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</row>
    <row r="582" spans="1:30" ht="15.75" x14ac:dyDescent="0.25">
      <c r="A582" s="13">
        <v>58653</v>
      </c>
      <c r="B582" s="89">
        <v>31</v>
      </c>
      <c r="C582" s="78">
        <f>194.205</f>
        <v>194.20500000000001</v>
      </c>
      <c r="D582" s="78">
        <f>267.466</f>
        <v>267.46600000000001</v>
      </c>
      <c r="E582" s="86">
        <f>133.845</f>
        <v>133.845</v>
      </c>
      <c r="F582" s="78">
        <f>278.484-40-25-60</f>
        <v>153.48399999999998</v>
      </c>
      <c r="G582" s="80">
        <v>40</v>
      </c>
      <c r="H582" s="78">
        <f t="shared" si="93"/>
        <v>85</v>
      </c>
      <c r="I582" s="78">
        <f t="shared" si="91"/>
        <v>0</v>
      </c>
      <c r="J582" s="80">
        <v>100</v>
      </c>
      <c r="K582" s="80">
        <v>300</v>
      </c>
      <c r="L582" s="78">
        <f t="shared" si="84"/>
        <v>1274</v>
      </c>
      <c r="M582" s="88">
        <v>600</v>
      </c>
      <c r="N582" s="78">
        <f>30</f>
        <v>30</v>
      </c>
      <c r="O582" s="80">
        <v>240</v>
      </c>
      <c r="P582" s="80">
        <v>160</v>
      </c>
      <c r="Q582" s="80">
        <f t="shared" si="85"/>
        <v>195</v>
      </c>
      <c r="R582" s="80">
        <f t="shared" si="86"/>
        <v>100</v>
      </c>
      <c r="S582" s="78">
        <f t="shared" si="87"/>
        <v>695</v>
      </c>
      <c r="T582" s="78">
        <f>0</f>
        <v>0</v>
      </c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</row>
    <row r="583" spans="1:30" ht="15.75" x14ac:dyDescent="0.25">
      <c r="A583" s="13">
        <v>58684</v>
      </c>
      <c r="B583" s="89">
        <v>31</v>
      </c>
      <c r="C583" s="78">
        <f>194.205</f>
        <v>194.20500000000001</v>
      </c>
      <c r="D583" s="78">
        <f>267.466</f>
        <v>267.46600000000001</v>
      </c>
      <c r="E583" s="86">
        <f>133.845</f>
        <v>133.845</v>
      </c>
      <c r="F583" s="78">
        <f>278.484-40-25-60</f>
        <v>153.48399999999998</v>
      </c>
      <c r="G583" s="80">
        <v>40</v>
      </c>
      <c r="H583" s="78">
        <f t="shared" si="93"/>
        <v>85</v>
      </c>
      <c r="I583" s="78">
        <f t="shared" si="91"/>
        <v>0</v>
      </c>
      <c r="J583" s="80">
        <v>100</v>
      </c>
      <c r="K583" s="80">
        <v>300</v>
      </c>
      <c r="L583" s="78">
        <f t="shared" si="84"/>
        <v>1274</v>
      </c>
      <c r="M583" s="88">
        <v>600</v>
      </c>
      <c r="N583" s="78">
        <f>30</f>
        <v>30</v>
      </c>
      <c r="O583" s="80">
        <v>240</v>
      </c>
      <c r="P583" s="80">
        <v>160</v>
      </c>
      <c r="Q583" s="80">
        <f t="shared" si="85"/>
        <v>195</v>
      </c>
      <c r="R583" s="80">
        <f t="shared" si="86"/>
        <v>100</v>
      </c>
      <c r="S583" s="78">
        <f t="shared" si="87"/>
        <v>695</v>
      </c>
      <c r="T583" s="78">
        <f>0</f>
        <v>0</v>
      </c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</row>
    <row r="584" spans="1:30" ht="15.75" x14ac:dyDescent="0.25">
      <c r="A584" s="13">
        <v>58714</v>
      </c>
      <c r="B584" s="89">
        <v>30</v>
      </c>
      <c r="C584" s="78">
        <f>194.205</f>
        <v>194.20500000000001</v>
      </c>
      <c r="D584" s="78">
        <f>267.466</f>
        <v>267.46600000000001</v>
      </c>
      <c r="E584" s="86">
        <f>133.845</f>
        <v>133.845</v>
      </c>
      <c r="F584" s="78">
        <f>278.484-40-25-60</f>
        <v>153.48399999999998</v>
      </c>
      <c r="G584" s="80">
        <v>40</v>
      </c>
      <c r="H584" s="78">
        <f t="shared" si="93"/>
        <v>85</v>
      </c>
      <c r="I584" s="78">
        <f t="shared" si="91"/>
        <v>0</v>
      </c>
      <c r="J584" s="80">
        <v>100</v>
      </c>
      <c r="K584" s="80">
        <v>300</v>
      </c>
      <c r="L584" s="78">
        <f t="shared" si="84"/>
        <v>1274</v>
      </c>
      <c r="M584" s="88">
        <v>600</v>
      </c>
      <c r="N584" s="78">
        <f>30</f>
        <v>30</v>
      </c>
      <c r="O584" s="80">
        <v>240</v>
      </c>
      <c r="P584" s="80">
        <v>160</v>
      </c>
      <c r="Q584" s="80">
        <f t="shared" si="85"/>
        <v>195</v>
      </c>
      <c r="R584" s="80">
        <f t="shared" si="86"/>
        <v>100</v>
      </c>
      <c r="S584" s="78">
        <f t="shared" si="87"/>
        <v>695</v>
      </c>
      <c r="T584" s="78">
        <f>0</f>
        <v>0</v>
      </c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</row>
    <row r="585" spans="1:30" ht="15.75" x14ac:dyDescent="0.25">
      <c r="A585" s="13">
        <v>58745</v>
      </c>
      <c r="B585" s="89">
        <v>31</v>
      </c>
      <c r="C585" s="78">
        <f>131.881</f>
        <v>131.881</v>
      </c>
      <c r="D585" s="78">
        <f>277.167</f>
        <v>277.16699999999997</v>
      </c>
      <c r="E585" s="86">
        <f>79.08</f>
        <v>79.08</v>
      </c>
      <c r="F585" s="78">
        <f>350.872-40-25-60</f>
        <v>225.87200000000001</v>
      </c>
      <c r="G585" s="80">
        <v>40</v>
      </c>
      <c r="H585" s="78">
        <f t="shared" si="93"/>
        <v>85</v>
      </c>
      <c r="I585" s="78">
        <f t="shared" si="91"/>
        <v>0</v>
      </c>
      <c r="J585" s="80">
        <v>100</v>
      </c>
      <c r="K585" s="80">
        <v>300</v>
      </c>
      <c r="L585" s="78">
        <f t="shared" si="84"/>
        <v>1239</v>
      </c>
      <c r="M585" s="88">
        <v>600</v>
      </c>
      <c r="N585" s="78">
        <f>75</f>
        <v>75</v>
      </c>
      <c r="O585" s="80">
        <v>240</v>
      </c>
      <c r="P585" s="80">
        <v>160</v>
      </c>
      <c r="Q585" s="80">
        <f t="shared" si="85"/>
        <v>195</v>
      </c>
      <c r="R585" s="80">
        <f t="shared" si="86"/>
        <v>100</v>
      </c>
      <c r="S585" s="78">
        <f t="shared" si="87"/>
        <v>695</v>
      </c>
      <c r="T585" s="78">
        <f>0</f>
        <v>0</v>
      </c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</row>
    <row r="586" spans="1:30" ht="15.75" x14ac:dyDescent="0.25">
      <c r="A586" s="13">
        <v>58775</v>
      </c>
      <c r="B586" s="89">
        <v>30</v>
      </c>
      <c r="C586" s="78">
        <f>122.58</f>
        <v>122.58</v>
      </c>
      <c r="D586" s="78">
        <f>297.941</f>
        <v>297.94099999999997</v>
      </c>
      <c r="E586" s="86">
        <f>89.177</f>
        <v>89.177000000000007</v>
      </c>
      <c r="F586" s="78">
        <f>240.302-40-60</f>
        <v>140.30199999999999</v>
      </c>
      <c r="G586" s="80">
        <v>40</v>
      </c>
      <c r="H586" s="78">
        <v>60</v>
      </c>
      <c r="I586" s="78">
        <f t="shared" si="91"/>
        <v>0</v>
      </c>
      <c r="J586" s="80">
        <v>100</v>
      </c>
      <c r="K586" s="80">
        <v>300</v>
      </c>
      <c r="L586" s="78">
        <f t="shared" si="84"/>
        <v>1150</v>
      </c>
      <c r="M586" s="88">
        <v>600</v>
      </c>
      <c r="N586" s="78">
        <f>100</f>
        <v>100</v>
      </c>
      <c r="O586" s="80">
        <v>240</v>
      </c>
      <c r="P586" s="80">
        <v>40</v>
      </c>
      <c r="Q586" s="80">
        <f t="shared" si="85"/>
        <v>315</v>
      </c>
      <c r="R586" s="80">
        <f t="shared" si="86"/>
        <v>100</v>
      </c>
      <c r="S586" s="78">
        <f t="shared" si="87"/>
        <v>695</v>
      </c>
      <c r="T586" s="78">
        <f>50</f>
        <v>50</v>
      </c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</row>
    <row r="587" spans="1:30" ht="15.75" x14ac:dyDescent="0.25">
      <c r="A587" s="13">
        <v>58806</v>
      </c>
      <c r="B587" s="89">
        <v>31</v>
      </c>
      <c r="C587" s="78">
        <f>122.58</f>
        <v>122.58</v>
      </c>
      <c r="D587" s="78">
        <f>297.941</f>
        <v>297.94099999999997</v>
      </c>
      <c r="E587" s="86">
        <f>89.177</f>
        <v>89.177000000000007</v>
      </c>
      <c r="F587" s="78">
        <f>240.302-40-60</f>
        <v>140.30199999999999</v>
      </c>
      <c r="G587" s="80">
        <v>40</v>
      </c>
      <c r="H587" s="78">
        <v>60</v>
      </c>
      <c r="I587" s="78">
        <f t="shared" si="91"/>
        <v>0</v>
      </c>
      <c r="J587" s="80">
        <v>100</v>
      </c>
      <c r="K587" s="80">
        <v>300</v>
      </c>
      <c r="L587" s="78">
        <f t="shared" si="84"/>
        <v>1150</v>
      </c>
      <c r="M587" s="88">
        <v>600</v>
      </c>
      <c r="N587" s="78">
        <f>100</f>
        <v>100</v>
      </c>
      <c r="O587" s="80">
        <v>240</v>
      </c>
      <c r="P587" s="80">
        <v>40</v>
      </c>
      <c r="Q587" s="80">
        <f t="shared" si="85"/>
        <v>315</v>
      </c>
      <c r="R587" s="80">
        <f t="shared" si="86"/>
        <v>100</v>
      </c>
      <c r="S587" s="78">
        <f t="shared" si="87"/>
        <v>695</v>
      </c>
      <c r="T587" s="78">
        <f>50</f>
        <v>50</v>
      </c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</row>
    <row r="588" spans="1:30" ht="15.75" x14ac:dyDescent="0.25">
      <c r="A588" s="13">
        <v>58837</v>
      </c>
      <c r="B588" s="89">
        <v>31</v>
      </c>
      <c r="C588" s="78">
        <f>122.58</f>
        <v>122.58</v>
      </c>
      <c r="D588" s="78">
        <f>297.941</f>
        <v>297.94099999999997</v>
      </c>
      <c r="E588" s="86">
        <f>89.177</f>
        <v>89.177000000000007</v>
      </c>
      <c r="F588" s="78">
        <f>240.302-40-60</f>
        <v>140.30199999999999</v>
      </c>
      <c r="G588" s="80">
        <v>40</v>
      </c>
      <c r="H588" s="78">
        <v>60</v>
      </c>
      <c r="I588" s="78">
        <f t="shared" si="91"/>
        <v>0</v>
      </c>
      <c r="J588" s="80">
        <v>100</v>
      </c>
      <c r="K588" s="80">
        <v>300</v>
      </c>
      <c r="L588" s="78">
        <f t="shared" si="84"/>
        <v>1150</v>
      </c>
      <c r="M588" s="88">
        <v>600</v>
      </c>
      <c r="N588" s="78">
        <f>100</f>
        <v>100</v>
      </c>
      <c r="O588" s="80">
        <v>240</v>
      </c>
      <c r="P588" s="80">
        <v>40</v>
      </c>
      <c r="Q588" s="80">
        <f t="shared" si="85"/>
        <v>315</v>
      </c>
      <c r="R588" s="80">
        <f t="shared" si="86"/>
        <v>100</v>
      </c>
      <c r="S588" s="78">
        <f t="shared" si="87"/>
        <v>695</v>
      </c>
      <c r="T588" s="78">
        <f>50</f>
        <v>50</v>
      </c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</row>
    <row r="589" spans="1:30" ht="15.75" x14ac:dyDescent="0.25">
      <c r="A589" s="13">
        <v>58865</v>
      </c>
      <c r="B589" s="89">
        <v>28</v>
      </c>
      <c r="C589" s="78">
        <f>122.58</f>
        <v>122.58</v>
      </c>
      <c r="D589" s="78">
        <f>297.941</f>
        <v>297.94099999999997</v>
      </c>
      <c r="E589" s="86">
        <f>89.177</f>
        <v>89.177000000000007</v>
      </c>
      <c r="F589" s="78">
        <f>240.302-40-60</f>
        <v>140.30199999999999</v>
      </c>
      <c r="G589" s="80">
        <v>40</v>
      </c>
      <c r="H589" s="78">
        <v>60</v>
      </c>
      <c r="I589" s="78">
        <f t="shared" si="91"/>
        <v>0</v>
      </c>
      <c r="J589" s="80">
        <v>100</v>
      </c>
      <c r="K589" s="80">
        <v>300</v>
      </c>
      <c r="L589" s="78">
        <f t="shared" si="84"/>
        <v>1150</v>
      </c>
      <c r="M589" s="88">
        <v>600</v>
      </c>
      <c r="N589" s="78">
        <f>100</f>
        <v>100</v>
      </c>
      <c r="O589" s="80">
        <v>240</v>
      </c>
      <c r="P589" s="80">
        <v>40</v>
      </c>
      <c r="Q589" s="80">
        <f t="shared" si="85"/>
        <v>315</v>
      </c>
      <c r="R589" s="80">
        <f t="shared" si="86"/>
        <v>100</v>
      </c>
      <c r="S589" s="78">
        <f t="shared" si="87"/>
        <v>695</v>
      </c>
      <c r="T589" s="78">
        <f>50</f>
        <v>50</v>
      </c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</row>
    <row r="590" spans="1:30" ht="15.75" x14ac:dyDescent="0.25">
      <c r="A590" s="13">
        <v>58893</v>
      </c>
      <c r="B590" s="89">
        <v>31</v>
      </c>
      <c r="C590" s="78">
        <f>122.58</f>
        <v>122.58</v>
      </c>
      <c r="D590" s="78">
        <f>297.941</f>
        <v>297.94099999999997</v>
      </c>
      <c r="E590" s="86">
        <f>89.177</f>
        <v>89.177000000000007</v>
      </c>
      <c r="F590" s="78">
        <f>240.302-40-60</f>
        <v>140.30199999999999</v>
      </c>
      <c r="G590" s="80">
        <v>40</v>
      </c>
      <c r="H590" s="78">
        <v>60</v>
      </c>
      <c r="I590" s="78">
        <f t="shared" si="91"/>
        <v>0</v>
      </c>
      <c r="J590" s="80">
        <v>100</v>
      </c>
      <c r="K590" s="80">
        <v>300</v>
      </c>
      <c r="L590" s="78">
        <f t="shared" si="84"/>
        <v>1150</v>
      </c>
      <c r="M590" s="88">
        <v>600</v>
      </c>
      <c r="N590" s="78">
        <f>100</f>
        <v>100</v>
      </c>
      <c r="O590" s="80">
        <v>240</v>
      </c>
      <c r="P590" s="80">
        <v>40</v>
      </c>
      <c r="Q590" s="80">
        <f t="shared" si="85"/>
        <v>315</v>
      </c>
      <c r="R590" s="80">
        <f t="shared" si="86"/>
        <v>100</v>
      </c>
      <c r="S590" s="78">
        <f t="shared" si="87"/>
        <v>695</v>
      </c>
      <c r="T590" s="78">
        <f>50</f>
        <v>50</v>
      </c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</row>
    <row r="591" spans="1:30" ht="15.75" x14ac:dyDescent="0.25">
      <c r="A591" s="13">
        <v>58926</v>
      </c>
      <c r="B591" s="89">
        <v>30</v>
      </c>
      <c r="C591" s="78">
        <f>141.293</f>
        <v>141.29300000000001</v>
      </c>
      <c r="D591" s="78">
        <f>267.993</f>
        <v>267.99299999999999</v>
      </c>
      <c r="E591" s="86">
        <f>115.016</f>
        <v>115.01600000000001</v>
      </c>
      <c r="F591" s="78">
        <f>314.698-40-25-60</f>
        <v>189.69799999999998</v>
      </c>
      <c r="G591" s="80">
        <v>40</v>
      </c>
      <c r="H591" s="78">
        <f t="shared" ref="H591:H597" si="94">25+60</f>
        <v>85</v>
      </c>
      <c r="I591" s="78">
        <f t="shared" si="91"/>
        <v>0</v>
      </c>
      <c r="J591" s="80">
        <v>100</v>
      </c>
      <c r="K591" s="80">
        <v>300</v>
      </c>
      <c r="L591" s="78">
        <f t="shared" ref="L591:L599" si="95">SUM(C591:K591)</f>
        <v>1239</v>
      </c>
      <c r="M591" s="88">
        <v>600</v>
      </c>
      <c r="N591" s="78">
        <f>100</f>
        <v>100</v>
      </c>
      <c r="O591" s="80">
        <v>240</v>
      </c>
      <c r="P591" s="80">
        <v>160</v>
      </c>
      <c r="Q591" s="80">
        <f t="shared" ref="Q591:Q599" si="96">695-R591-O591-P591</f>
        <v>195</v>
      </c>
      <c r="R591" s="80">
        <f t="shared" ref="R591:R599" si="97">200-J591</f>
        <v>100</v>
      </c>
      <c r="S591" s="78">
        <f t="shared" ref="S591:S599" si="98">SUM(O591:R591)</f>
        <v>695</v>
      </c>
      <c r="T591" s="78">
        <f>50</f>
        <v>50</v>
      </c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</row>
    <row r="592" spans="1:30" ht="15.75" x14ac:dyDescent="0.25">
      <c r="A592" s="13">
        <v>58957</v>
      </c>
      <c r="B592" s="89">
        <v>31</v>
      </c>
      <c r="C592" s="78">
        <f>194.205</f>
        <v>194.20500000000001</v>
      </c>
      <c r="D592" s="78">
        <f>267.466</f>
        <v>267.46600000000001</v>
      </c>
      <c r="E592" s="86">
        <f>133.845</f>
        <v>133.845</v>
      </c>
      <c r="F592" s="78">
        <f>278.484-40-25-60</f>
        <v>153.48399999999998</v>
      </c>
      <c r="G592" s="80">
        <v>40</v>
      </c>
      <c r="H592" s="78">
        <f t="shared" si="94"/>
        <v>85</v>
      </c>
      <c r="I592" s="78">
        <f t="shared" si="91"/>
        <v>0</v>
      </c>
      <c r="J592" s="80">
        <v>100</v>
      </c>
      <c r="K592" s="80">
        <v>300</v>
      </c>
      <c r="L592" s="78">
        <f t="shared" si="95"/>
        <v>1274</v>
      </c>
      <c r="M592" s="88">
        <v>600</v>
      </c>
      <c r="N592" s="78">
        <f>75</f>
        <v>75</v>
      </c>
      <c r="O592" s="80">
        <v>240</v>
      </c>
      <c r="P592" s="80">
        <v>160</v>
      </c>
      <c r="Q592" s="80">
        <f t="shared" si="96"/>
        <v>195</v>
      </c>
      <c r="R592" s="80">
        <f t="shared" si="97"/>
        <v>100</v>
      </c>
      <c r="S592" s="78">
        <f t="shared" si="98"/>
        <v>695</v>
      </c>
      <c r="T592" s="78">
        <f>50</f>
        <v>50</v>
      </c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</row>
    <row r="593" spans="1:30" ht="15.75" x14ac:dyDescent="0.25">
      <c r="A593" s="13">
        <v>58987</v>
      </c>
      <c r="B593" s="89">
        <v>30</v>
      </c>
      <c r="C593" s="78">
        <f>194.205</f>
        <v>194.20500000000001</v>
      </c>
      <c r="D593" s="78">
        <f>267.466</f>
        <v>267.46600000000001</v>
      </c>
      <c r="E593" s="86">
        <f>133.845</f>
        <v>133.845</v>
      </c>
      <c r="F593" s="78">
        <f>278.484-40-25-60</f>
        <v>153.48399999999998</v>
      </c>
      <c r="G593" s="80">
        <v>40</v>
      </c>
      <c r="H593" s="78">
        <f t="shared" si="94"/>
        <v>85</v>
      </c>
      <c r="I593" s="78">
        <f t="shared" si="91"/>
        <v>0</v>
      </c>
      <c r="J593" s="80">
        <v>100</v>
      </c>
      <c r="K593" s="80">
        <v>300</v>
      </c>
      <c r="L593" s="78">
        <f t="shared" si="95"/>
        <v>1274</v>
      </c>
      <c r="M593" s="88">
        <v>600</v>
      </c>
      <c r="N593" s="78">
        <f>30</f>
        <v>30</v>
      </c>
      <c r="O593" s="80">
        <v>240</v>
      </c>
      <c r="P593" s="80">
        <v>160</v>
      </c>
      <c r="Q593" s="80">
        <f t="shared" si="96"/>
        <v>195</v>
      </c>
      <c r="R593" s="80">
        <f t="shared" si="97"/>
        <v>100</v>
      </c>
      <c r="S593" s="78">
        <f t="shared" si="98"/>
        <v>695</v>
      </c>
      <c r="T593" s="78">
        <f>50</f>
        <v>50</v>
      </c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</row>
    <row r="594" spans="1:30" ht="15.75" x14ac:dyDescent="0.25">
      <c r="A594" s="13">
        <v>59018</v>
      </c>
      <c r="B594" s="89">
        <v>31</v>
      </c>
      <c r="C594" s="78">
        <f>194.205</f>
        <v>194.20500000000001</v>
      </c>
      <c r="D594" s="78">
        <f>267.466</f>
        <v>267.46600000000001</v>
      </c>
      <c r="E594" s="86">
        <f>133.845</f>
        <v>133.845</v>
      </c>
      <c r="F594" s="78">
        <f>278.484-40-25-60</f>
        <v>153.48399999999998</v>
      </c>
      <c r="G594" s="80">
        <v>40</v>
      </c>
      <c r="H594" s="78">
        <f t="shared" si="94"/>
        <v>85</v>
      </c>
      <c r="I594" s="78">
        <f t="shared" si="91"/>
        <v>0</v>
      </c>
      <c r="J594" s="80">
        <v>100</v>
      </c>
      <c r="K594" s="80">
        <v>300</v>
      </c>
      <c r="L594" s="78">
        <f t="shared" si="95"/>
        <v>1274</v>
      </c>
      <c r="M594" s="88">
        <v>600</v>
      </c>
      <c r="N594" s="78">
        <f>30</f>
        <v>30</v>
      </c>
      <c r="O594" s="80">
        <v>240</v>
      </c>
      <c r="P594" s="80">
        <v>160</v>
      </c>
      <c r="Q594" s="80">
        <f t="shared" si="96"/>
        <v>195</v>
      </c>
      <c r="R594" s="80">
        <f t="shared" si="97"/>
        <v>100</v>
      </c>
      <c r="S594" s="78">
        <f t="shared" si="98"/>
        <v>695</v>
      </c>
      <c r="T594" s="78">
        <f>0</f>
        <v>0</v>
      </c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</row>
    <row r="595" spans="1:30" ht="15.75" x14ac:dyDescent="0.25">
      <c r="A595" s="13">
        <v>59049</v>
      </c>
      <c r="B595" s="89">
        <v>31</v>
      </c>
      <c r="C595" s="78">
        <f>194.205</f>
        <v>194.20500000000001</v>
      </c>
      <c r="D595" s="78">
        <f>267.466</f>
        <v>267.46600000000001</v>
      </c>
      <c r="E595" s="86">
        <f>133.845</f>
        <v>133.845</v>
      </c>
      <c r="F595" s="78">
        <f>278.484-40-25-60</f>
        <v>153.48399999999998</v>
      </c>
      <c r="G595" s="80">
        <v>40</v>
      </c>
      <c r="H595" s="78">
        <f t="shared" si="94"/>
        <v>85</v>
      </c>
      <c r="I595" s="78">
        <f t="shared" si="91"/>
        <v>0</v>
      </c>
      <c r="J595" s="80">
        <v>100</v>
      </c>
      <c r="K595" s="80">
        <v>300</v>
      </c>
      <c r="L595" s="78">
        <f t="shared" si="95"/>
        <v>1274</v>
      </c>
      <c r="M595" s="88">
        <v>600</v>
      </c>
      <c r="N595" s="78">
        <f>30</f>
        <v>30</v>
      </c>
      <c r="O595" s="80">
        <v>240</v>
      </c>
      <c r="P595" s="80">
        <v>160</v>
      </c>
      <c r="Q595" s="80">
        <f t="shared" si="96"/>
        <v>195</v>
      </c>
      <c r="R595" s="80">
        <f t="shared" si="97"/>
        <v>100</v>
      </c>
      <c r="S595" s="78">
        <f t="shared" si="98"/>
        <v>695</v>
      </c>
      <c r="T595" s="78">
        <f>0</f>
        <v>0</v>
      </c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</row>
    <row r="596" spans="1:30" ht="15.75" x14ac:dyDescent="0.25">
      <c r="A596" s="13">
        <v>59079</v>
      </c>
      <c r="B596" s="89">
        <v>30</v>
      </c>
      <c r="C596" s="78">
        <f>194.205</f>
        <v>194.20500000000001</v>
      </c>
      <c r="D596" s="78">
        <f>267.466</f>
        <v>267.46600000000001</v>
      </c>
      <c r="E596" s="86">
        <f>133.845</f>
        <v>133.845</v>
      </c>
      <c r="F596" s="78">
        <f>278.484-40-25-60</f>
        <v>153.48399999999998</v>
      </c>
      <c r="G596" s="80">
        <v>40</v>
      </c>
      <c r="H596" s="78">
        <f t="shared" si="94"/>
        <v>85</v>
      </c>
      <c r="I596" s="78">
        <f t="shared" si="91"/>
        <v>0</v>
      </c>
      <c r="J596" s="80">
        <v>100</v>
      </c>
      <c r="K596" s="80">
        <v>300</v>
      </c>
      <c r="L596" s="78">
        <f t="shared" si="95"/>
        <v>1274</v>
      </c>
      <c r="M596" s="88">
        <v>600</v>
      </c>
      <c r="N596" s="78">
        <f>30</f>
        <v>30</v>
      </c>
      <c r="O596" s="80">
        <v>240</v>
      </c>
      <c r="P596" s="80">
        <v>160</v>
      </c>
      <c r="Q596" s="80">
        <f t="shared" si="96"/>
        <v>195</v>
      </c>
      <c r="R596" s="80">
        <f t="shared" si="97"/>
        <v>100</v>
      </c>
      <c r="S596" s="78">
        <f t="shared" si="98"/>
        <v>695</v>
      </c>
      <c r="T596" s="78">
        <f>0</f>
        <v>0</v>
      </c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</row>
    <row r="597" spans="1:30" ht="15.75" x14ac:dyDescent="0.25">
      <c r="A597" s="13">
        <v>59110</v>
      </c>
      <c r="B597" s="89">
        <v>31</v>
      </c>
      <c r="C597" s="78">
        <f>131.881</f>
        <v>131.881</v>
      </c>
      <c r="D597" s="78">
        <f>277.167</f>
        <v>277.16699999999997</v>
      </c>
      <c r="E597" s="86">
        <f>79.08</f>
        <v>79.08</v>
      </c>
      <c r="F597" s="78">
        <f>350.872-40-25-60</f>
        <v>225.87200000000001</v>
      </c>
      <c r="G597" s="80">
        <v>40</v>
      </c>
      <c r="H597" s="78">
        <f t="shared" si="94"/>
        <v>85</v>
      </c>
      <c r="I597" s="78">
        <f t="shared" si="91"/>
        <v>0</v>
      </c>
      <c r="J597" s="80">
        <v>100</v>
      </c>
      <c r="K597" s="80">
        <v>300</v>
      </c>
      <c r="L597" s="78">
        <f t="shared" si="95"/>
        <v>1239</v>
      </c>
      <c r="M597" s="88">
        <v>600</v>
      </c>
      <c r="N597" s="78">
        <f>75</f>
        <v>75</v>
      </c>
      <c r="O597" s="80">
        <v>240</v>
      </c>
      <c r="P597" s="80">
        <v>160</v>
      </c>
      <c r="Q597" s="80">
        <f t="shared" si="96"/>
        <v>195</v>
      </c>
      <c r="R597" s="80">
        <f t="shared" si="97"/>
        <v>100</v>
      </c>
      <c r="S597" s="78">
        <f t="shared" si="98"/>
        <v>695</v>
      </c>
      <c r="T597" s="78">
        <f>0</f>
        <v>0</v>
      </c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</row>
    <row r="598" spans="1:30" ht="15.75" x14ac:dyDescent="0.25">
      <c r="A598" s="13">
        <v>59140</v>
      </c>
      <c r="B598" s="89">
        <v>30</v>
      </c>
      <c r="C598" s="78">
        <f>122.58</f>
        <v>122.58</v>
      </c>
      <c r="D598" s="78">
        <f>297.941</f>
        <v>297.94099999999997</v>
      </c>
      <c r="E598" s="86">
        <f>89.177</f>
        <v>89.177000000000007</v>
      </c>
      <c r="F598" s="78">
        <f>240.302-40-60</f>
        <v>140.30199999999999</v>
      </c>
      <c r="G598" s="80">
        <v>40</v>
      </c>
      <c r="H598" s="78">
        <v>60</v>
      </c>
      <c r="I598" s="78">
        <f t="shared" si="91"/>
        <v>0</v>
      </c>
      <c r="J598" s="80">
        <v>100</v>
      </c>
      <c r="K598" s="80">
        <v>300</v>
      </c>
      <c r="L598" s="78">
        <f t="shared" si="95"/>
        <v>1150</v>
      </c>
      <c r="M598" s="88">
        <v>600</v>
      </c>
      <c r="N598" s="78">
        <f>100</f>
        <v>100</v>
      </c>
      <c r="O598" s="80">
        <v>240</v>
      </c>
      <c r="P598" s="80">
        <v>40</v>
      </c>
      <c r="Q598" s="80">
        <f t="shared" si="96"/>
        <v>315</v>
      </c>
      <c r="R598" s="80">
        <f t="shared" si="97"/>
        <v>100</v>
      </c>
      <c r="S598" s="78">
        <f t="shared" si="98"/>
        <v>695</v>
      </c>
      <c r="T598" s="78">
        <f>50</f>
        <v>50</v>
      </c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</row>
    <row r="599" spans="1:30" ht="15.75" x14ac:dyDescent="0.25">
      <c r="A599" s="13">
        <v>59171</v>
      </c>
      <c r="B599" s="89">
        <v>31</v>
      </c>
      <c r="C599" s="78">
        <f>122.58</f>
        <v>122.58</v>
      </c>
      <c r="D599" s="78">
        <f>297.941</f>
        <v>297.94099999999997</v>
      </c>
      <c r="E599" s="86">
        <f>89.177</f>
        <v>89.177000000000007</v>
      </c>
      <c r="F599" s="78">
        <f>240.302-40-60</f>
        <v>140.30199999999999</v>
      </c>
      <c r="G599" s="80">
        <v>40</v>
      </c>
      <c r="H599" s="78">
        <v>60</v>
      </c>
      <c r="I599" s="78">
        <f t="shared" si="91"/>
        <v>0</v>
      </c>
      <c r="J599" s="80">
        <v>100</v>
      </c>
      <c r="K599" s="80">
        <v>300</v>
      </c>
      <c r="L599" s="78">
        <f t="shared" si="95"/>
        <v>1150</v>
      </c>
      <c r="M599" s="88">
        <v>600</v>
      </c>
      <c r="N599" s="78">
        <f>100</f>
        <v>100</v>
      </c>
      <c r="O599" s="80">
        <v>240</v>
      </c>
      <c r="P599" s="80">
        <v>40</v>
      </c>
      <c r="Q599" s="80">
        <f t="shared" si="96"/>
        <v>315</v>
      </c>
      <c r="R599" s="80">
        <f t="shared" si="97"/>
        <v>100</v>
      </c>
      <c r="S599" s="78">
        <f t="shared" si="98"/>
        <v>695</v>
      </c>
      <c r="T599" s="78">
        <f>50</f>
        <v>50</v>
      </c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</row>
    <row r="600" spans="1:30" ht="15" x14ac:dyDescent="0.2">
      <c r="A600" s="12"/>
      <c r="B600" s="87"/>
      <c r="C600" s="78"/>
      <c r="D600" s="78"/>
      <c r="E600" s="86"/>
      <c r="F600" s="78"/>
      <c r="G600" s="78"/>
      <c r="H600" s="78"/>
      <c r="I600" s="78"/>
      <c r="J600" s="78"/>
      <c r="K600" s="78"/>
      <c r="L600" s="78"/>
      <c r="M600" s="78"/>
      <c r="N600" s="78"/>
      <c r="O600" s="80"/>
      <c r="P600" s="80"/>
      <c r="Q600" s="80"/>
      <c r="R600" s="80"/>
      <c r="S600" s="78"/>
      <c r="T600" s="78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</row>
    <row r="601" spans="1:30" ht="15" x14ac:dyDescent="0.2">
      <c r="A601" s="11">
        <v>2013</v>
      </c>
      <c r="B601" s="11"/>
      <c r="C601" s="81">
        <f t="shared" ref="C601:L601" si="99">AVERAGE(C12:C23)</f>
        <v>154.75825</v>
      </c>
      <c r="D601" s="81">
        <f t="shared" si="99"/>
        <v>281.0162499999999</v>
      </c>
      <c r="E601" s="81">
        <f t="shared" si="99"/>
        <v>109.1005</v>
      </c>
      <c r="F601" s="81">
        <f t="shared" si="99"/>
        <v>217.04166666666666</v>
      </c>
      <c r="G601" s="81">
        <f t="shared" si="99"/>
        <v>40</v>
      </c>
      <c r="H601" s="81">
        <f t="shared" si="99"/>
        <v>14.583333333333334</v>
      </c>
      <c r="I601" s="81">
        <f t="shared" si="99"/>
        <v>12.5</v>
      </c>
      <c r="J601" s="81">
        <f t="shared" si="99"/>
        <v>100</v>
      </c>
      <c r="K601" s="81">
        <f t="shared" si="99"/>
        <v>300</v>
      </c>
      <c r="L601" s="81">
        <f t="shared" si="99"/>
        <v>1229</v>
      </c>
      <c r="M601" s="85"/>
      <c r="N601" s="81">
        <f t="shared" ref="N601:T601" si="100">AVERAGE(N12:N23)</f>
        <v>97.5</v>
      </c>
      <c r="O601" s="82">
        <f t="shared" si="100"/>
        <v>240</v>
      </c>
      <c r="P601" s="82">
        <f t="shared" si="100"/>
        <v>70</v>
      </c>
      <c r="Q601" s="82">
        <f t="shared" si="100"/>
        <v>285</v>
      </c>
      <c r="R601" s="82">
        <f t="shared" si="100"/>
        <v>100</v>
      </c>
      <c r="S601" s="81">
        <f t="shared" si="100"/>
        <v>695</v>
      </c>
      <c r="T601" s="81">
        <f t="shared" si="100"/>
        <v>33.333333333333336</v>
      </c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</row>
    <row r="602" spans="1:30" ht="15.75" x14ac:dyDescent="0.25">
      <c r="A602" s="11">
        <v>2014</v>
      </c>
      <c r="B602" s="11"/>
      <c r="C602" s="81">
        <f t="shared" ref="C602:L602" si="101">AVERAGE(C24:C35)</f>
        <v>154.75825</v>
      </c>
      <c r="D602" s="81">
        <f t="shared" si="101"/>
        <v>281.0162499999999</v>
      </c>
      <c r="E602" s="81">
        <f t="shared" si="101"/>
        <v>109.1005</v>
      </c>
      <c r="F602" s="81">
        <f t="shared" si="101"/>
        <v>217.04166666666666</v>
      </c>
      <c r="G602" s="81">
        <f t="shared" si="101"/>
        <v>40</v>
      </c>
      <c r="H602" s="81">
        <f t="shared" si="101"/>
        <v>14.583333333333334</v>
      </c>
      <c r="I602" s="81">
        <f t="shared" si="101"/>
        <v>20.833333333333332</v>
      </c>
      <c r="J602" s="81">
        <f t="shared" si="101"/>
        <v>100</v>
      </c>
      <c r="K602" s="81">
        <f t="shared" si="101"/>
        <v>300</v>
      </c>
      <c r="L602" s="81">
        <f t="shared" si="101"/>
        <v>1237.3333333333333</v>
      </c>
      <c r="M602" s="84"/>
      <c r="N602" s="81">
        <f t="shared" ref="N602:T602" si="102">AVERAGE(N24:N35)</f>
        <v>72.5</v>
      </c>
      <c r="O602" s="82">
        <f t="shared" si="102"/>
        <v>240</v>
      </c>
      <c r="P602" s="82">
        <f t="shared" si="102"/>
        <v>70</v>
      </c>
      <c r="Q602" s="82">
        <f t="shared" si="102"/>
        <v>285</v>
      </c>
      <c r="R602" s="82">
        <f t="shared" si="102"/>
        <v>100</v>
      </c>
      <c r="S602" s="81">
        <f t="shared" si="102"/>
        <v>695</v>
      </c>
      <c r="T602" s="81">
        <f t="shared" si="102"/>
        <v>33.333333333333336</v>
      </c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</row>
    <row r="603" spans="1:30" ht="15.75" x14ac:dyDescent="0.25">
      <c r="A603" s="11">
        <v>2015</v>
      </c>
      <c r="B603" s="11"/>
      <c r="C603" s="81">
        <f t="shared" ref="C603:L603" si="103">AVERAGE(C36:C47)</f>
        <v>154.75825</v>
      </c>
      <c r="D603" s="81">
        <f t="shared" si="103"/>
        <v>281.0162499999999</v>
      </c>
      <c r="E603" s="81">
        <f t="shared" si="103"/>
        <v>109.1005</v>
      </c>
      <c r="F603" s="81">
        <f t="shared" si="103"/>
        <v>172.04166666666663</v>
      </c>
      <c r="G603" s="81">
        <f t="shared" si="103"/>
        <v>40</v>
      </c>
      <c r="H603" s="81">
        <f t="shared" si="103"/>
        <v>59.583333333333336</v>
      </c>
      <c r="I603" s="81">
        <f t="shared" si="103"/>
        <v>20.833333333333332</v>
      </c>
      <c r="J603" s="81">
        <f t="shared" si="103"/>
        <v>100</v>
      </c>
      <c r="K603" s="81">
        <f t="shared" si="103"/>
        <v>300</v>
      </c>
      <c r="L603" s="81">
        <f t="shared" si="103"/>
        <v>1237.3333333333333</v>
      </c>
      <c r="M603" s="84"/>
      <c r="N603" s="81">
        <f t="shared" ref="N603:T603" si="104">AVERAGE(N36:N47)</f>
        <v>72.5</v>
      </c>
      <c r="O603" s="82">
        <f t="shared" si="104"/>
        <v>240</v>
      </c>
      <c r="P603" s="82">
        <f t="shared" si="104"/>
        <v>100</v>
      </c>
      <c r="Q603" s="82">
        <f t="shared" si="104"/>
        <v>255</v>
      </c>
      <c r="R603" s="82">
        <f t="shared" si="104"/>
        <v>100</v>
      </c>
      <c r="S603" s="81">
        <f t="shared" si="104"/>
        <v>695</v>
      </c>
      <c r="T603" s="81">
        <f t="shared" si="104"/>
        <v>33.333333333333336</v>
      </c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</row>
    <row r="604" spans="1:30" ht="15.75" x14ac:dyDescent="0.25">
      <c r="A604" s="11">
        <v>2016</v>
      </c>
      <c r="B604" s="11"/>
      <c r="C604" s="81">
        <f t="shared" ref="C604:L604" si="105">AVERAGE(C48:C59)</f>
        <v>154.75825</v>
      </c>
      <c r="D604" s="81">
        <f t="shared" si="105"/>
        <v>281.0162499999999</v>
      </c>
      <c r="E604" s="81">
        <f t="shared" si="105"/>
        <v>109.1005</v>
      </c>
      <c r="F604" s="81">
        <f t="shared" si="105"/>
        <v>157.04166666666663</v>
      </c>
      <c r="G604" s="81">
        <f t="shared" si="105"/>
        <v>40</v>
      </c>
      <c r="H604" s="81">
        <f t="shared" si="105"/>
        <v>74.583333333333329</v>
      </c>
      <c r="I604" s="81">
        <f t="shared" si="105"/>
        <v>0</v>
      </c>
      <c r="J604" s="81">
        <f t="shared" si="105"/>
        <v>100</v>
      </c>
      <c r="K604" s="81">
        <f t="shared" si="105"/>
        <v>300</v>
      </c>
      <c r="L604" s="81">
        <f t="shared" si="105"/>
        <v>1216.5</v>
      </c>
      <c r="M604" s="84"/>
      <c r="N604" s="81">
        <f t="shared" ref="N604:T604" si="106">AVERAGE(N48:N59)</f>
        <v>72.5</v>
      </c>
      <c r="O604" s="82">
        <f t="shared" si="106"/>
        <v>240</v>
      </c>
      <c r="P604" s="82">
        <f t="shared" si="106"/>
        <v>110</v>
      </c>
      <c r="Q604" s="82">
        <f t="shared" si="106"/>
        <v>245</v>
      </c>
      <c r="R604" s="82">
        <f t="shared" si="106"/>
        <v>100</v>
      </c>
      <c r="S604" s="81">
        <f t="shared" si="106"/>
        <v>695</v>
      </c>
      <c r="T604" s="81">
        <f t="shared" si="106"/>
        <v>33.333333333333336</v>
      </c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</row>
    <row r="605" spans="1:30" ht="15" x14ac:dyDescent="0.2">
      <c r="A605" s="11">
        <v>2017</v>
      </c>
      <c r="B605" s="11"/>
      <c r="C605" s="81">
        <f t="shared" ref="C605:T605" si="107">AVERAGE(C60:C71)</f>
        <v>154.75825</v>
      </c>
      <c r="D605" s="81">
        <f t="shared" si="107"/>
        <v>281.0162499999999</v>
      </c>
      <c r="E605" s="81">
        <f t="shared" si="107"/>
        <v>109.1005</v>
      </c>
      <c r="F605" s="81">
        <f t="shared" si="107"/>
        <v>157.04166666666663</v>
      </c>
      <c r="G605" s="81">
        <f t="shared" si="107"/>
        <v>40</v>
      </c>
      <c r="H605" s="81">
        <f t="shared" si="107"/>
        <v>74.583333333333329</v>
      </c>
      <c r="I605" s="81">
        <f t="shared" si="107"/>
        <v>0</v>
      </c>
      <c r="J605" s="81">
        <f t="shared" si="107"/>
        <v>100</v>
      </c>
      <c r="K605" s="81">
        <f t="shared" si="107"/>
        <v>300</v>
      </c>
      <c r="L605" s="81">
        <f t="shared" si="107"/>
        <v>1216.5</v>
      </c>
      <c r="M605" s="83">
        <f t="shared" si="107"/>
        <v>400</v>
      </c>
      <c r="N605" s="81">
        <f t="shared" si="107"/>
        <v>72.5</v>
      </c>
      <c r="O605" s="82">
        <f t="shared" si="107"/>
        <v>240</v>
      </c>
      <c r="P605" s="82">
        <f t="shared" si="107"/>
        <v>110</v>
      </c>
      <c r="Q605" s="82">
        <f t="shared" si="107"/>
        <v>245</v>
      </c>
      <c r="R605" s="82">
        <f t="shared" si="107"/>
        <v>100</v>
      </c>
      <c r="S605" s="81">
        <f t="shared" si="107"/>
        <v>695</v>
      </c>
      <c r="T605" s="81">
        <f t="shared" si="107"/>
        <v>33.333333333333336</v>
      </c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</row>
    <row r="606" spans="1:30" ht="15" x14ac:dyDescent="0.2">
      <c r="A606" s="11">
        <v>2018</v>
      </c>
      <c r="B606" s="11"/>
      <c r="C606" s="81">
        <f t="shared" ref="C606:T606" si="108">AVERAGE(C72:C83)</f>
        <v>154.75825</v>
      </c>
      <c r="D606" s="81">
        <f t="shared" si="108"/>
        <v>281.0162499999999</v>
      </c>
      <c r="E606" s="81">
        <f t="shared" si="108"/>
        <v>109.1005</v>
      </c>
      <c r="F606" s="81">
        <f t="shared" si="108"/>
        <v>157.04166666666663</v>
      </c>
      <c r="G606" s="81">
        <f t="shared" si="108"/>
        <v>40</v>
      </c>
      <c r="H606" s="81">
        <f t="shared" si="108"/>
        <v>74.583333333333329</v>
      </c>
      <c r="I606" s="81">
        <f t="shared" si="108"/>
        <v>0</v>
      </c>
      <c r="J606" s="81">
        <f t="shared" si="108"/>
        <v>100</v>
      </c>
      <c r="K606" s="81">
        <f t="shared" si="108"/>
        <v>300</v>
      </c>
      <c r="L606" s="81">
        <f t="shared" si="108"/>
        <v>1216.5</v>
      </c>
      <c r="M606" s="83">
        <f t="shared" si="108"/>
        <v>400</v>
      </c>
      <c r="N606" s="81">
        <f t="shared" si="108"/>
        <v>72.5</v>
      </c>
      <c r="O606" s="82">
        <f t="shared" si="108"/>
        <v>240</v>
      </c>
      <c r="P606" s="82">
        <f t="shared" si="108"/>
        <v>110</v>
      </c>
      <c r="Q606" s="82">
        <f t="shared" si="108"/>
        <v>245</v>
      </c>
      <c r="R606" s="82">
        <f t="shared" si="108"/>
        <v>100</v>
      </c>
      <c r="S606" s="81">
        <f t="shared" si="108"/>
        <v>695</v>
      </c>
      <c r="T606" s="81">
        <f t="shared" si="108"/>
        <v>33.333333333333336</v>
      </c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</row>
    <row r="607" spans="1:30" ht="15" x14ac:dyDescent="0.2">
      <c r="A607" s="11">
        <v>2019</v>
      </c>
      <c r="B607" s="11"/>
      <c r="C607" s="81">
        <f t="shared" ref="C607:T607" si="109">AVERAGE(C84:C95)</f>
        <v>154.75825</v>
      </c>
      <c r="D607" s="81">
        <f t="shared" si="109"/>
        <v>281.0162499999999</v>
      </c>
      <c r="E607" s="81">
        <f t="shared" si="109"/>
        <v>109.1005</v>
      </c>
      <c r="F607" s="81">
        <f t="shared" si="109"/>
        <v>157.04166666666663</v>
      </c>
      <c r="G607" s="81">
        <f t="shared" si="109"/>
        <v>40</v>
      </c>
      <c r="H607" s="81">
        <f t="shared" si="109"/>
        <v>74.583333333333329</v>
      </c>
      <c r="I607" s="81">
        <f t="shared" si="109"/>
        <v>0</v>
      </c>
      <c r="J607" s="81">
        <f t="shared" si="109"/>
        <v>100</v>
      </c>
      <c r="K607" s="81">
        <f t="shared" si="109"/>
        <v>300</v>
      </c>
      <c r="L607" s="81">
        <f t="shared" si="109"/>
        <v>1216.5</v>
      </c>
      <c r="M607" s="83">
        <f t="shared" si="109"/>
        <v>400</v>
      </c>
      <c r="N607" s="81">
        <f t="shared" si="109"/>
        <v>72.5</v>
      </c>
      <c r="O607" s="82">
        <f t="shared" si="109"/>
        <v>240</v>
      </c>
      <c r="P607" s="82">
        <f t="shared" si="109"/>
        <v>110</v>
      </c>
      <c r="Q607" s="82">
        <f t="shared" si="109"/>
        <v>245</v>
      </c>
      <c r="R607" s="82">
        <f t="shared" si="109"/>
        <v>100</v>
      </c>
      <c r="S607" s="81">
        <f t="shared" si="109"/>
        <v>695</v>
      </c>
      <c r="T607" s="81">
        <f t="shared" si="109"/>
        <v>33.333333333333336</v>
      </c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</row>
    <row r="608" spans="1:30" ht="15" x14ac:dyDescent="0.2">
      <c r="A608" s="11">
        <v>2020</v>
      </c>
      <c r="B608" s="11"/>
      <c r="C608" s="81">
        <f t="shared" ref="C608:T608" si="110">AVERAGE(C96:C107)</f>
        <v>154.75825</v>
      </c>
      <c r="D608" s="81">
        <f t="shared" si="110"/>
        <v>281.0162499999999</v>
      </c>
      <c r="E608" s="81">
        <f t="shared" si="110"/>
        <v>109.1005</v>
      </c>
      <c r="F608" s="81">
        <f t="shared" si="110"/>
        <v>157.04166666666663</v>
      </c>
      <c r="G608" s="81">
        <f t="shared" si="110"/>
        <v>40</v>
      </c>
      <c r="H608" s="81">
        <f t="shared" si="110"/>
        <v>74.583333333333329</v>
      </c>
      <c r="I608" s="81">
        <f t="shared" si="110"/>
        <v>0</v>
      </c>
      <c r="J608" s="81">
        <f t="shared" si="110"/>
        <v>100</v>
      </c>
      <c r="K608" s="81">
        <f t="shared" si="110"/>
        <v>300</v>
      </c>
      <c r="L608" s="81">
        <f t="shared" si="110"/>
        <v>1216.5</v>
      </c>
      <c r="M608" s="83">
        <f t="shared" si="110"/>
        <v>533.33333333333337</v>
      </c>
      <c r="N608" s="81">
        <f t="shared" si="110"/>
        <v>72.5</v>
      </c>
      <c r="O608" s="82">
        <f t="shared" si="110"/>
        <v>240</v>
      </c>
      <c r="P608" s="82">
        <f t="shared" si="110"/>
        <v>110</v>
      </c>
      <c r="Q608" s="82">
        <f t="shared" si="110"/>
        <v>245</v>
      </c>
      <c r="R608" s="82">
        <f t="shared" si="110"/>
        <v>100</v>
      </c>
      <c r="S608" s="81">
        <f t="shared" si="110"/>
        <v>695</v>
      </c>
      <c r="T608" s="81">
        <f t="shared" si="110"/>
        <v>33.333333333333336</v>
      </c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</row>
    <row r="609" spans="1:30" ht="15" x14ac:dyDescent="0.2">
      <c r="A609" s="11">
        <v>2021</v>
      </c>
      <c r="B609" s="11"/>
      <c r="C609" s="81">
        <f t="shared" ref="C609:T609" si="111">AVERAGE(C108:C119)</f>
        <v>154.75825</v>
      </c>
      <c r="D609" s="81">
        <f t="shared" si="111"/>
        <v>281.0162499999999</v>
      </c>
      <c r="E609" s="81">
        <f t="shared" si="111"/>
        <v>109.1005</v>
      </c>
      <c r="F609" s="81">
        <f t="shared" si="111"/>
        <v>157.04166666666663</v>
      </c>
      <c r="G609" s="81">
        <f t="shared" si="111"/>
        <v>40</v>
      </c>
      <c r="H609" s="81">
        <f t="shared" si="111"/>
        <v>74.583333333333329</v>
      </c>
      <c r="I609" s="81">
        <f t="shared" si="111"/>
        <v>0</v>
      </c>
      <c r="J609" s="81">
        <f t="shared" si="111"/>
        <v>100</v>
      </c>
      <c r="K609" s="81">
        <f t="shared" si="111"/>
        <v>300</v>
      </c>
      <c r="L609" s="81">
        <f t="shared" si="111"/>
        <v>1216.5</v>
      </c>
      <c r="M609" s="83">
        <f t="shared" si="111"/>
        <v>600</v>
      </c>
      <c r="N609" s="81">
        <f t="shared" si="111"/>
        <v>72.5</v>
      </c>
      <c r="O609" s="82">
        <f t="shared" si="111"/>
        <v>240</v>
      </c>
      <c r="P609" s="82">
        <f t="shared" si="111"/>
        <v>110</v>
      </c>
      <c r="Q609" s="82">
        <f t="shared" si="111"/>
        <v>245</v>
      </c>
      <c r="R609" s="82">
        <f t="shared" si="111"/>
        <v>100</v>
      </c>
      <c r="S609" s="81">
        <f t="shared" si="111"/>
        <v>695</v>
      </c>
      <c r="T609" s="81">
        <f t="shared" si="111"/>
        <v>33.333333333333336</v>
      </c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</row>
    <row r="610" spans="1:30" ht="15" x14ac:dyDescent="0.2">
      <c r="A610" s="11">
        <v>2022</v>
      </c>
      <c r="B610" s="11"/>
      <c r="C610" s="81">
        <f t="shared" ref="C610:T610" si="112">AVERAGE(C120:C131)</f>
        <v>154.75825</v>
      </c>
      <c r="D610" s="81">
        <f t="shared" si="112"/>
        <v>281.0162499999999</v>
      </c>
      <c r="E610" s="81">
        <f t="shared" si="112"/>
        <v>109.1005</v>
      </c>
      <c r="F610" s="81">
        <f t="shared" si="112"/>
        <v>157.04166666666663</v>
      </c>
      <c r="G610" s="81">
        <f t="shared" si="112"/>
        <v>40</v>
      </c>
      <c r="H610" s="81">
        <f t="shared" si="112"/>
        <v>74.583333333333329</v>
      </c>
      <c r="I610" s="81">
        <f t="shared" si="112"/>
        <v>0</v>
      </c>
      <c r="J610" s="81">
        <f t="shared" si="112"/>
        <v>100</v>
      </c>
      <c r="K610" s="81">
        <f t="shared" si="112"/>
        <v>300</v>
      </c>
      <c r="L610" s="81">
        <f t="shared" si="112"/>
        <v>1216.5</v>
      </c>
      <c r="M610" s="83">
        <f t="shared" si="112"/>
        <v>600</v>
      </c>
      <c r="N610" s="81">
        <f t="shared" si="112"/>
        <v>72.5</v>
      </c>
      <c r="O610" s="82">
        <f t="shared" si="112"/>
        <v>240</v>
      </c>
      <c r="P610" s="82">
        <f t="shared" si="112"/>
        <v>110</v>
      </c>
      <c r="Q610" s="82">
        <f t="shared" si="112"/>
        <v>245</v>
      </c>
      <c r="R610" s="82">
        <f t="shared" si="112"/>
        <v>100</v>
      </c>
      <c r="S610" s="81">
        <f t="shared" si="112"/>
        <v>695</v>
      </c>
      <c r="T610" s="81">
        <f t="shared" si="112"/>
        <v>33.333333333333336</v>
      </c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</row>
    <row r="611" spans="1:30" ht="15" x14ac:dyDescent="0.2">
      <c r="A611" s="11">
        <v>2023</v>
      </c>
      <c r="B611" s="11"/>
      <c r="C611" s="81">
        <f t="shared" ref="C611:T611" si="113">AVERAGE(C132:C143)</f>
        <v>154.75825</v>
      </c>
      <c r="D611" s="81">
        <f t="shared" si="113"/>
        <v>281.0162499999999</v>
      </c>
      <c r="E611" s="81">
        <f t="shared" si="113"/>
        <v>109.1005</v>
      </c>
      <c r="F611" s="81">
        <f t="shared" si="113"/>
        <v>157.04166666666663</v>
      </c>
      <c r="G611" s="81">
        <f t="shared" si="113"/>
        <v>40</v>
      </c>
      <c r="H611" s="81">
        <f t="shared" si="113"/>
        <v>74.583333333333329</v>
      </c>
      <c r="I611" s="81">
        <f t="shared" si="113"/>
        <v>0</v>
      </c>
      <c r="J611" s="81">
        <f t="shared" si="113"/>
        <v>100</v>
      </c>
      <c r="K611" s="81">
        <f t="shared" si="113"/>
        <v>300</v>
      </c>
      <c r="L611" s="81">
        <f t="shared" si="113"/>
        <v>1216.5</v>
      </c>
      <c r="M611" s="83">
        <f t="shared" si="113"/>
        <v>600</v>
      </c>
      <c r="N611" s="81">
        <f t="shared" si="113"/>
        <v>72.5</v>
      </c>
      <c r="O611" s="82">
        <f t="shared" si="113"/>
        <v>240</v>
      </c>
      <c r="P611" s="82">
        <f t="shared" si="113"/>
        <v>110</v>
      </c>
      <c r="Q611" s="82">
        <f t="shared" si="113"/>
        <v>245</v>
      </c>
      <c r="R611" s="82">
        <f t="shared" si="113"/>
        <v>100</v>
      </c>
      <c r="S611" s="81">
        <f t="shared" si="113"/>
        <v>695</v>
      </c>
      <c r="T611" s="81">
        <f t="shared" si="113"/>
        <v>33.333333333333336</v>
      </c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</row>
    <row r="612" spans="1:30" ht="15" x14ac:dyDescent="0.2">
      <c r="A612" s="11">
        <v>2024</v>
      </c>
      <c r="B612" s="11"/>
      <c r="C612" s="81">
        <f t="shared" ref="C612:T612" si="114">AVERAGE(C144:C155)</f>
        <v>154.75825</v>
      </c>
      <c r="D612" s="81">
        <f t="shared" si="114"/>
        <v>281.0162499999999</v>
      </c>
      <c r="E612" s="81">
        <f t="shared" si="114"/>
        <v>109.1005</v>
      </c>
      <c r="F612" s="81">
        <f t="shared" si="114"/>
        <v>157.04166666666663</v>
      </c>
      <c r="G612" s="81">
        <f t="shared" si="114"/>
        <v>40</v>
      </c>
      <c r="H612" s="81">
        <f t="shared" si="114"/>
        <v>74.583333333333329</v>
      </c>
      <c r="I612" s="81">
        <f t="shared" si="114"/>
        <v>0</v>
      </c>
      <c r="J612" s="81">
        <f t="shared" si="114"/>
        <v>100</v>
      </c>
      <c r="K612" s="81">
        <f t="shared" si="114"/>
        <v>300</v>
      </c>
      <c r="L612" s="81">
        <f t="shared" si="114"/>
        <v>1216.5</v>
      </c>
      <c r="M612" s="83">
        <f t="shared" si="114"/>
        <v>600</v>
      </c>
      <c r="N612" s="81">
        <f t="shared" si="114"/>
        <v>72.5</v>
      </c>
      <c r="O612" s="82">
        <f t="shared" si="114"/>
        <v>240</v>
      </c>
      <c r="P612" s="82">
        <f t="shared" si="114"/>
        <v>110</v>
      </c>
      <c r="Q612" s="82">
        <f t="shared" si="114"/>
        <v>245</v>
      </c>
      <c r="R612" s="82">
        <f t="shared" si="114"/>
        <v>100</v>
      </c>
      <c r="S612" s="81">
        <f t="shared" si="114"/>
        <v>695</v>
      </c>
      <c r="T612" s="81">
        <f t="shared" si="114"/>
        <v>33.333333333333336</v>
      </c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</row>
    <row r="613" spans="1:30" ht="15" x14ac:dyDescent="0.2">
      <c r="A613" s="11">
        <v>2025</v>
      </c>
      <c r="B613" s="11"/>
      <c r="C613" s="81">
        <f t="shared" ref="C613:T613" si="115">AVERAGE(C156:C167)</f>
        <v>154.75825</v>
      </c>
      <c r="D613" s="81">
        <f t="shared" si="115"/>
        <v>281.0162499999999</v>
      </c>
      <c r="E613" s="81">
        <f t="shared" si="115"/>
        <v>109.1005</v>
      </c>
      <c r="F613" s="81">
        <f t="shared" si="115"/>
        <v>157.04166666666663</v>
      </c>
      <c r="G613" s="81">
        <f t="shared" si="115"/>
        <v>40</v>
      </c>
      <c r="H613" s="81">
        <f t="shared" si="115"/>
        <v>74.583333333333329</v>
      </c>
      <c r="I613" s="81">
        <f t="shared" si="115"/>
        <v>0</v>
      </c>
      <c r="J613" s="81">
        <f t="shared" si="115"/>
        <v>100</v>
      </c>
      <c r="K613" s="81">
        <f t="shared" si="115"/>
        <v>300</v>
      </c>
      <c r="L613" s="81">
        <f t="shared" si="115"/>
        <v>1216.5</v>
      </c>
      <c r="M613" s="83">
        <f t="shared" si="115"/>
        <v>600</v>
      </c>
      <c r="N613" s="81">
        <f t="shared" si="115"/>
        <v>72.5</v>
      </c>
      <c r="O613" s="82">
        <f t="shared" si="115"/>
        <v>240</v>
      </c>
      <c r="P613" s="82">
        <f t="shared" si="115"/>
        <v>110</v>
      </c>
      <c r="Q613" s="82">
        <f t="shared" si="115"/>
        <v>245</v>
      </c>
      <c r="R613" s="82">
        <f t="shared" si="115"/>
        <v>100</v>
      </c>
      <c r="S613" s="81">
        <f t="shared" si="115"/>
        <v>695</v>
      </c>
      <c r="T613" s="81">
        <f t="shared" si="115"/>
        <v>33.333333333333336</v>
      </c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</row>
    <row r="614" spans="1:30" ht="15" x14ac:dyDescent="0.2">
      <c r="A614" s="11">
        <v>2026</v>
      </c>
      <c r="B614" s="11"/>
      <c r="C614" s="81">
        <f t="shared" ref="C614:T614" si="116">AVERAGE(C168:C179)</f>
        <v>154.75825</v>
      </c>
      <c r="D614" s="81">
        <f t="shared" si="116"/>
        <v>281.0162499999999</v>
      </c>
      <c r="E614" s="81">
        <f t="shared" si="116"/>
        <v>109.1005</v>
      </c>
      <c r="F614" s="81">
        <f t="shared" si="116"/>
        <v>157.04166666666663</v>
      </c>
      <c r="G614" s="81">
        <f t="shared" si="116"/>
        <v>40</v>
      </c>
      <c r="H614" s="81">
        <f t="shared" si="116"/>
        <v>74.583333333333329</v>
      </c>
      <c r="I614" s="81">
        <f t="shared" si="116"/>
        <v>0</v>
      </c>
      <c r="J614" s="81">
        <f t="shared" si="116"/>
        <v>100</v>
      </c>
      <c r="K614" s="81">
        <f t="shared" si="116"/>
        <v>300</v>
      </c>
      <c r="L614" s="81">
        <f t="shared" si="116"/>
        <v>1216.5</v>
      </c>
      <c r="M614" s="83">
        <f t="shared" si="116"/>
        <v>600</v>
      </c>
      <c r="N614" s="81">
        <f t="shared" si="116"/>
        <v>72.5</v>
      </c>
      <c r="O614" s="82">
        <f t="shared" si="116"/>
        <v>240</v>
      </c>
      <c r="P614" s="82">
        <f t="shared" si="116"/>
        <v>110</v>
      </c>
      <c r="Q614" s="82">
        <f t="shared" si="116"/>
        <v>245</v>
      </c>
      <c r="R614" s="82">
        <f t="shared" si="116"/>
        <v>100</v>
      </c>
      <c r="S614" s="81">
        <f t="shared" si="116"/>
        <v>695</v>
      </c>
      <c r="T614" s="81">
        <f t="shared" si="116"/>
        <v>33.333333333333336</v>
      </c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</row>
    <row r="615" spans="1:30" ht="15" x14ac:dyDescent="0.2">
      <c r="A615" s="11">
        <v>2027</v>
      </c>
      <c r="B615" s="11"/>
      <c r="C615" s="81">
        <f t="shared" ref="C615:T615" si="117">AVERAGE(C180:C191)</f>
        <v>154.75825</v>
      </c>
      <c r="D615" s="81">
        <f t="shared" si="117"/>
        <v>281.0162499999999</v>
      </c>
      <c r="E615" s="81">
        <f t="shared" si="117"/>
        <v>109.1005</v>
      </c>
      <c r="F615" s="81">
        <f t="shared" si="117"/>
        <v>157.04166666666663</v>
      </c>
      <c r="G615" s="81">
        <f t="shared" si="117"/>
        <v>40</v>
      </c>
      <c r="H615" s="81">
        <f t="shared" si="117"/>
        <v>74.583333333333329</v>
      </c>
      <c r="I615" s="81">
        <f t="shared" si="117"/>
        <v>0</v>
      </c>
      <c r="J615" s="81">
        <f t="shared" si="117"/>
        <v>100</v>
      </c>
      <c r="K615" s="81">
        <f t="shared" si="117"/>
        <v>300</v>
      </c>
      <c r="L615" s="81">
        <f t="shared" si="117"/>
        <v>1216.5</v>
      </c>
      <c r="M615" s="83">
        <f t="shared" si="117"/>
        <v>600</v>
      </c>
      <c r="N615" s="81">
        <f t="shared" si="117"/>
        <v>72.5</v>
      </c>
      <c r="O615" s="82">
        <f t="shared" si="117"/>
        <v>240</v>
      </c>
      <c r="P615" s="82">
        <f t="shared" si="117"/>
        <v>110</v>
      </c>
      <c r="Q615" s="82">
        <f t="shared" si="117"/>
        <v>245</v>
      </c>
      <c r="R615" s="82">
        <f t="shared" si="117"/>
        <v>100</v>
      </c>
      <c r="S615" s="81">
        <f t="shared" si="117"/>
        <v>695</v>
      </c>
      <c r="T615" s="81">
        <f t="shared" si="117"/>
        <v>33.333333333333336</v>
      </c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</row>
    <row r="616" spans="1:30" ht="15" x14ac:dyDescent="0.2">
      <c r="A616" s="11">
        <v>2028</v>
      </c>
      <c r="B616" s="11"/>
      <c r="C616" s="81">
        <f t="shared" ref="C616:T616" si="118">AVERAGE(C192:C203)</f>
        <v>154.75825</v>
      </c>
      <c r="D616" s="81">
        <f t="shared" si="118"/>
        <v>281.0162499999999</v>
      </c>
      <c r="E616" s="81">
        <f t="shared" si="118"/>
        <v>109.1005</v>
      </c>
      <c r="F616" s="81">
        <f t="shared" si="118"/>
        <v>157.04166666666663</v>
      </c>
      <c r="G616" s="81">
        <f t="shared" si="118"/>
        <v>40</v>
      </c>
      <c r="H616" s="81">
        <f t="shared" si="118"/>
        <v>74.583333333333329</v>
      </c>
      <c r="I616" s="81">
        <f t="shared" si="118"/>
        <v>0</v>
      </c>
      <c r="J616" s="81">
        <f t="shared" si="118"/>
        <v>100</v>
      </c>
      <c r="K616" s="81">
        <f t="shared" si="118"/>
        <v>300</v>
      </c>
      <c r="L616" s="81">
        <f t="shared" si="118"/>
        <v>1216.5</v>
      </c>
      <c r="M616" s="83">
        <f t="shared" si="118"/>
        <v>600</v>
      </c>
      <c r="N616" s="81">
        <f t="shared" si="118"/>
        <v>72.5</v>
      </c>
      <c r="O616" s="82">
        <f t="shared" si="118"/>
        <v>240</v>
      </c>
      <c r="P616" s="82">
        <f t="shared" si="118"/>
        <v>110</v>
      </c>
      <c r="Q616" s="82">
        <f t="shared" si="118"/>
        <v>245</v>
      </c>
      <c r="R616" s="82">
        <f t="shared" si="118"/>
        <v>100</v>
      </c>
      <c r="S616" s="81">
        <f t="shared" si="118"/>
        <v>695</v>
      </c>
      <c r="T616" s="81">
        <f t="shared" si="118"/>
        <v>33.333333333333336</v>
      </c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</row>
    <row r="617" spans="1:30" ht="15" x14ac:dyDescent="0.2">
      <c r="A617" s="11">
        <v>2029</v>
      </c>
      <c r="B617" s="11"/>
      <c r="C617" s="81">
        <f t="shared" ref="C617:T617" si="119">AVERAGE(C204:C215)</f>
        <v>154.75825</v>
      </c>
      <c r="D617" s="81">
        <f t="shared" si="119"/>
        <v>281.0162499999999</v>
      </c>
      <c r="E617" s="81">
        <f t="shared" si="119"/>
        <v>109.1005</v>
      </c>
      <c r="F617" s="81">
        <f t="shared" si="119"/>
        <v>157.04166666666663</v>
      </c>
      <c r="G617" s="81">
        <f t="shared" si="119"/>
        <v>40</v>
      </c>
      <c r="H617" s="81">
        <f t="shared" si="119"/>
        <v>74.583333333333329</v>
      </c>
      <c r="I617" s="81">
        <f t="shared" si="119"/>
        <v>0</v>
      </c>
      <c r="J617" s="81">
        <f t="shared" si="119"/>
        <v>100</v>
      </c>
      <c r="K617" s="81">
        <f t="shared" si="119"/>
        <v>300</v>
      </c>
      <c r="L617" s="81">
        <f t="shared" si="119"/>
        <v>1216.5</v>
      </c>
      <c r="M617" s="83">
        <f t="shared" si="119"/>
        <v>600</v>
      </c>
      <c r="N617" s="81">
        <f t="shared" si="119"/>
        <v>72.5</v>
      </c>
      <c r="O617" s="82">
        <f t="shared" si="119"/>
        <v>240</v>
      </c>
      <c r="P617" s="82">
        <f t="shared" si="119"/>
        <v>110</v>
      </c>
      <c r="Q617" s="82">
        <f t="shared" si="119"/>
        <v>245</v>
      </c>
      <c r="R617" s="82">
        <f t="shared" si="119"/>
        <v>100</v>
      </c>
      <c r="S617" s="81">
        <f t="shared" si="119"/>
        <v>695</v>
      </c>
      <c r="T617" s="81">
        <f t="shared" si="119"/>
        <v>33.333333333333336</v>
      </c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</row>
    <row r="618" spans="1:30" ht="15" x14ac:dyDescent="0.2">
      <c r="A618" s="11">
        <v>2030</v>
      </c>
      <c r="B618" s="11"/>
      <c r="C618" s="81">
        <f t="shared" ref="C618:T618" si="120">AVERAGE(C216:C227)</f>
        <v>154.75825</v>
      </c>
      <c r="D618" s="81">
        <f t="shared" si="120"/>
        <v>281.0162499999999</v>
      </c>
      <c r="E618" s="81">
        <f t="shared" si="120"/>
        <v>109.1005</v>
      </c>
      <c r="F618" s="81">
        <f t="shared" si="120"/>
        <v>157.04166666666663</v>
      </c>
      <c r="G618" s="81">
        <f t="shared" si="120"/>
        <v>40</v>
      </c>
      <c r="H618" s="81">
        <f t="shared" si="120"/>
        <v>74.583333333333329</v>
      </c>
      <c r="I618" s="81">
        <f t="shared" si="120"/>
        <v>0</v>
      </c>
      <c r="J618" s="81">
        <f t="shared" si="120"/>
        <v>100</v>
      </c>
      <c r="K618" s="81">
        <f t="shared" si="120"/>
        <v>300</v>
      </c>
      <c r="L618" s="81">
        <f t="shared" si="120"/>
        <v>1216.5</v>
      </c>
      <c r="M618" s="83">
        <f t="shared" si="120"/>
        <v>600</v>
      </c>
      <c r="N618" s="81">
        <f t="shared" si="120"/>
        <v>72.5</v>
      </c>
      <c r="O618" s="82">
        <f t="shared" si="120"/>
        <v>240</v>
      </c>
      <c r="P618" s="82">
        <f t="shared" si="120"/>
        <v>110</v>
      </c>
      <c r="Q618" s="82">
        <f t="shared" si="120"/>
        <v>245</v>
      </c>
      <c r="R618" s="82">
        <f t="shared" si="120"/>
        <v>100</v>
      </c>
      <c r="S618" s="81">
        <f t="shared" si="120"/>
        <v>695</v>
      </c>
      <c r="T618" s="81">
        <f t="shared" si="120"/>
        <v>33.333333333333336</v>
      </c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</row>
    <row r="619" spans="1:30" ht="15" x14ac:dyDescent="0.2">
      <c r="A619" s="11">
        <v>2031</v>
      </c>
      <c r="B619" s="11"/>
      <c r="C619" s="81">
        <f t="shared" ref="C619:T619" si="121">AVERAGE(C228:C239)</f>
        <v>154.75825</v>
      </c>
      <c r="D619" s="81">
        <f t="shared" si="121"/>
        <v>281.0162499999999</v>
      </c>
      <c r="E619" s="81">
        <f t="shared" si="121"/>
        <v>109.1005</v>
      </c>
      <c r="F619" s="81">
        <f t="shared" si="121"/>
        <v>157.04166666666663</v>
      </c>
      <c r="G619" s="81">
        <f t="shared" si="121"/>
        <v>40</v>
      </c>
      <c r="H619" s="81">
        <f t="shared" si="121"/>
        <v>74.583333333333329</v>
      </c>
      <c r="I619" s="81">
        <f t="shared" si="121"/>
        <v>0</v>
      </c>
      <c r="J619" s="81">
        <f t="shared" si="121"/>
        <v>100</v>
      </c>
      <c r="K619" s="81">
        <f t="shared" si="121"/>
        <v>300</v>
      </c>
      <c r="L619" s="81">
        <f t="shared" si="121"/>
        <v>1216.5</v>
      </c>
      <c r="M619" s="83">
        <f t="shared" si="121"/>
        <v>600</v>
      </c>
      <c r="N619" s="81">
        <f t="shared" si="121"/>
        <v>72.5</v>
      </c>
      <c r="O619" s="82">
        <f t="shared" si="121"/>
        <v>240</v>
      </c>
      <c r="P619" s="82">
        <f t="shared" si="121"/>
        <v>110</v>
      </c>
      <c r="Q619" s="82">
        <f t="shared" si="121"/>
        <v>245</v>
      </c>
      <c r="R619" s="82">
        <f t="shared" si="121"/>
        <v>100</v>
      </c>
      <c r="S619" s="81">
        <f t="shared" si="121"/>
        <v>695</v>
      </c>
      <c r="T619" s="81">
        <f t="shared" si="121"/>
        <v>33.333333333333336</v>
      </c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</row>
    <row r="620" spans="1:30" ht="15" x14ac:dyDescent="0.2">
      <c r="A620" s="11">
        <v>2032</v>
      </c>
      <c r="B620" s="11"/>
      <c r="C620" s="81">
        <f t="shared" ref="C620:T620" si="122">AVERAGE(C240:C251)</f>
        <v>154.75825</v>
      </c>
      <c r="D620" s="81">
        <f t="shared" si="122"/>
        <v>281.0162499999999</v>
      </c>
      <c r="E620" s="81">
        <f t="shared" si="122"/>
        <v>109.1005</v>
      </c>
      <c r="F620" s="81">
        <f t="shared" si="122"/>
        <v>157.04166666666663</v>
      </c>
      <c r="G620" s="81">
        <f t="shared" si="122"/>
        <v>40</v>
      </c>
      <c r="H620" s="81">
        <f t="shared" si="122"/>
        <v>74.583333333333329</v>
      </c>
      <c r="I620" s="81">
        <f t="shared" si="122"/>
        <v>0</v>
      </c>
      <c r="J620" s="81">
        <f t="shared" si="122"/>
        <v>100</v>
      </c>
      <c r="K620" s="81">
        <f t="shared" si="122"/>
        <v>300</v>
      </c>
      <c r="L620" s="81">
        <f t="shared" si="122"/>
        <v>1216.5</v>
      </c>
      <c r="M620" s="83">
        <f t="shared" si="122"/>
        <v>600</v>
      </c>
      <c r="N620" s="81">
        <f t="shared" si="122"/>
        <v>72.5</v>
      </c>
      <c r="O620" s="82">
        <f t="shared" si="122"/>
        <v>240</v>
      </c>
      <c r="P620" s="82">
        <f t="shared" si="122"/>
        <v>110</v>
      </c>
      <c r="Q620" s="82">
        <f t="shared" si="122"/>
        <v>245</v>
      </c>
      <c r="R620" s="82">
        <f t="shared" si="122"/>
        <v>100</v>
      </c>
      <c r="S620" s="81">
        <f t="shared" si="122"/>
        <v>695</v>
      </c>
      <c r="T620" s="81">
        <f t="shared" si="122"/>
        <v>33.333333333333336</v>
      </c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</row>
    <row r="621" spans="1:30" ht="15" x14ac:dyDescent="0.2">
      <c r="A621" s="11">
        <v>2033</v>
      </c>
      <c r="B621" s="11"/>
      <c r="C621" s="81">
        <f t="shared" ref="C621:T621" si="123">AVERAGE(C252:C263)</f>
        <v>154.75825</v>
      </c>
      <c r="D621" s="81">
        <f t="shared" si="123"/>
        <v>281.0162499999999</v>
      </c>
      <c r="E621" s="81">
        <f t="shared" si="123"/>
        <v>109.1005</v>
      </c>
      <c r="F621" s="81">
        <f t="shared" si="123"/>
        <v>157.04166666666663</v>
      </c>
      <c r="G621" s="81">
        <f t="shared" si="123"/>
        <v>40</v>
      </c>
      <c r="H621" s="81">
        <f t="shared" si="123"/>
        <v>74.583333333333329</v>
      </c>
      <c r="I621" s="81">
        <f t="shared" si="123"/>
        <v>0</v>
      </c>
      <c r="J621" s="81">
        <f t="shared" si="123"/>
        <v>100</v>
      </c>
      <c r="K621" s="81">
        <f t="shared" si="123"/>
        <v>300</v>
      </c>
      <c r="L621" s="81">
        <f t="shared" si="123"/>
        <v>1216.5</v>
      </c>
      <c r="M621" s="83">
        <f t="shared" si="123"/>
        <v>600</v>
      </c>
      <c r="N621" s="81">
        <f t="shared" si="123"/>
        <v>72.5</v>
      </c>
      <c r="O621" s="82">
        <f t="shared" si="123"/>
        <v>240</v>
      </c>
      <c r="P621" s="82">
        <f t="shared" si="123"/>
        <v>110</v>
      </c>
      <c r="Q621" s="82">
        <f t="shared" si="123"/>
        <v>245</v>
      </c>
      <c r="R621" s="82">
        <f t="shared" si="123"/>
        <v>100</v>
      </c>
      <c r="S621" s="81">
        <f t="shared" si="123"/>
        <v>695</v>
      </c>
      <c r="T621" s="81">
        <f t="shared" si="123"/>
        <v>33.333333333333336</v>
      </c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</row>
    <row r="622" spans="1:30" ht="15" x14ac:dyDescent="0.2">
      <c r="A622" s="11">
        <v>2034</v>
      </c>
      <c r="B622" s="11"/>
      <c r="C622" s="81">
        <f t="shared" ref="C622:T622" si="124">AVERAGE(C264:C275)</f>
        <v>154.75825</v>
      </c>
      <c r="D622" s="81">
        <f t="shared" si="124"/>
        <v>281.0162499999999</v>
      </c>
      <c r="E622" s="81">
        <f t="shared" si="124"/>
        <v>109.1005</v>
      </c>
      <c r="F622" s="81">
        <f t="shared" si="124"/>
        <v>157.04166666666663</v>
      </c>
      <c r="G622" s="81">
        <f t="shared" si="124"/>
        <v>40</v>
      </c>
      <c r="H622" s="81">
        <f t="shared" si="124"/>
        <v>74.583333333333329</v>
      </c>
      <c r="I622" s="81">
        <f t="shared" si="124"/>
        <v>0</v>
      </c>
      <c r="J622" s="81">
        <f t="shared" si="124"/>
        <v>100</v>
      </c>
      <c r="K622" s="81">
        <f t="shared" si="124"/>
        <v>300</v>
      </c>
      <c r="L622" s="81">
        <f t="shared" si="124"/>
        <v>1216.5</v>
      </c>
      <c r="M622" s="83">
        <f t="shared" si="124"/>
        <v>600</v>
      </c>
      <c r="N622" s="81">
        <f t="shared" si="124"/>
        <v>72.5</v>
      </c>
      <c r="O622" s="82">
        <f t="shared" si="124"/>
        <v>240</v>
      </c>
      <c r="P622" s="82">
        <f t="shared" si="124"/>
        <v>110</v>
      </c>
      <c r="Q622" s="82">
        <f t="shared" si="124"/>
        <v>245</v>
      </c>
      <c r="R622" s="82">
        <f t="shared" si="124"/>
        <v>100</v>
      </c>
      <c r="S622" s="81">
        <f t="shared" si="124"/>
        <v>695</v>
      </c>
      <c r="T622" s="81">
        <f t="shared" si="124"/>
        <v>33.333333333333336</v>
      </c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</row>
    <row r="623" spans="1:30" ht="15" x14ac:dyDescent="0.2">
      <c r="A623" s="11">
        <v>2035</v>
      </c>
      <c r="B623" s="11"/>
      <c r="C623" s="81">
        <f t="shared" ref="C623:T623" si="125">AVERAGE(C276:C287)</f>
        <v>154.75825</v>
      </c>
      <c r="D623" s="81">
        <f t="shared" si="125"/>
        <v>281.0162499999999</v>
      </c>
      <c r="E623" s="81">
        <f t="shared" si="125"/>
        <v>109.1005</v>
      </c>
      <c r="F623" s="81">
        <f t="shared" si="125"/>
        <v>157.04166666666663</v>
      </c>
      <c r="G623" s="81">
        <f t="shared" si="125"/>
        <v>40</v>
      </c>
      <c r="H623" s="81">
        <f t="shared" si="125"/>
        <v>74.583333333333329</v>
      </c>
      <c r="I623" s="81">
        <f t="shared" si="125"/>
        <v>0</v>
      </c>
      <c r="J623" s="81">
        <f t="shared" si="125"/>
        <v>100</v>
      </c>
      <c r="K623" s="81">
        <f t="shared" si="125"/>
        <v>300</v>
      </c>
      <c r="L623" s="81">
        <f t="shared" si="125"/>
        <v>1216.5</v>
      </c>
      <c r="M623" s="83">
        <f t="shared" si="125"/>
        <v>600</v>
      </c>
      <c r="N623" s="81">
        <f t="shared" si="125"/>
        <v>72.5</v>
      </c>
      <c r="O623" s="82">
        <f t="shared" si="125"/>
        <v>240</v>
      </c>
      <c r="P623" s="82">
        <f t="shared" si="125"/>
        <v>110</v>
      </c>
      <c r="Q623" s="82">
        <f t="shared" si="125"/>
        <v>245</v>
      </c>
      <c r="R623" s="82">
        <f t="shared" si="125"/>
        <v>100</v>
      </c>
      <c r="S623" s="81">
        <f t="shared" si="125"/>
        <v>695</v>
      </c>
      <c r="T623" s="81">
        <f t="shared" si="125"/>
        <v>33.333333333333336</v>
      </c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</row>
    <row r="624" spans="1:30" ht="15" x14ac:dyDescent="0.2">
      <c r="A624" s="11">
        <v>2036</v>
      </c>
      <c r="B624" s="11"/>
      <c r="C624" s="81">
        <f t="shared" ref="C624:T624" si="126">AVERAGE(C288:C299)</f>
        <v>154.75825</v>
      </c>
      <c r="D624" s="81">
        <f t="shared" si="126"/>
        <v>281.0162499999999</v>
      </c>
      <c r="E624" s="81">
        <f t="shared" si="126"/>
        <v>109.1005</v>
      </c>
      <c r="F624" s="81">
        <f t="shared" si="126"/>
        <v>157.04166666666663</v>
      </c>
      <c r="G624" s="81">
        <f t="shared" si="126"/>
        <v>40</v>
      </c>
      <c r="H624" s="81">
        <f t="shared" si="126"/>
        <v>74.583333333333329</v>
      </c>
      <c r="I624" s="81">
        <f t="shared" si="126"/>
        <v>0</v>
      </c>
      <c r="J624" s="81">
        <f t="shared" si="126"/>
        <v>100</v>
      </c>
      <c r="K624" s="81">
        <f t="shared" si="126"/>
        <v>300</v>
      </c>
      <c r="L624" s="81">
        <f t="shared" si="126"/>
        <v>1216.5</v>
      </c>
      <c r="M624" s="83">
        <f t="shared" si="126"/>
        <v>600</v>
      </c>
      <c r="N624" s="81">
        <f t="shared" si="126"/>
        <v>72.5</v>
      </c>
      <c r="O624" s="82">
        <f t="shared" si="126"/>
        <v>240</v>
      </c>
      <c r="P624" s="82">
        <f t="shared" si="126"/>
        <v>110</v>
      </c>
      <c r="Q624" s="82">
        <f t="shared" si="126"/>
        <v>245</v>
      </c>
      <c r="R624" s="82">
        <f t="shared" si="126"/>
        <v>100</v>
      </c>
      <c r="S624" s="81">
        <f t="shared" si="126"/>
        <v>695</v>
      </c>
      <c r="T624" s="81">
        <f t="shared" si="126"/>
        <v>33.333333333333336</v>
      </c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</row>
    <row r="625" spans="1:30" ht="15" x14ac:dyDescent="0.2">
      <c r="A625" s="11">
        <v>2037</v>
      </c>
      <c r="B625" s="11"/>
      <c r="C625" s="81">
        <f t="shared" ref="C625:T625" si="127">AVERAGE(C300:C311)</f>
        <v>154.75825</v>
      </c>
      <c r="D625" s="81">
        <f t="shared" si="127"/>
        <v>281.0162499999999</v>
      </c>
      <c r="E625" s="81">
        <f t="shared" si="127"/>
        <v>109.1005</v>
      </c>
      <c r="F625" s="81">
        <f t="shared" si="127"/>
        <v>157.04166666666663</v>
      </c>
      <c r="G625" s="81">
        <f t="shared" si="127"/>
        <v>40</v>
      </c>
      <c r="H625" s="81">
        <f t="shared" si="127"/>
        <v>74.583333333333329</v>
      </c>
      <c r="I625" s="81">
        <f t="shared" si="127"/>
        <v>0</v>
      </c>
      <c r="J625" s="81">
        <f t="shared" si="127"/>
        <v>100</v>
      </c>
      <c r="K625" s="81">
        <f t="shared" si="127"/>
        <v>300</v>
      </c>
      <c r="L625" s="81">
        <f t="shared" si="127"/>
        <v>1216.5</v>
      </c>
      <c r="M625" s="83">
        <f t="shared" si="127"/>
        <v>600</v>
      </c>
      <c r="N625" s="81">
        <f t="shared" si="127"/>
        <v>72.5</v>
      </c>
      <c r="O625" s="82">
        <f t="shared" si="127"/>
        <v>240</v>
      </c>
      <c r="P625" s="82">
        <f t="shared" si="127"/>
        <v>110</v>
      </c>
      <c r="Q625" s="82">
        <f t="shared" si="127"/>
        <v>245</v>
      </c>
      <c r="R625" s="82">
        <f t="shared" si="127"/>
        <v>100</v>
      </c>
      <c r="S625" s="81">
        <f t="shared" si="127"/>
        <v>695</v>
      </c>
      <c r="T625" s="81">
        <f t="shared" si="127"/>
        <v>33.333333333333336</v>
      </c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</row>
    <row r="626" spans="1:30" ht="15" x14ac:dyDescent="0.2">
      <c r="A626" s="11">
        <f t="shared" ref="A626:A649" si="128">A625+1</f>
        <v>2038</v>
      </c>
      <c r="B626" s="11"/>
      <c r="C626" s="78">
        <f t="shared" ref="C626:T626" si="129">AVERAGE(C312:C323)</f>
        <v>154.75825</v>
      </c>
      <c r="D626" s="78">
        <f t="shared" si="129"/>
        <v>281.0162499999999</v>
      </c>
      <c r="E626" s="78">
        <f t="shared" si="129"/>
        <v>109.1005</v>
      </c>
      <c r="F626" s="78">
        <f t="shared" si="129"/>
        <v>157.04166666666663</v>
      </c>
      <c r="G626" s="78">
        <f t="shared" si="129"/>
        <v>40</v>
      </c>
      <c r="H626" s="78">
        <f t="shared" si="129"/>
        <v>74.583333333333329</v>
      </c>
      <c r="I626" s="78">
        <f t="shared" si="129"/>
        <v>0</v>
      </c>
      <c r="J626" s="78">
        <f t="shared" si="129"/>
        <v>100</v>
      </c>
      <c r="K626" s="78">
        <f t="shared" si="129"/>
        <v>300</v>
      </c>
      <c r="L626" s="78">
        <f t="shared" si="129"/>
        <v>1216.5</v>
      </c>
      <c r="M626" s="79">
        <f t="shared" si="129"/>
        <v>600</v>
      </c>
      <c r="N626" s="78">
        <f t="shared" si="129"/>
        <v>72.5</v>
      </c>
      <c r="O626" s="80">
        <f t="shared" si="129"/>
        <v>240</v>
      </c>
      <c r="P626" s="80">
        <f t="shared" si="129"/>
        <v>110</v>
      </c>
      <c r="Q626" s="80">
        <f t="shared" si="129"/>
        <v>245</v>
      </c>
      <c r="R626" s="80">
        <f t="shared" si="129"/>
        <v>100</v>
      </c>
      <c r="S626" s="78">
        <f t="shared" si="129"/>
        <v>695</v>
      </c>
      <c r="T626" s="78">
        <f t="shared" si="129"/>
        <v>33.333333333333336</v>
      </c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</row>
    <row r="627" spans="1:30" ht="15" x14ac:dyDescent="0.2">
      <c r="A627" s="11">
        <f t="shared" si="128"/>
        <v>2039</v>
      </c>
      <c r="B627" s="11"/>
      <c r="C627" s="78">
        <f t="shared" ref="C627:T627" si="130">AVERAGE(C324:C335)</f>
        <v>154.75825</v>
      </c>
      <c r="D627" s="78">
        <f t="shared" si="130"/>
        <v>281.0162499999999</v>
      </c>
      <c r="E627" s="78">
        <f t="shared" si="130"/>
        <v>109.1005</v>
      </c>
      <c r="F627" s="78">
        <f t="shared" si="130"/>
        <v>157.04166666666663</v>
      </c>
      <c r="G627" s="78">
        <f t="shared" si="130"/>
        <v>40</v>
      </c>
      <c r="H627" s="78">
        <f t="shared" si="130"/>
        <v>74.583333333333329</v>
      </c>
      <c r="I627" s="78">
        <f t="shared" si="130"/>
        <v>0</v>
      </c>
      <c r="J627" s="78">
        <f t="shared" si="130"/>
        <v>100</v>
      </c>
      <c r="K627" s="78">
        <f t="shared" si="130"/>
        <v>300</v>
      </c>
      <c r="L627" s="78">
        <f t="shared" si="130"/>
        <v>1216.5</v>
      </c>
      <c r="M627" s="79">
        <f t="shared" si="130"/>
        <v>600</v>
      </c>
      <c r="N627" s="78">
        <f t="shared" si="130"/>
        <v>72.5</v>
      </c>
      <c r="O627" s="80">
        <f t="shared" si="130"/>
        <v>240</v>
      </c>
      <c r="P627" s="80">
        <f t="shared" si="130"/>
        <v>110</v>
      </c>
      <c r="Q627" s="80">
        <f t="shared" si="130"/>
        <v>245</v>
      </c>
      <c r="R627" s="80">
        <f t="shared" si="130"/>
        <v>100</v>
      </c>
      <c r="S627" s="78">
        <f t="shared" si="130"/>
        <v>695</v>
      </c>
      <c r="T627" s="78">
        <f t="shared" si="130"/>
        <v>33.333333333333336</v>
      </c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</row>
    <row r="628" spans="1:30" ht="15" x14ac:dyDescent="0.2">
      <c r="A628" s="11">
        <f t="shared" si="128"/>
        <v>2040</v>
      </c>
      <c r="B628" s="11"/>
      <c r="C628" s="78">
        <f t="shared" ref="C628:T628" si="131">AVERAGE(C336:C347)</f>
        <v>154.75825</v>
      </c>
      <c r="D628" s="78">
        <f t="shared" si="131"/>
        <v>281.0162499999999</v>
      </c>
      <c r="E628" s="78">
        <f t="shared" si="131"/>
        <v>109.1005</v>
      </c>
      <c r="F628" s="78">
        <f t="shared" si="131"/>
        <v>157.04166666666663</v>
      </c>
      <c r="G628" s="78">
        <f t="shared" si="131"/>
        <v>40</v>
      </c>
      <c r="H628" s="78">
        <f t="shared" si="131"/>
        <v>74.583333333333329</v>
      </c>
      <c r="I628" s="78">
        <f t="shared" si="131"/>
        <v>0</v>
      </c>
      <c r="J628" s="78">
        <f t="shared" si="131"/>
        <v>100</v>
      </c>
      <c r="K628" s="78">
        <f t="shared" si="131"/>
        <v>300</v>
      </c>
      <c r="L628" s="78">
        <f t="shared" si="131"/>
        <v>1216.5</v>
      </c>
      <c r="M628" s="79">
        <f t="shared" si="131"/>
        <v>600</v>
      </c>
      <c r="N628" s="78">
        <f t="shared" si="131"/>
        <v>72.5</v>
      </c>
      <c r="O628" s="80">
        <f t="shared" si="131"/>
        <v>240</v>
      </c>
      <c r="P628" s="80">
        <f t="shared" si="131"/>
        <v>110</v>
      </c>
      <c r="Q628" s="80">
        <f t="shared" si="131"/>
        <v>245</v>
      </c>
      <c r="R628" s="80">
        <f t="shared" si="131"/>
        <v>100</v>
      </c>
      <c r="S628" s="78">
        <f t="shared" si="131"/>
        <v>695</v>
      </c>
      <c r="T628" s="78">
        <f t="shared" si="131"/>
        <v>33.333333333333336</v>
      </c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</row>
    <row r="629" spans="1:30" ht="15" x14ac:dyDescent="0.2">
      <c r="A629" s="11">
        <f t="shared" si="128"/>
        <v>2041</v>
      </c>
      <c r="B629" s="11"/>
      <c r="C629" s="78">
        <f t="shared" ref="C629:T629" si="132">AVERAGE(C348:C359)</f>
        <v>154.75825</v>
      </c>
      <c r="D629" s="78">
        <f t="shared" si="132"/>
        <v>281.0162499999999</v>
      </c>
      <c r="E629" s="78">
        <f t="shared" si="132"/>
        <v>109.1005</v>
      </c>
      <c r="F629" s="78">
        <f t="shared" si="132"/>
        <v>157.04166666666663</v>
      </c>
      <c r="G629" s="78">
        <f t="shared" si="132"/>
        <v>40</v>
      </c>
      <c r="H629" s="78">
        <f t="shared" si="132"/>
        <v>74.583333333333329</v>
      </c>
      <c r="I629" s="78">
        <f t="shared" si="132"/>
        <v>0</v>
      </c>
      <c r="J629" s="78">
        <f t="shared" si="132"/>
        <v>100</v>
      </c>
      <c r="K629" s="78">
        <f t="shared" si="132"/>
        <v>300</v>
      </c>
      <c r="L629" s="78">
        <f t="shared" si="132"/>
        <v>1216.5</v>
      </c>
      <c r="M629" s="79">
        <f t="shared" si="132"/>
        <v>600</v>
      </c>
      <c r="N629" s="78">
        <f t="shared" si="132"/>
        <v>72.5</v>
      </c>
      <c r="O629" s="80">
        <f t="shared" si="132"/>
        <v>240</v>
      </c>
      <c r="P629" s="80">
        <f t="shared" si="132"/>
        <v>110</v>
      </c>
      <c r="Q629" s="80">
        <f t="shared" si="132"/>
        <v>245</v>
      </c>
      <c r="R629" s="80">
        <f t="shared" si="132"/>
        <v>100</v>
      </c>
      <c r="S629" s="78">
        <f t="shared" si="132"/>
        <v>695</v>
      </c>
      <c r="T629" s="78">
        <f t="shared" si="132"/>
        <v>33.333333333333336</v>
      </c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</row>
    <row r="630" spans="1:30" ht="15" x14ac:dyDescent="0.2">
      <c r="A630" s="11">
        <f t="shared" si="128"/>
        <v>2042</v>
      </c>
      <c r="B630" s="11"/>
      <c r="C630" s="78">
        <f t="shared" ref="C630:T630" si="133">AVERAGE(C360:C371)</f>
        <v>154.75825</v>
      </c>
      <c r="D630" s="78">
        <f t="shared" si="133"/>
        <v>281.0162499999999</v>
      </c>
      <c r="E630" s="78">
        <f t="shared" si="133"/>
        <v>109.1005</v>
      </c>
      <c r="F630" s="78">
        <f t="shared" si="133"/>
        <v>157.04166666666663</v>
      </c>
      <c r="G630" s="78">
        <f t="shared" si="133"/>
        <v>40</v>
      </c>
      <c r="H630" s="78">
        <f t="shared" si="133"/>
        <v>74.583333333333329</v>
      </c>
      <c r="I630" s="78">
        <f t="shared" si="133"/>
        <v>0</v>
      </c>
      <c r="J630" s="78">
        <f t="shared" si="133"/>
        <v>100</v>
      </c>
      <c r="K630" s="78">
        <f t="shared" si="133"/>
        <v>300</v>
      </c>
      <c r="L630" s="78">
        <f t="shared" si="133"/>
        <v>1216.5</v>
      </c>
      <c r="M630" s="79">
        <f t="shared" si="133"/>
        <v>600</v>
      </c>
      <c r="N630" s="78">
        <f t="shared" si="133"/>
        <v>72.5</v>
      </c>
      <c r="O630" s="80">
        <f t="shared" si="133"/>
        <v>240</v>
      </c>
      <c r="P630" s="80">
        <f t="shared" si="133"/>
        <v>110</v>
      </c>
      <c r="Q630" s="80">
        <f t="shared" si="133"/>
        <v>245</v>
      </c>
      <c r="R630" s="80">
        <f t="shared" si="133"/>
        <v>100</v>
      </c>
      <c r="S630" s="78">
        <f t="shared" si="133"/>
        <v>695</v>
      </c>
      <c r="T630" s="78">
        <f t="shared" si="133"/>
        <v>33.333333333333336</v>
      </c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</row>
    <row r="631" spans="1:30" ht="15" x14ac:dyDescent="0.2">
      <c r="A631" s="11">
        <f t="shared" si="128"/>
        <v>2043</v>
      </c>
      <c r="B631" s="11"/>
      <c r="C631" s="78">
        <f t="shared" ref="C631:T631" si="134">AVERAGE(C372:C383)</f>
        <v>154.75825</v>
      </c>
      <c r="D631" s="78">
        <f t="shared" si="134"/>
        <v>281.0162499999999</v>
      </c>
      <c r="E631" s="78">
        <f t="shared" si="134"/>
        <v>109.1005</v>
      </c>
      <c r="F631" s="78">
        <f t="shared" si="134"/>
        <v>157.04166666666663</v>
      </c>
      <c r="G631" s="78">
        <f t="shared" si="134"/>
        <v>40</v>
      </c>
      <c r="H631" s="78">
        <f t="shared" si="134"/>
        <v>74.583333333333329</v>
      </c>
      <c r="I631" s="78">
        <f t="shared" si="134"/>
        <v>0</v>
      </c>
      <c r="J631" s="78">
        <f t="shared" si="134"/>
        <v>100</v>
      </c>
      <c r="K631" s="78">
        <f t="shared" si="134"/>
        <v>300</v>
      </c>
      <c r="L631" s="78">
        <f t="shared" si="134"/>
        <v>1216.5</v>
      </c>
      <c r="M631" s="79">
        <f t="shared" si="134"/>
        <v>600</v>
      </c>
      <c r="N631" s="78">
        <f t="shared" si="134"/>
        <v>72.5</v>
      </c>
      <c r="O631" s="80">
        <f t="shared" si="134"/>
        <v>240</v>
      </c>
      <c r="P631" s="80">
        <f t="shared" si="134"/>
        <v>110</v>
      </c>
      <c r="Q631" s="80">
        <f t="shared" si="134"/>
        <v>245</v>
      </c>
      <c r="R631" s="80">
        <f t="shared" si="134"/>
        <v>100</v>
      </c>
      <c r="S631" s="78">
        <f t="shared" si="134"/>
        <v>695</v>
      </c>
      <c r="T631" s="78">
        <f t="shared" si="134"/>
        <v>33.333333333333336</v>
      </c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</row>
    <row r="632" spans="1:30" ht="15" x14ac:dyDescent="0.2">
      <c r="A632" s="11">
        <f t="shared" si="128"/>
        <v>2044</v>
      </c>
      <c r="B632" s="11"/>
      <c r="C632" s="78">
        <f t="shared" ref="C632:T632" si="135">AVERAGE(C384:C395)</f>
        <v>154.75825</v>
      </c>
      <c r="D632" s="78">
        <f t="shared" si="135"/>
        <v>281.0162499999999</v>
      </c>
      <c r="E632" s="78">
        <f t="shared" si="135"/>
        <v>109.1005</v>
      </c>
      <c r="F632" s="78">
        <f t="shared" si="135"/>
        <v>157.04166666666663</v>
      </c>
      <c r="G632" s="78">
        <f t="shared" si="135"/>
        <v>40</v>
      </c>
      <c r="H632" s="78">
        <f t="shared" si="135"/>
        <v>74.583333333333329</v>
      </c>
      <c r="I632" s="78">
        <f t="shared" si="135"/>
        <v>0</v>
      </c>
      <c r="J632" s="78">
        <f t="shared" si="135"/>
        <v>100</v>
      </c>
      <c r="K632" s="78">
        <f t="shared" si="135"/>
        <v>300</v>
      </c>
      <c r="L632" s="78">
        <f t="shared" si="135"/>
        <v>1216.5</v>
      </c>
      <c r="M632" s="79">
        <f t="shared" si="135"/>
        <v>600</v>
      </c>
      <c r="N632" s="78">
        <f t="shared" si="135"/>
        <v>72.5</v>
      </c>
      <c r="O632" s="80">
        <f t="shared" si="135"/>
        <v>240</v>
      </c>
      <c r="P632" s="80">
        <f t="shared" si="135"/>
        <v>110</v>
      </c>
      <c r="Q632" s="80">
        <f t="shared" si="135"/>
        <v>245</v>
      </c>
      <c r="R632" s="80">
        <f t="shared" si="135"/>
        <v>100</v>
      </c>
      <c r="S632" s="78">
        <f t="shared" si="135"/>
        <v>695</v>
      </c>
      <c r="T632" s="78">
        <f t="shared" si="135"/>
        <v>33.333333333333336</v>
      </c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</row>
    <row r="633" spans="1:30" ht="15" x14ac:dyDescent="0.2">
      <c r="A633" s="11">
        <f t="shared" si="128"/>
        <v>2045</v>
      </c>
      <c r="B633" s="11"/>
      <c r="C633" s="78">
        <f t="shared" ref="C633:T633" si="136">AVERAGE(C396:C407)</f>
        <v>154.75825</v>
      </c>
      <c r="D633" s="78">
        <f t="shared" si="136"/>
        <v>281.0162499999999</v>
      </c>
      <c r="E633" s="78">
        <f t="shared" si="136"/>
        <v>109.1005</v>
      </c>
      <c r="F633" s="78">
        <f t="shared" si="136"/>
        <v>157.04166666666663</v>
      </c>
      <c r="G633" s="78">
        <f t="shared" si="136"/>
        <v>40</v>
      </c>
      <c r="H633" s="78">
        <f t="shared" si="136"/>
        <v>74.583333333333329</v>
      </c>
      <c r="I633" s="78">
        <f t="shared" si="136"/>
        <v>0</v>
      </c>
      <c r="J633" s="78">
        <f t="shared" si="136"/>
        <v>100</v>
      </c>
      <c r="K633" s="78">
        <f t="shared" si="136"/>
        <v>300</v>
      </c>
      <c r="L633" s="78">
        <f t="shared" si="136"/>
        <v>1216.5</v>
      </c>
      <c r="M633" s="79">
        <f t="shared" si="136"/>
        <v>600</v>
      </c>
      <c r="N633" s="78">
        <f t="shared" si="136"/>
        <v>72.5</v>
      </c>
      <c r="O633" s="80">
        <f t="shared" si="136"/>
        <v>240</v>
      </c>
      <c r="P633" s="80">
        <f t="shared" si="136"/>
        <v>110</v>
      </c>
      <c r="Q633" s="80">
        <f t="shared" si="136"/>
        <v>245</v>
      </c>
      <c r="R633" s="80">
        <f t="shared" si="136"/>
        <v>100</v>
      </c>
      <c r="S633" s="78">
        <f t="shared" si="136"/>
        <v>695</v>
      </c>
      <c r="T633" s="78">
        <f t="shared" si="136"/>
        <v>33.333333333333336</v>
      </c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</row>
    <row r="634" spans="1:30" ht="15" x14ac:dyDescent="0.2">
      <c r="A634" s="11">
        <f t="shared" si="128"/>
        <v>2046</v>
      </c>
      <c r="B634" s="11"/>
      <c r="C634" s="78">
        <f t="shared" ref="C634:T634" si="137">AVERAGE(C408:C419)</f>
        <v>154.75825</v>
      </c>
      <c r="D634" s="78">
        <f t="shared" si="137"/>
        <v>281.0162499999999</v>
      </c>
      <c r="E634" s="78">
        <f t="shared" si="137"/>
        <v>109.1005</v>
      </c>
      <c r="F634" s="78">
        <f t="shared" si="137"/>
        <v>157.04166666666663</v>
      </c>
      <c r="G634" s="78">
        <f t="shared" si="137"/>
        <v>40</v>
      </c>
      <c r="H634" s="78">
        <f t="shared" si="137"/>
        <v>74.583333333333329</v>
      </c>
      <c r="I634" s="78">
        <f t="shared" si="137"/>
        <v>0</v>
      </c>
      <c r="J634" s="78">
        <f t="shared" si="137"/>
        <v>100</v>
      </c>
      <c r="K634" s="78">
        <f t="shared" si="137"/>
        <v>300</v>
      </c>
      <c r="L634" s="78">
        <f t="shared" si="137"/>
        <v>1216.5</v>
      </c>
      <c r="M634" s="79">
        <f t="shared" si="137"/>
        <v>600</v>
      </c>
      <c r="N634" s="78">
        <f t="shared" si="137"/>
        <v>72.5</v>
      </c>
      <c r="O634" s="80">
        <f t="shared" si="137"/>
        <v>240</v>
      </c>
      <c r="P634" s="80">
        <f t="shared" si="137"/>
        <v>110</v>
      </c>
      <c r="Q634" s="80">
        <f t="shared" si="137"/>
        <v>245</v>
      </c>
      <c r="R634" s="80">
        <f t="shared" si="137"/>
        <v>100</v>
      </c>
      <c r="S634" s="78">
        <f t="shared" si="137"/>
        <v>695</v>
      </c>
      <c r="T634" s="78">
        <f t="shared" si="137"/>
        <v>33.333333333333336</v>
      </c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</row>
    <row r="635" spans="1:30" ht="15" x14ac:dyDescent="0.2">
      <c r="A635" s="11">
        <f t="shared" si="128"/>
        <v>2047</v>
      </c>
      <c r="B635" s="11"/>
      <c r="C635" s="78">
        <f t="shared" ref="C635:T635" si="138">AVERAGE(C420:C431)</f>
        <v>154.75825</v>
      </c>
      <c r="D635" s="78">
        <f t="shared" si="138"/>
        <v>281.0162499999999</v>
      </c>
      <c r="E635" s="78">
        <f t="shared" si="138"/>
        <v>109.1005</v>
      </c>
      <c r="F635" s="78">
        <f t="shared" si="138"/>
        <v>157.04166666666663</v>
      </c>
      <c r="G635" s="78">
        <f t="shared" si="138"/>
        <v>40</v>
      </c>
      <c r="H635" s="78">
        <f t="shared" si="138"/>
        <v>74.583333333333329</v>
      </c>
      <c r="I635" s="78">
        <f t="shared" si="138"/>
        <v>0</v>
      </c>
      <c r="J635" s="78">
        <f t="shared" si="138"/>
        <v>100</v>
      </c>
      <c r="K635" s="78">
        <f t="shared" si="138"/>
        <v>300</v>
      </c>
      <c r="L635" s="78">
        <f t="shared" si="138"/>
        <v>1216.5</v>
      </c>
      <c r="M635" s="79">
        <f t="shared" si="138"/>
        <v>600</v>
      </c>
      <c r="N635" s="78">
        <f t="shared" si="138"/>
        <v>72.5</v>
      </c>
      <c r="O635" s="80">
        <f t="shared" si="138"/>
        <v>240</v>
      </c>
      <c r="P635" s="80">
        <f t="shared" si="138"/>
        <v>110</v>
      </c>
      <c r="Q635" s="80">
        <f t="shared" si="138"/>
        <v>245</v>
      </c>
      <c r="R635" s="80">
        <f t="shared" si="138"/>
        <v>100</v>
      </c>
      <c r="S635" s="78">
        <f t="shared" si="138"/>
        <v>695</v>
      </c>
      <c r="T635" s="78">
        <f t="shared" si="138"/>
        <v>33.333333333333336</v>
      </c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</row>
    <row r="636" spans="1:30" ht="15" x14ac:dyDescent="0.2">
      <c r="A636" s="11">
        <f t="shared" si="128"/>
        <v>2048</v>
      </c>
      <c r="B636" s="11"/>
      <c r="C636" s="78">
        <f t="shared" ref="C636:T636" si="139">AVERAGE(C432:C443)</f>
        <v>154.75825</v>
      </c>
      <c r="D636" s="78">
        <f t="shared" si="139"/>
        <v>281.0162499999999</v>
      </c>
      <c r="E636" s="78">
        <f t="shared" si="139"/>
        <v>109.1005</v>
      </c>
      <c r="F636" s="78">
        <f t="shared" si="139"/>
        <v>157.04166666666663</v>
      </c>
      <c r="G636" s="78">
        <f t="shared" si="139"/>
        <v>40</v>
      </c>
      <c r="H636" s="78">
        <f t="shared" si="139"/>
        <v>74.583333333333329</v>
      </c>
      <c r="I636" s="78">
        <f t="shared" si="139"/>
        <v>0</v>
      </c>
      <c r="J636" s="78">
        <f t="shared" si="139"/>
        <v>100</v>
      </c>
      <c r="K636" s="78">
        <f t="shared" si="139"/>
        <v>300</v>
      </c>
      <c r="L636" s="78">
        <f t="shared" si="139"/>
        <v>1216.5</v>
      </c>
      <c r="M636" s="79">
        <f t="shared" si="139"/>
        <v>600</v>
      </c>
      <c r="N636" s="78">
        <f t="shared" si="139"/>
        <v>72.5</v>
      </c>
      <c r="O636" s="80">
        <f t="shared" si="139"/>
        <v>240</v>
      </c>
      <c r="P636" s="80">
        <f t="shared" si="139"/>
        <v>110</v>
      </c>
      <c r="Q636" s="80">
        <f t="shared" si="139"/>
        <v>245</v>
      </c>
      <c r="R636" s="80">
        <f t="shared" si="139"/>
        <v>100</v>
      </c>
      <c r="S636" s="78">
        <f t="shared" si="139"/>
        <v>695</v>
      </c>
      <c r="T636" s="78">
        <f t="shared" si="139"/>
        <v>33.333333333333336</v>
      </c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</row>
    <row r="637" spans="1:30" ht="15" x14ac:dyDescent="0.2">
      <c r="A637" s="11">
        <f t="shared" si="128"/>
        <v>2049</v>
      </c>
      <c r="B637" s="11"/>
      <c r="C637" s="78">
        <f t="shared" ref="C637:T637" si="140">AVERAGE(C444:C455)</f>
        <v>154.75825</v>
      </c>
      <c r="D637" s="78">
        <f t="shared" si="140"/>
        <v>281.0162499999999</v>
      </c>
      <c r="E637" s="78">
        <f t="shared" si="140"/>
        <v>109.1005</v>
      </c>
      <c r="F637" s="78">
        <f t="shared" si="140"/>
        <v>157.04166666666663</v>
      </c>
      <c r="G637" s="78">
        <f t="shared" si="140"/>
        <v>40</v>
      </c>
      <c r="H637" s="78">
        <f t="shared" si="140"/>
        <v>74.583333333333329</v>
      </c>
      <c r="I637" s="78">
        <f t="shared" si="140"/>
        <v>0</v>
      </c>
      <c r="J637" s="78">
        <f t="shared" si="140"/>
        <v>100</v>
      </c>
      <c r="K637" s="78">
        <f t="shared" si="140"/>
        <v>300</v>
      </c>
      <c r="L637" s="78">
        <f t="shared" si="140"/>
        <v>1216.5</v>
      </c>
      <c r="M637" s="79">
        <f t="shared" si="140"/>
        <v>600</v>
      </c>
      <c r="N637" s="78">
        <f t="shared" si="140"/>
        <v>72.5</v>
      </c>
      <c r="O637" s="80">
        <f t="shared" si="140"/>
        <v>240</v>
      </c>
      <c r="P637" s="80">
        <f t="shared" si="140"/>
        <v>110</v>
      </c>
      <c r="Q637" s="80">
        <f t="shared" si="140"/>
        <v>245</v>
      </c>
      <c r="R637" s="80">
        <f t="shared" si="140"/>
        <v>100</v>
      </c>
      <c r="S637" s="78">
        <f t="shared" si="140"/>
        <v>695</v>
      </c>
      <c r="T637" s="78">
        <f t="shared" si="140"/>
        <v>33.333333333333336</v>
      </c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</row>
    <row r="638" spans="1:30" ht="15" x14ac:dyDescent="0.2">
      <c r="A638" s="11">
        <f t="shared" si="128"/>
        <v>2050</v>
      </c>
      <c r="B638" s="11"/>
      <c r="C638" s="78">
        <f t="shared" ref="C638:T638" si="141">AVERAGE(C456:C467)</f>
        <v>154.75825</v>
      </c>
      <c r="D638" s="78">
        <f t="shared" si="141"/>
        <v>281.0162499999999</v>
      </c>
      <c r="E638" s="78">
        <f t="shared" si="141"/>
        <v>109.1005</v>
      </c>
      <c r="F638" s="78">
        <f t="shared" si="141"/>
        <v>157.04166666666663</v>
      </c>
      <c r="G638" s="78">
        <f t="shared" si="141"/>
        <v>40</v>
      </c>
      <c r="H638" s="78">
        <f t="shared" si="141"/>
        <v>74.583333333333329</v>
      </c>
      <c r="I638" s="78">
        <f t="shared" si="141"/>
        <v>0</v>
      </c>
      <c r="J638" s="78">
        <f t="shared" si="141"/>
        <v>100</v>
      </c>
      <c r="K638" s="78">
        <f t="shared" si="141"/>
        <v>300</v>
      </c>
      <c r="L638" s="78">
        <f t="shared" si="141"/>
        <v>1216.5</v>
      </c>
      <c r="M638" s="79">
        <f t="shared" si="141"/>
        <v>600</v>
      </c>
      <c r="N638" s="78">
        <f t="shared" si="141"/>
        <v>72.5</v>
      </c>
      <c r="O638" s="80">
        <f t="shared" si="141"/>
        <v>240</v>
      </c>
      <c r="P638" s="80">
        <f t="shared" si="141"/>
        <v>110</v>
      </c>
      <c r="Q638" s="80">
        <f t="shared" si="141"/>
        <v>245</v>
      </c>
      <c r="R638" s="80">
        <f t="shared" si="141"/>
        <v>100</v>
      </c>
      <c r="S638" s="78">
        <f t="shared" si="141"/>
        <v>695</v>
      </c>
      <c r="T638" s="78">
        <f t="shared" si="141"/>
        <v>33.333333333333336</v>
      </c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</row>
    <row r="639" spans="1:30" ht="15" x14ac:dyDescent="0.2">
      <c r="A639" s="11">
        <f t="shared" si="128"/>
        <v>2051</v>
      </c>
      <c r="B639" s="11"/>
      <c r="C639" s="78">
        <f t="shared" ref="C639:T639" si="142">AVERAGE(C468:C479)</f>
        <v>154.75825</v>
      </c>
      <c r="D639" s="78">
        <f t="shared" si="142"/>
        <v>281.0162499999999</v>
      </c>
      <c r="E639" s="78">
        <f t="shared" si="142"/>
        <v>109.1005</v>
      </c>
      <c r="F639" s="78">
        <f t="shared" si="142"/>
        <v>157.04166666666663</v>
      </c>
      <c r="G639" s="78">
        <f t="shared" si="142"/>
        <v>40</v>
      </c>
      <c r="H639" s="78">
        <f t="shared" si="142"/>
        <v>74.583333333333329</v>
      </c>
      <c r="I639" s="78">
        <f t="shared" si="142"/>
        <v>0</v>
      </c>
      <c r="J639" s="78">
        <f t="shared" si="142"/>
        <v>100</v>
      </c>
      <c r="K639" s="78">
        <f t="shared" si="142"/>
        <v>300</v>
      </c>
      <c r="L639" s="78">
        <f t="shared" si="142"/>
        <v>1216.5</v>
      </c>
      <c r="M639" s="79">
        <f t="shared" si="142"/>
        <v>600</v>
      </c>
      <c r="N639" s="78">
        <f t="shared" si="142"/>
        <v>72.5</v>
      </c>
      <c r="O639" s="80">
        <f t="shared" si="142"/>
        <v>240</v>
      </c>
      <c r="P639" s="80">
        <f t="shared" si="142"/>
        <v>110</v>
      </c>
      <c r="Q639" s="80">
        <f t="shared" si="142"/>
        <v>245</v>
      </c>
      <c r="R639" s="80">
        <f t="shared" si="142"/>
        <v>100</v>
      </c>
      <c r="S639" s="78">
        <f t="shared" si="142"/>
        <v>695</v>
      </c>
      <c r="T639" s="78">
        <f t="shared" si="142"/>
        <v>33.333333333333336</v>
      </c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</row>
    <row r="640" spans="1:30" ht="15" x14ac:dyDescent="0.2">
      <c r="A640" s="11">
        <f t="shared" si="128"/>
        <v>2052</v>
      </c>
      <c r="B640" s="11"/>
      <c r="C640" s="78">
        <f t="shared" ref="C640:T640" si="143">AVERAGE(C480:C491)</f>
        <v>154.75825</v>
      </c>
      <c r="D640" s="78">
        <f t="shared" si="143"/>
        <v>281.0162499999999</v>
      </c>
      <c r="E640" s="78">
        <f t="shared" si="143"/>
        <v>109.1005</v>
      </c>
      <c r="F640" s="78">
        <f t="shared" si="143"/>
        <v>157.04166666666663</v>
      </c>
      <c r="G640" s="78">
        <f t="shared" si="143"/>
        <v>40</v>
      </c>
      <c r="H640" s="78">
        <f t="shared" si="143"/>
        <v>74.583333333333329</v>
      </c>
      <c r="I640" s="78">
        <f t="shared" si="143"/>
        <v>0</v>
      </c>
      <c r="J640" s="78">
        <f t="shared" si="143"/>
        <v>100</v>
      </c>
      <c r="K640" s="78">
        <f t="shared" si="143"/>
        <v>300</v>
      </c>
      <c r="L640" s="78">
        <f t="shared" si="143"/>
        <v>1216.5</v>
      </c>
      <c r="M640" s="79">
        <f t="shared" si="143"/>
        <v>600</v>
      </c>
      <c r="N640" s="78">
        <f t="shared" si="143"/>
        <v>72.5</v>
      </c>
      <c r="O640" s="80">
        <f t="shared" si="143"/>
        <v>240</v>
      </c>
      <c r="P640" s="80">
        <f t="shared" si="143"/>
        <v>110</v>
      </c>
      <c r="Q640" s="80">
        <f t="shared" si="143"/>
        <v>245</v>
      </c>
      <c r="R640" s="80">
        <f t="shared" si="143"/>
        <v>100</v>
      </c>
      <c r="S640" s="78">
        <f t="shared" si="143"/>
        <v>695</v>
      </c>
      <c r="T640" s="78">
        <f t="shared" si="143"/>
        <v>33.333333333333336</v>
      </c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</row>
    <row r="641" spans="1:30" ht="15" x14ac:dyDescent="0.2">
      <c r="A641" s="11">
        <f t="shared" si="128"/>
        <v>2053</v>
      </c>
      <c r="B641" s="11"/>
      <c r="C641" s="78">
        <f t="shared" ref="C641:T641" si="144">AVERAGE(C492:C503)</f>
        <v>154.75825</v>
      </c>
      <c r="D641" s="78">
        <f t="shared" si="144"/>
        <v>281.0162499999999</v>
      </c>
      <c r="E641" s="78">
        <f t="shared" si="144"/>
        <v>109.1005</v>
      </c>
      <c r="F641" s="78">
        <f t="shared" si="144"/>
        <v>157.04166666666663</v>
      </c>
      <c r="G641" s="78">
        <f t="shared" si="144"/>
        <v>40</v>
      </c>
      <c r="H641" s="78">
        <f t="shared" si="144"/>
        <v>74.583333333333329</v>
      </c>
      <c r="I641" s="78">
        <f t="shared" si="144"/>
        <v>0</v>
      </c>
      <c r="J641" s="78">
        <f t="shared" si="144"/>
        <v>100</v>
      </c>
      <c r="K641" s="78">
        <f t="shared" si="144"/>
        <v>300</v>
      </c>
      <c r="L641" s="78">
        <f t="shared" si="144"/>
        <v>1216.5</v>
      </c>
      <c r="M641" s="79">
        <f t="shared" si="144"/>
        <v>600</v>
      </c>
      <c r="N641" s="78">
        <f t="shared" si="144"/>
        <v>72.5</v>
      </c>
      <c r="O641" s="80">
        <f t="shared" si="144"/>
        <v>240</v>
      </c>
      <c r="P641" s="80">
        <f t="shared" si="144"/>
        <v>110</v>
      </c>
      <c r="Q641" s="80">
        <f t="shared" si="144"/>
        <v>245</v>
      </c>
      <c r="R641" s="80">
        <f t="shared" si="144"/>
        <v>100</v>
      </c>
      <c r="S641" s="78">
        <f t="shared" si="144"/>
        <v>695</v>
      </c>
      <c r="T641" s="78">
        <f t="shared" si="144"/>
        <v>33.333333333333336</v>
      </c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</row>
    <row r="642" spans="1:30" ht="15" x14ac:dyDescent="0.2">
      <c r="A642" s="11">
        <f t="shared" si="128"/>
        <v>2054</v>
      </c>
      <c r="B642" s="11"/>
      <c r="C642" s="78">
        <f t="shared" ref="C642:T642" si="145">AVERAGE(C504:C515)</f>
        <v>154.75825</v>
      </c>
      <c r="D642" s="78">
        <f t="shared" si="145"/>
        <v>281.0162499999999</v>
      </c>
      <c r="E642" s="78">
        <f t="shared" si="145"/>
        <v>109.1005</v>
      </c>
      <c r="F642" s="78">
        <f t="shared" si="145"/>
        <v>157.04166666666663</v>
      </c>
      <c r="G642" s="78">
        <f t="shared" si="145"/>
        <v>40</v>
      </c>
      <c r="H642" s="78">
        <f t="shared" si="145"/>
        <v>74.583333333333329</v>
      </c>
      <c r="I642" s="78">
        <f t="shared" si="145"/>
        <v>0</v>
      </c>
      <c r="J642" s="78">
        <f t="shared" si="145"/>
        <v>100</v>
      </c>
      <c r="K642" s="78">
        <f t="shared" si="145"/>
        <v>300</v>
      </c>
      <c r="L642" s="78">
        <f t="shared" si="145"/>
        <v>1216.5</v>
      </c>
      <c r="M642" s="79">
        <f t="shared" si="145"/>
        <v>600</v>
      </c>
      <c r="N642" s="78">
        <f t="shared" si="145"/>
        <v>72.5</v>
      </c>
      <c r="O642" s="78">
        <f t="shared" si="145"/>
        <v>240</v>
      </c>
      <c r="P642" s="78">
        <f t="shared" si="145"/>
        <v>110</v>
      </c>
      <c r="Q642" s="78">
        <f t="shared" si="145"/>
        <v>245</v>
      </c>
      <c r="R642" s="78">
        <f t="shared" si="145"/>
        <v>100</v>
      </c>
      <c r="S642" s="78">
        <f t="shared" si="145"/>
        <v>695</v>
      </c>
      <c r="T642" s="78">
        <f t="shared" si="145"/>
        <v>33.333333333333336</v>
      </c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</row>
    <row r="643" spans="1:30" ht="15" x14ac:dyDescent="0.2">
      <c r="A643" s="11">
        <f t="shared" si="128"/>
        <v>2055</v>
      </c>
      <c r="B643" s="11"/>
      <c r="C643" s="78">
        <f t="shared" ref="C643:T643" si="146">AVERAGE(C505:C516)</f>
        <v>154.75825</v>
      </c>
      <c r="D643" s="78">
        <f t="shared" si="146"/>
        <v>281.0162499999999</v>
      </c>
      <c r="E643" s="78">
        <f t="shared" si="146"/>
        <v>109.1005</v>
      </c>
      <c r="F643" s="78">
        <f t="shared" si="146"/>
        <v>157.04166666666663</v>
      </c>
      <c r="G643" s="78">
        <f t="shared" si="146"/>
        <v>40</v>
      </c>
      <c r="H643" s="78">
        <f t="shared" si="146"/>
        <v>74.583333333333329</v>
      </c>
      <c r="I643" s="78">
        <f t="shared" si="146"/>
        <v>0</v>
      </c>
      <c r="J643" s="78">
        <f t="shared" si="146"/>
        <v>100</v>
      </c>
      <c r="K643" s="78">
        <f t="shared" si="146"/>
        <v>300</v>
      </c>
      <c r="L643" s="78">
        <f t="shared" si="146"/>
        <v>1216.5</v>
      </c>
      <c r="M643" s="79">
        <f t="shared" si="146"/>
        <v>600</v>
      </c>
      <c r="N643" s="78">
        <f t="shared" si="146"/>
        <v>72.5</v>
      </c>
      <c r="O643" s="78">
        <f t="shared" si="146"/>
        <v>240</v>
      </c>
      <c r="P643" s="78">
        <f t="shared" si="146"/>
        <v>110</v>
      </c>
      <c r="Q643" s="78">
        <f t="shared" si="146"/>
        <v>245</v>
      </c>
      <c r="R643" s="78">
        <f t="shared" si="146"/>
        <v>100</v>
      </c>
      <c r="S643" s="78">
        <f t="shared" si="146"/>
        <v>695</v>
      </c>
      <c r="T643" s="78">
        <f t="shared" si="146"/>
        <v>33.333333333333336</v>
      </c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</row>
    <row r="644" spans="1:30" ht="15" x14ac:dyDescent="0.2">
      <c r="A644" s="11">
        <f t="shared" si="128"/>
        <v>2056</v>
      </c>
      <c r="B644" s="11"/>
      <c r="C644" s="78">
        <f t="shared" ref="C644:T644" si="147">AVERAGE(C506:C517)</f>
        <v>154.75824999999998</v>
      </c>
      <c r="D644" s="78">
        <f t="shared" si="147"/>
        <v>281.0162499999999</v>
      </c>
      <c r="E644" s="78">
        <f t="shared" si="147"/>
        <v>109.1005</v>
      </c>
      <c r="F644" s="78">
        <f t="shared" si="147"/>
        <v>157.04166666666663</v>
      </c>
      <c r="G644" s="78">
        <f t="shared" si="147"/>
        <v>40</v>
      </c>
      <c r="H644" s="78">
        <f t="shared" si="147"/>
        <v>74.583333333333329</v>
      </c>
      <c r="I644" s="78">
        <f t="shared" si="147"/>
        <v>0</v>
      </c>
      <c r="J644" s="78">
        <f t="shared" si="147"/>
        <v>100</v>
      </c>
      <c r="K644" s="78">
        <f t="shared" si="147"/>
        <v>300</v>
      </c>
      <c r="L644" s="78">
        <f t="shared" si="147"/>
        <v>1216.5</v>
      </c>
      <c r="M644" s="79">
        <f t="shared" si="147"/>
        <v>600</v>
      </c>
      <c r="N644" s="78">
        <f t="shared" si="147"/>
        <v>72.5</v>
      </c>
      <c r="O644" s="78">
        <f t="shared" si="147"/>
        <v>240</v>
      </c>
      <c r="P644" s="78">
        <f t="shared" si="147"/>
        <v>110</v>
      </c>
      <c r="Q644" s="78">
        <f t="shared" si="147"/>
        <v>245</v>
      </c>
      <c r="R644" s="78">
        <f t="shared" si="147"/>
        <v>100</v>
      </c>
      <c r="S644" s="78">
        <f t="shared" si="147"/>
        <v>695</v>
      </c>
      <c r="T644" s="78">
        <f t="shared" si="147"/>
        <v>33.333333333333336</v>
      </c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</row>
    <row r="645" spans="1:30" ht="15" x14ac:dyDescent="0.2">
      <c r="A645" s="11">
        <f t="shared" si="128"/>
        <v>2057</v>
      </c>
      <c r="B645" s="11"/>
      <c r="C645" s="78">
        <f t="shared" ref="C645:T645" si="148">AVERAGE(C507:C518)</f>
        <v>154.75825</v>
      </c>
      <c r="D645" s="78">
        <f t="shared" si="148"/>
        <v>281.0162499999999</v>
      </c>
      <c r="E645" s="78">
        <f t="shared" si="148"/>
        <v>109.1005</v>
      </c>
      <c r="F645" s="78">
        <f t="shared" si="148"/>
        <v>157.0416666666666</v>
      </c>
      <c r="G645" s="78">
        <f t="shared" si="148"/>
        <v>40</v>
      </c>
      <c r="H645" s="78">
        <f t="shared" si="148"/>
        <v>74.583333333333329</v>
      </c>
      <c r="I645" s="78">
        <f t="shared" si="148"/>
        <v>0</v>
      </c>
      <c r="J645" s="78">
        <f t="shared" si="148"/>
        <v>100</v>
      </c>
      <c r="K645" s="78">
        <f t="shared" si="148"/>
        <v>300</v>
      </c>
      <c r="L645" s="78">
        <f t="shared" si="148"/>
        <v>1216.5</v>
      </c>
      <c r="M645" s="79">
        <f t="shared" si="148"/>
        <v>600</v>
      </c>
      <c r="N645" s="78">
        <f t="shared" si="148"/>
        <v>72.5</v>
      </c>
      <c r="O645" s="78">
        <f t="shared" si="148"/>
        <v>240</v>
      </c>
      <c r="P645" s="78">
        <f t="shared" si="148"/>
        <v>110</v>
      </c>
      <c r="Q645" s="78">
        <f t="shared" si="148"/>
        <v>245</v>
      </c>
      <c r="R645" s="78">
        <f t="shared" si="148"/>
        <v>100</v>
      </c>
      <c r="S645" s="78">
        <f t="shared" si="148"/>
        <v>695</v>
      </c>
      <c r="T645" s="78">
        <f t="shared" si="148"/>
        <v>33.333333333333336</v>
      </c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</row>
    <row r="646" spans="1:30" ht="15" x14ac:dyDescent="0.2">
      <c r="A646" s="11">
        <f t="shared" si="128"/>
        <v>2058</v>
      </c>
      <c r="B646" s="11"/>
      <c r="C646" s="78">
        <f t="shared" ref="C646:T646" si="149">AVERAGE(C508:C519)</f>
        <v>154.75824999999998</v>
      </c>
      <c r="D646" s="78">
        <f t="shared" si="149"/>
        <v>281.01624999999996</v>
      </c>
      <c r="E646" s="78">
        <f t="shared" si="149"/>
        <v>109.10050000000001</v>
      </c>
      <c r="F646" s="78">
        <f t="shared" si="149"/>
        <v>157.04166666666663</v>
      </c>
      <c r="G646" s="78">
        <f t="shared" si="149"/>
        <v>40</v>
      </c>
      <c r="H646" s="78">
        <f t="shared" si="149"/>
        <v>74.583333333333329</v>
      </c>
      <c r="I646" s="78">
        <f t="shared" si="149"/>
        <v>0</v>
      </c>
      <c r="J646" s="78">
        <f t="shared" si="149"/>
        <v>100</v>
      </c>
      <c r="K646" s="78">
        <f t="shared" si="149"/>
        <v>300</v>
      </c>
      <c r="L646" s="78">
        <f t="shared" si="149"/>
        <v>1216.5</v>
      </c>
      <c r="M646" s="79">
        <f t="shared" si="149"/>
        <v>600</v>
      </c>
      <c r="N646" s="78">
        <f t="shared" si="149"/>
        <v>72.5</v>
      </c>
      <c r="O646" s="78">
        <f t="shared" si="149"/>
        <v>240</v>
      </c>
      <c r="P646" s="78">
        <f t="shared" si="149"/>
        <v>110</v>
      </c>
      <c r="Q646" s="78">
        <f t="shared" si="149"/>
        <v>245</v>
      </c>
      <c r="R646" s="78">
        <f t="shared" si="149"/>
        <v>100</v>
      </c>
      <c r="S646" s="78">
        <f t="shared" si="149"/>
        <v>695</v>
      </c>
      <c r="T646" s="78">
        <f t="shared" si="149"/>
        <v>33.333333333333336</v>
      </c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</row>
    <row r="647" spans="1:30" ht="15" x14ac:dyDescent="0.2">
      <c r="A647" s="11">
        <f t="shared" si="128"/>
        <v>2059</v>
      </c>
      <c r="B647" s="11"/>
      <c r="C647" s="78">
        <f t="shared" ref="C647:T647" si="150">AVERAGE(C509:C520)</f>
        <v>154.75824999999998</v>
      </c>
      <c r="D647" s="78">
        <f t="shared" si="150"/>
        <v>281.01624999999996</v>
      </c>
      <c r="E647" s="78">
        <f t="shared" si="150"/>
        <v>109.10050000000001</v>
      </c>
      <c r="F647" s="78">
        <f t="shared" si="150"/>
        <v>157.04166666666663</v>
      </c>
      <c r="G647" s="78">
        <f t="shared" si="150"/>
        <v>40</v>
      </c>
      <c r="H647" s="78">
        <f t="shared" si="150"/>
        <v>74.583333333333329</v>
      </c>
      <c r="I647" s="78">
        <f t="shared" si="150"/>
        <v>0</v>
      </c>
      <c r="J647" s="78">
        <f t="shared" si="150"/>
        <v>100</v>
      </c>
      <c r="K647" s="78">
        <f t="shared" si="150"/>
        <v>300</v>
      </c>
      <c r="L647" s="78">
        <f t="shared" si="150"/>
        <v>1216.5</v>
      </c>
      <c r="M647" s="79">
        <f t="shared" si="150"/>
        <v>600</v>
      </c>
      <c r="N647" s="78">
        <f t="shared" si="150"/>
        <v>72.5</v>
      </c>
      <c r="O647" s="78">
        <f t="shared" si="150"/>
        <v>240</v>
      </c>
      <c r="P647" s="78">
        <f t="shared" si="150"/>
        <v>110</v>
      </c>
      <c r="Q647" s="78">
        <f t="shared" si="150"/>
        <v>245</v>
      </c>
      <c r="R647" s="78">
        <f t="shared" si="150"/>
        <v>100</v>
      </c>
      <c r="S647" s="78">
        <f t="shared" si="150"/>
        <v>695</v>
      </c>
      <c r="T647" s="78">
        <f t="shared" si="150"/>
        <v>33.333333333333336</v>
      </c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</row>
    <row r="648" spans="1:30" ht="15" x14ac:dyDescent="0.2">
      <c r="A648" s="11">
        <f t="shared" si="128"/>
        <v>2060</v>
      </c>
      <c r="B648" s="11"/>
      <c r="C648" s="78">
        <f t="shared" ref="C648:T648" si="151">AVERAGE(C510:C521)</f>
        <v>154.75824999999998</v>
      </c>
      <c r="D648" s="78">
        <f t="shared" si="151"/>
        <v>281.01624999999996</v>
      </c>
      <c r="E648" s="78">
        <f t="shared" si="151"/>
        <v>109.10050000000001</v>
      </c>
      <c r="F648" s="78">
        <f t="shared" si="151"/>
        <v>157.04166666666663</v>
      </c>
      <c r="G648" s="78">
        <f t="shared" si="151"/>
        <v>40</v>
      </c>
      <c r="H648" s="78">
        <f t="shared" si="151"/>
        <v>74.583333333333329</v>
      </c>
      <c r="I648" s="78">
        <f t="shared" si="151"/>
        <v>0</v>
      </c>
      <c r="J648" s="78">
        <f t="shared" si="151"/>
        <v>100</v>
      </c>
      <c r="K648" s="78">
        <f t="shared" si="151"/>
        <v>300</v>
      </c>
      <c r="L648" s="78">
        <f t="shared" si="151"/>
        <v>1216.5</v>
      </c>
      <c r="M648" s="79">
        <f t="shared" si="151"/>
        <v>600</v>
      </c>
      <c r="N648" s="78">
        <f t="shared" si="151"/>
        <v>72.5</v>
      </c>
      <c r="O648" s="78">
        <f t="shared" si="151"/>
        <v>240</v>
      </c>
      <c r="P648" s="78">
        <f t="shared" si="151"/>
        <v>110</v>
      </c>
      <c r="Q648" s="78">
        <f t="shared" si="151"/>
        <v>245</v>
      </c>
      <c r="R648" s="78">
        <f t="shared" si="151"/>
        <v>100</v>
      </c>
      <c r="S648" s="78">
        <f t="shared" si="151"/>
        <v>695</v>
      </c>
      <c r="T648" s="78">
        <f t="shared" si="151"/>
        <v>33.333333333333336</v>
      </c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</row>
    <row r="649" spans="1:30" ht="15" x14ac:dyDescent="0.2">
      <c r="A649" s="11">
        <f t="shared" si="128"/>
        <v>2061</v>
      </c>
      <c r="B649" s="11"/>
      <c r="C649" s="78">
        <f t="shared" ref="C649:T649" si="152">AVERAGE(C511:C522)</f>
        <v>154.75825</v>
      </c>
      <c r="D649" s="78">
        <f t="shared" si="152"/>
        <v>281.01624999999996</v>
      </c>
      <c r="E649" s="78">
        <f t="shared" si="152"/>
        <v>109.10050000000001</v>
      </c>
      <c r="F649" s="78">
        <f t="shared" si="152"/>
        <v>157.04166666666663</v>
      </c>
      <c r="G649" s="78">
        <f t="shared" si="152"/>
        <v>40</v>
      </c>
      <c r="H649" s="78">
        <f t="shared" si="152"/>
        <v>74.583333333333329</v>
      </c>
      <c r="I649" s="78">
        <f t="shared" si="152"/>
        <v>0</v>
      </c>
      <c r="J649" s="78">
        <f t="shared" si="152"/>
        <v>100</v>
      </c>
      <c r="K649" s="78">
        <f t="shared" si="152"/>
        <v>300</v>
      </c>
      <c r="L649" s="78">
        <f t="shared" si="152"/>
        <v>1216.5</v>
      </c>
      <c r="M649" s="79">
        <f t="shared" si="152"/>
        <v>600</v>
      </c>
      <c r="N649" s="78">
        <f t="shared" si="152"/>
        <v>72.5</v>
      </c>
      <c r="O649" s="78">
        <f t="shared" si="152"/>
        <v>240</v>
      </c>
      <c r="P649" s="78">
        <f t="shared" si="152"/>
        <v>110</v>
      </c>
      <c r="Q649" s="78">
        <f t="shared" si="152"/>
        <v>245</v>
      </c>
      <c r="R649" s="78">
        <f t="shared" si="152"/>
        <v>100</v>
      </c>
      <c r="S649" s="78">
        <f t="shared" si="152"/>
        <v>695</v>
      </c>
      <c r="T649" s="78">
        <f t="shared" si="152"/>
        <v>33.333333333333336</v>
      </c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</row>
    <row r="650" spans="1:30" x14ac:dyDescent="0.2">
      <c r="A650" s="8"/>
      <c r="B650" s="8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</row>
    <row r="651" spans="1:30" x14ac:dyDescent="0.2">
      <c r="A651" s="8"/>
      <c r="B651" s="8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</row>
    <row r="652" spans="1:30" x14ac:dyDescent="0.2">
      <c r="A652" s="8"/>
      <c r="B652" s="8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</row>
    <row r="653" spans="1:30" x14ac:dyDescent="0.2">
      <c r="A653" s="8"/>
      <c r="B653" s="8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</row>
    <row r="654" spans="1:30" x14ac:dyDescent="0.2">
      <c r="A654" s="8"/>
      <c r="B654" s="8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</row>
    <row r="655" spans="1:30" x14ac:dyDescent="0.2">
      <c r="A655" s="8"/>
      <c r="B655" s="8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</row>
    <row r="656" spans="1:30" x14ac:dyDescent="0.2">
      <c r="A656" s="8"/>
      <c r="B656" s="8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</row>
    <row r="657" spans="1:30" x14ac:dyDescent="0.2">
      <c r="A657" s="8"/>
      <c r="B657" s="8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</row>
    <row r="658" spans="1:30" x14ac:dyDescent="0.2">
      <c r="A658" s="8"/>
      <c r="B658" s="8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</row>
    <row r="659" spans="1:30" x14ac:dyDescent="0.2">
      <c r="A659" s="8"/>
      <c r="B659" s="8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</row>
    <row r="660" spans="1:30" x14ac:dyDescent="0.2">
      <c r="A660" s="8"/>
      <c r="B660" s="8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</row>
    <row r="661" spans="1:30" x14ac:dyDescent="0.2">
      <c r="A661" s="8"/>
      <c r="B661" s="8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</row>
    <row r="662" spans="1:30" x14ac:dyDescent="0.2">
      <c r="A662" s="8"/>
      <c r="B662" s="8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</row>
    <row r="663" spans="1:30" x14ac:dyDescent="0.2">
      <c r="A663" s="8"/>
      <c r="B663" s="8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</row>
    <row r="664" spans="1:30" x14ac:dyDescent="0.2">
      <c r="A664" s="8"/>
      <c r="B664" s="8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</row>
    <row r="665" spans="1:30" x14ac:dyDescent="0.2">
      <c r="A665" s="8"/>
      <c r="B665" s="8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</row>
    <row r="666" spans="1:30" x14ac:dyDescent="0.2">
      <c r="A666" s="8"/>
      <c r="B666" s="8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</row>
    <row r="667" spans="1:30" x14ac:dyDescent="0.2">
      <c r="A667" s="8"/>
      <c r="B667" s="8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</row>
    <row r="668" spans="1:30" x14ac:dyDescent="0.2">
      <c r="A668" s="8"/>
      <c r="B668" s="8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</row>
    <row r="669" spans="1:30" x14ac:dyDescent="0.2">
      <c r="A669" s="8"/>
      <c r="B669" s="8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</row>
    <row r="670" spans="1:30" x14ac:dyDescent="0.2">
      <c r="A670" s="8"/>
      <c r="B670" s="8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</row>
    <row r="671" spans="1:30" x14ac:dyDescent="0.2">
      <c r="A671" s="8"/>
      <c r="B671" s="8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</row>
    <row r="672" spans="1:30" x14ac:dyDescent="0.2">
      <c r="A672" s="8"/>
      <c r="B672" s="8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</row>
    <row r="673" spans="1:30" x14ac:dyDescent="0.2">
      <c r="A673" s="8"/>
      <c r="B673" s="8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</row>
    <row r="674" spans="1:30" x14ac:dyDescent="0.2">
      <c r="A674" s="8"/>
      <c r="B674" s="8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</row>
    <row r="675" spans="1:30" x14ac:dyDescent="0.2">
      <c r="A675" s="8"/>
      <c r="B675" s="8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</row>
    <row r="676" spans="1:30" x14ac:dyDescent="0.2">
      <c r="A676" s="8"/>
      <c r="B676" s="8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</row>
    <row r="677" spans="1:30" x14ac:dyDescent="0.2">
      <c r="A677" s="8"/>
      <c r="B677" s="8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</row>
    <row r="678" spans="1:30" x14ac:dyDescent="0.2">
      <c r="A678" s="8"/>
      <c r="B678" s="8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</row>
    <row r="679" spans="1:30" x14ac:dyDescent="0.2">
      <c r="A679" s="8"/>
      <c r="B679" s="8"/>
    </row>
    <row r="680" spans="1:30" x14ac:dyDescent="0.2">
      <c r="A680" s="8"/>
      <c r="B680" s="8"/>
    </row>
    <row r="681" spans="1:30" x14ac:dyDescent="0.2">
      <c r="A681" s="8"/>
      <c r="B681" s="8"/>
    </row>
    <row r="682" spans="1:30" x14ac:dyDescent="0.2">
      <c r="A682" s="8"/>
      <c r="B682" s="8"/>
    </row>
    <row r="683" spans="1:30" x14ac:dyDescent="0.2">
      <c r="A683" s="8"/>
      <c r="B683" s="8"/>
    </row>
    <row r="684" spans="1:30" x14ac:dyDescent="0.2">
      <c r="A684" s="8"/>
      <c r="B684" s="8"/>
    </row>
    <row r="685" spans="1:30" x14ac:dyDescent="0.2">
      <c r="A685" s="8"/>
      <c r="B685" s="8"/>
    </row>
    <row r="686" spans="1:30" x14ac:dyDescent="0.2">
      <c r="A686" s="8"/>
      <c r="B686" s="8"/>
    </row>
    <row r="687" spans="1:30" x14ac:dyDescent="0.2">
      <c r="A687" s="8"/>
      <c r="B687" s="8"/>
    </row>
    <row r="688" spans="1:30" x14ac:dyDescent="0.2">
      <c r="A688" s="8"/>
      <c r="B688" s="8"/>
    </row>
    <row r="689" spans="1:2" x14ac:dyDescent="0.2">
      <c r="A689" s="8"/>
      <c r="B689" s="8"/>
    </row>
    <row r="690" spans="1:2" x14ac:dyDescent="0.2">
      <c r="A690" s="8"/>
      <c r="B690" s="8"/>
    </row>
    <row r="691" spans="1:2" x14ac:dyDescent="0.2">
      <c r="A691" s="8"/>
      <c r="B691" s="8"/>
    </row>
    <row r="692" spans="1:2" x14ac:dyDescent="0.2">
      <c r="A692" s="8"/>
      <c r="B692" s="8"/>
    </row>
    <row r="693" spans="1:2" x14ac:dyDescent="0.2">
      <c r="A693" s="8"/>
      <c r="B693" s="8"/>
    </row>
    <row r="694" spans="1:2" x14ac:dyDescent="0.2">
      <c r="A694" s="8"/>
      <c r="B694" s="8"/>
    </row>
    <row r="695" spans="1:2" x14ac:dyDescent="0.2">
      <c r="A695" s="8"/>
      <c r="B695" s="8"/>
    </row>
    <row r="696" spans="1:2" x14ac:dyDescent="0.2">
      <c r="A696" s="8"/>
      <c r="B696" s="8"/>
    </row>
    <row r="697" spans="1:2" x14ac:dyDescent="0.2">
      <c r="A697" s="8"/>
      <c r="B697" s="8"/>
    </row>
    <row r="698" spans="1:2" x14ac:dyDescent="0.2">
      <c r="A698" s="8"/>
      <c r="B698" s="8"/>
    </row>
    <row r="699" spans="1:2" x14ac:dyDescent="0.2">
      <c r="A699" s="8"/>
      <c r="B699" s="8"/>
    </row>
    <row r="700" spans="1:2" x14ac:dyDescent="0.2">
      <c r="A700" s="8"/>
      <c r="B700" s="8"/>
    </row>
    <row r="701" spans="1:2" x14ac:dyDescent="0.2">
      <c r="A701" s="8"/>
      <c r="B701" s="8"/>
    </row>
    <row r="702" spans="1:2" x14ac:dyDescent="0.2">
      <c r="A702" s="8"/>
      <c r="B702" s="8"/>
    </row>
    <row r="703" spans="1:2" x14ac:dyDescent="0.2">
      <c r="A703" s="8"/>
      <c r="B703" s="8"/>
    </row>
    <row r="704" spans="1:2" x14ac:dyDescent="0.2">
      <c r="A704" s="8"/>
      <c r="B704" s="8"/>
    </row>
    <row r="705" spans="1:2" x14ac:dyDescent="0.2">
      <c r="A705" s="8"/>
      <c r="B705" s="8"/>
    </row>
    <row r="706" spans="1:2" x14ac:dyDescent="0.2">
      <c r="A706" s="8"/>
      <c r="B706" s="8"/>
    </row>
    <row r="707" spans="1:2" x14ac:dyDescent="0.2">
      <c r="A707" s="8"/>
      <c r="B707" s="8"/>
    </row>
    <row r="708" spans="1:2" x14ac:dyDescent="0.2">
      <c r="A708" s="8"/>
      <c r="B708" s="8"/>
    </row>
  </sheetData>
  <mergeCells count="3">
    <mergeCell ref="C9:F9"/>
    <mergeCell ref="O9:Q9"/>
    <mergeCell ref="I9:K9"/>
  </mergeCells>
  <pageMargins left="0.25" right="0.25" top="0.5" bottom="0.5" header="0.25" footer="0.25"/>
  <pageSetup paperSize="17" scale="50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CONTROL</vt:lpstr>
      <vt:lpstr>RAP-SOLID FUEL PRICES</vt:lpstr>
      <vt:lpstr>RAP-LIGHT OIL</vt:lpstr>
      <vt:lpstr>RAP-HEAVY OIL&amp;WTI</vt:lpstr>
      <vt:lpstr>RAP-NATURAL GAS PRICES</vt:lpstr>
      <vt:lpstr>RAP TEMPLATE-GAS AVAILABILITY</vt:lpstr>
      <vt:lpstr>'RAP TEMPLATE-GAS AVAILABILITY'!Print_Area</vt:lpstr>
      <vt:lpstr>'RAP-HEAVY OIL&amp;WTI'!Print_Area</vt:lpstr>
      <vt:lpstr>'RAP-LIGHT OIL'!Print_Area</vt:lpstr>
      <vt:lpstr>'RAP-NATURAL GAS PRICES'!Print_Area</vt:lpstr>
      <vt:lpstr>'RAP-SOLID FUEL PRICES'!Print_Area</vt:lpstr>
      <vt:lpstr>'RAP TEMPLATE-GAS AVAILABILITY'!Print_Titles</vt:lpstr>
      <vt:lpstr>'RAP-HEAVY OIL&amp;WTI'!Print_Titles</vt:lpstr>
      <vt:lpstr>'RAP-LIGHT OIL'!Print_Titles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2016-07-29T16:39:29Z</dcterms:created>
  <dcterms:modified xsi:type="dcterms:W3CDTF">2016-07-29T16:39:32Z</dcterms:modified>
</cp:coreProperties>
</file>